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codeName="ThisWorkbook"/>
  <xr:revisionPtr revIDLastSave="0" documentId="13_ncr:1_{6DC399FF-56F1-469B-8CDE-3AE50A565F76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L1282" i="1" l="1"/>
  <c r="K1282" i="1"/>
  <c r="H1282" i="1"/>
  <c r="L1281" i="1"/>
  <c r="K1281" i="1"/>
  <c r="H1281" i="1"/>
  <c r="L1275" i="1"/>
  <c r="K1275" i="1"/>
  <c r="H1275" i="1"/>
  <c r="L1274" i="1"/>
  <c r="K1274" i="1"/>
  <c r="H1274" i="1"/>
  <c r="L1273" i="1"/>
  <c r="K1273" i="1"/>
  <c r="H1273" i="1"/>
  <c r="L1272" i="1"/>
  <c r="K1272" i="1"/>
  <c r="H1272" i="1"/>
  <c r="L1271" i="1"/>
  <c r="K1271" i="1"/>
  <c r="H1271" i="1"/>
  <c r="L1270" i="1"/>
  <c r="K1270" i="1"/>
  <c r="H1270" i="1"/>
  <c r="L1269" i="1"/>
  <c r="K1269" i="1"/>
  <c r="H1269" i="1"/>
  <c r="L1268" i="1"/>
  <c r="K1268" i="1"/>
  <c r="H1268" i="1"/>
  <c r="L1267" i="1"/>
  <c r="K1267" i="1"/>
  <c r="H1267" i="1"/>
  <c r="L1266" i="1"/>
  <c r="K1266" i="1"/>
  <c r="H1266" i="1"/>
  <c r="L1265" i="1"/>
  <c r="K1265" i="1"/>
  <c r="H1265" i="1"/>
  <c r="L1264" i="1"/>
  <c r="K1264" i="1"/>
  <c r="H1264" i="1"/>
  <c r="L1258" i="1"/>
  <c r="K1258" i="1"/>
  <c r="H1258" i="1"/>
  <c r="L1257" i="1"/>
  <c r="K1257" i="1"/>
  <c r="H1257" i="1"/>
  <c r="L1256" i="1"/>
  <c r="K1256" i="1"/>
  <c r="H1256" i="1"/>
  <c r="L1255" i="1"/>
  <c r="K1255" i="1"/>
  <c r="H1255" i="1"/>
  <c r="L1254" i="1"/>
  <c r="K1254" i="1"/>
  <c r="H1254" i="1"/>
  <c r="L1253" i="1"/>
  <c r="K1253" i="1"/>
  <c r="H1253" i="1"/>
  <c r="L1252" i="1"/>
  <c r="K1252" i="1"/>
  <c r="H1252" i="1"/>
  <c r="L1251" i="1"/>
  <c r="K1251" i="1"/>
  <c r="H1251" i="1"/>
  <c r="L1250" i="1"/>
  <c r="K1250" i="1"/>
  <c r="H1250" i="1"/>
  <c r="L1249" i="1"/>
  <c r="K1249" i="1"/>
  <c r="H1249" i="1"/>
  <c r="L1248" i="1"/>
  <c r="K1248" i="1"/>
  <c r="H1248" i="1"/>
  <c r="L1247" i="1"/>
  <c r="K1247" i="1"/>
  <c r="H1247" i="1"/>
  <c r="L1246" i="1"/>
  <c r="K1246" i="1"/>
  <c r="H1246" i="1"/>
  <c r="L1245" i="1"/>
  <c r="K1245" i="1"/>
  <c r="H1245" i="1"/>
  <c r="L1244" i="1"/>
  <c r="K1244" i="1"/>
  <c r="H1244" i="1"/>
  <c r="L1243" i="1"/>
  <c r="K1243" i="1"/>
  <c r="H1243" i="1"/>
  <c r="L1242" i="1"/>
  <c r="K1242" i="1"/>
  <c r="H1242" i="1"/>
  <c r="L1241" i="1"/>
  <c r="K1241" i="1"/>
  <c r="H1241" i="1"/>
  <c r="L1240" i="1"/>
  <c r="K1240" i="1"/>
  <c r="H1240" i="1"/>
  <c r="L1234" i="1"/>
  <c r="K1234" i="1"/>
  <c r="H1234" i="1"/>
  <c r="L1233" i="1"/>
  <c r="K1233" i="1"/>
  <c r="H1233" i="1"/>
  <c r="L1232" i="1"/>
  <c r="K1232" i="1"/>
  <c r="H1232" i="1"/>
  <c r="L1231" i="1"/>
  <c r="K1231" i="1"/>
  <c r="H1231" i="1"/>
  <c r="L1230" i="1"/>
  <c r="K1230" i="1"/>
  <c r="H1230" i="1"/>
  <c r="L1229" i="1"/>
  <c r="K1229" i="1"/>
  <c r="H1229" i="1"/>
  <c r="L1228" i="1"/>
  <c r="K1228" i="1"/>
  <c r="H1228" i="1"/>
  <c r="L1227" i="1"/>
  <c r="K1227" i="1"/>
  <c r="H1227" i="1"/>
  <c r="L1221" i="1"/>
  <c r="K1221" i="1"/>
  <c r="H1221" i="1"/>
  <c r="L1220" i="1"/>
  <c r="K1220" i="1"/>
  <c r="H1220" i="1"/>
  <c r="L1219" i="1"/>
  <c r="K1219" i="1"/>
  <c r="H1219" i="1"/>
  <c r="L1218" i="1"/>
  <c r="K1218" i="1"/>
  <c r="H1218" i="1"/>
  <c r="L1217" i="1"/>
  <c r="K1217" i="1"/>
  <c r="H1217" i="1"/>
  <c r="L1211" i="1"/>
  <c r="K1211" i="1"/>
  <c r="H1211" i="1"/>
  <c r="L1210" i="1"/>
  <c r="K1210" i="1"/>
  <c r="H1210" i="1"/>
  <c r="L1209" i="1"/>
  <c r="K1209" i="1"/>
  <c r="H1209" i="1"/>
  <c r="L1208" i="1"/>
  <c r="K1208" i="1"/>
  <c r="H1208" i="1"/>
  <c r="L1207" i="1"/>
  <c r="K1207" i="1"/>
  <c r="H1207" i="1"/>
  <c r="L1206" i="1"/>
  <c r="K1206" i="1"/>
  <c r="H1206" i="1"/>
  <c r="L1205" i="1"/>
  <c r="K1205" i="1"/>
  <c r="H1205" i="1"/>
  <c r="L1204" i="1"/>
  <c r="K1204" i="1"/>
  <c r="H1204" i="1"/>
  <c r="L1203" i="1"/>
  <c r="K1203" i="1"/>
  <c r="H1203" i="1"/>
  <c r="L1202" i="1"/>
  <c r="K1202" i="1"/>
  <c r="H1202" i="1"/>
  <c r="L1201" i="1"/>
  <c r="K1201" i="1"/>
  <c r="H1201" i="1"/>
  <c r="L1200" i="1"/>
  <c r="K1200" i="1"/>
  <c r="H1200" i="1"/>
  <c r="L1199" i="1"/>
  <c r="K1199" i="1"/>
  <c r="H1199" i="1"/>
  <c r="L1193" i="1"/>
  <c r="K1193" i="1"/>
  <c r="H1193" i="1"/>
  <c r="L1192" i="1"/>
  <c r="K1192" i="1"/>
  <c r="H1192" i="1"/>
  <c r="L1191" i="1"/>
  <c r="K1191" i="1"/>
  <c r="H1191" i="1"/>
  <c r="L1190" i="1"/>
  <c r="K1190" i="1"/>
  <c r="H1190" i="1"/>
  <c r="L1189" i="1"/>
  <c r="K1189" i="1"/>
  <c r="H1189" i="1"/>
  <c r="L1188" i="1"/>
  <c r="K1188" i="1"/>
  <c r="H1188" i="1"/>
  <c r="L1187" i="1"/>
  <c r="K1187" i="1"/>
  <c r="H1187" i="1"/>
  <c r="L1181" i="1"/>
  <c r="K1181" i="1"/>
  <c r="H1181" i="1"/>
  <c r="L1180" i="1"/>
  <c r="K1180" i="1"/>
  <c r="H1180" i="1"/>
  <c r="L1179" i="1"/>
  <c r="K1179" i="1"/>
  <c r="H1179" i="1"/>
  <c r="L1178" i="1"/>
  <c r="K1178" i="1"/>
  <c r="H1178" i="1"/>
  <c r="L1177" i="1"/>
  <c r="K1177" i="1"/>
  <c r="H1177" i="1"/>
  <c r="L1176" i="1"/>
  <c r="K1176" i="1"/>
  <c r="H1176" i="1"/>
  <c r="L1175" i="1"/>
  <c r="K1175" i="1"/>
  <c r="H1175" i="1"/>
  <c r="L1174" i="1"/>
  <c r="K1174" i="1"/>
  <c r="H1174" i="1"/>
  <c r="L1173" i="1"/>
  <c r="K1173" i="1"/>
  <c r="H1173" i="1"/>
  <c r="L1172" i="1"/>
  <c r="K1172" i="1"/>
  <c r="H1172" i="1"/>
  <c r="L1166" i="1"/>
  <c r="K1166" i="1"/>
  <c r="H1166" i="1"/>
  <c r="L1165" i="1"/>
  <c r="K1165" i="1"/>
  <c r="H1165" i="1"/>
  <c r="L1164" i="1"/>
  <c r="K1164" i="1"/>
  <c r="H1164" i="1"/>
  <c r="L1163" i="1"/>
  <c r="K1163" i="1"/>
  <c r="H1163" i="1"/>
  <c r="L1162" i="1"/>
  <c r="K1162" i="1"/>
  <c r="H1162" i="1"/>
  <c r="L1161" i="1"/>
  <c r="K1161" i="1"/>
  <c r="H1161" i="1"/>
  <c r="L1160" i="1"/>
  <c r="K1160" i="1"/>
  <c r="H1160" i="1"/>
  <c r="L1159" i="1"/>
  <c r="K1159" i="1"/>
  <c r="H1159" i="1"/>
  <c r="L1158" i="1"/>
  <c r="K1158" i="1"/>
  <c r="H1158" i="1"/>
  <c r="L1157" i="1"/>
  <c r="K1157" i="1"/>
  <c r="H1157" i="1"/>
  <c r="L1151" i="1"/>
  <c r="K1151" i="1"/>
  <c r="H1151" i="1"/>
  <c r="L1150" i="1"/>
  <c r="K1150" i="1"/>
  <c r="H1150" i="1"/>
  <c r="L1149" i="1"/>
  <c r="K1149" i="1"/>
  <c r="H1149" i="1"/>
  <c r="L1148" i="1"/>
  <c r="K1148" i="1"/>
  <c r="H1148" i="1"/>
  <c r="L1147" i="1"/>
  <c r="K1147" i="1"/>
  <c r="H1147" i="1"/>
  <c r="L1141" i="1"/>
  <c r="K1141" i="1"/>
  <c r="H1141" i="1"/>
  <c r="L1140" i="1"/>
  <c r="K1140" i="1"/>
  <c r="H1140" i="1"/>
  <c r="L1139" i="1"/>
  <c r="K1139" i="1"/>
  <c r="H1139" i="1"/>
  <c r="L1138" i="1"/>
  <c r="K1138" i="1"/>
  <c r="H1138" i="1"/>
  <c r="L1137" i="1"/>
  <c r="K1137" i="1"/>
  <c r="H1137" i="1"/>
  <c r="L1136" i="1"/>
  <c r="K1136" i="1"/>
  <c r="H1136" i="1"/>
  <c r="L1135" i="1"/>
  <c r="K1135" i="1"/>
  <c r="H1135" i="1"/>
  <c r="L1134" i="1"/>
  <c r="K1134" i="1"/>
  <c r="H1134" i="1"/>
  <c r="L1133" i="1"/>
  <c r="K1133" i="1"/>
  <c r="H1133" i="1"/>
  <c r="L1132" i="1"/>
  <c r="K1132" i="1"/>
  <c r="H1132" i="1"/>
  <c r="L1131" i="1"/>
  <c r="K1131" i="1"/>
  <c r="H1131" i="1"/>
  <c r="L1130" i="1"/>
  <c r="K1130" i="1"/>
  <c r="H1130" i="1"/>
  <c r="L1129" i="1"/>
  <c r="K1129" i="1"/>
  <c r="H1129" i="1"/>
  <c r="L1128" i="1"/>
  <c r="K1128" i="1"/>
  <c r="H1128" i="1"/>
  <c r="L1127" i="1"/>
  <c r="K1127" i="1"/>
  <c r="H1127" i="1"/>
  <c r="L1121" i="1"/>
  <c r="K1121" i="1"/>
  <c r="H1121" i="1"/>
  <c r="L1120" i="1"/>
  <c r="K1120" i="1"/>
  <c r="H1120" i="1"/>
  <c r="L1119" i="1"/>
  <c r="K1119" i="1"/>
  <c r="H1119" i="1"/>
  <c r="L1118" i="1"/>
  <c r="K1118" i="1"/>
  <c r="H1118" i="1"/>
  <c r="L1117" i="1"/>
  <c r="K1117" i="1"/>
  <c r="H1117" i="1"/>
  <c r="L1116" i="1"/>
  <c r="K1116" i="1"/>
  <c r="H1116" i="1"/>
  <c r="L1115" i="1"/>
  <c r="K1115" i="1"/>
  <c r="H1115" i="1"/>
  <c r="L1114" i="1"/>
  <c r="K1114" i="1"/>
  <c r="H1114" i="1"/>
  <c r="L1108" i="1"/>
  <c r="K1108" i="1"/>
  <c r="H1108" i="1"/>
  <c r="L1107" i="1"/>
  <c r="K1107" i="1"/>
  <c r="H1107" i="1"/>
  <c r="L1106" i="1"/>
  <c r="K1106" i="1"/>
  <c r="H1106" i="1"/>
  <c r="L1105" i="1"/>
  <c r="K1105" i="1"/>
  <c r="H1105" i="1"/>
  <c r="L1104" i="1"/>
  <c r="K1104" i="1"/>
  <c r="H1104" i="1"/>
  <c r="L1103" i="1"/>
  <c r="K1103" i="1"/>
  <c r="H1103" i="1"/>
  <c r="L1102" i="1"/>
  <c r="K1102" i="1"/>
  <c r="H1102" i="1"/>
  <c r="L1101" i="1"/>
  <c r="K1101" i="1"/>
  <c r="H1101" i="1"/>
  <c r="L1100" i="1"/>
  <c r="K1100" i="1"/>
  <c r="H1100" i="1"/>
  <c r="L1099" i="1"/>
  <c r="K1099" i="1"/>
  <c r="H1099" i="1"/>
  <c r="L1093" i="1"/>
  <c r="K1093" i="1"/>
  <c r="H1093" i="1"/>
  <c r="L1092" i="1"/>
  <c r="K1092" i="1"/>
  <c r="H1092" i="1"/>
  <c r="L1091" i="1"/>
  <c r="K1091" i="1"/>
  <c r="H1091" i="1"/>
  <c r="L1090" i="1"/>
  <c r="K1090" i="1"/>
  <c r="H1090" i="1"/>
  <c r="L1089" i="1"/>
  <c r="K1089" i="1"/>
  <c r="H1089" i="1"/>
  <c r="L1088" i="1"/>
  <c r="K1088" i="1"/>
  <c r="H1088" i="1"/>
  <c r="L1087" i="1"/>
  <c r="K1087" i="1"/>
  <c r="H1087" i="1"/>
  <c r="L1086" i="1"/>
  <c r="K1086" i="1"/>
  <c r="H1086" i="1"/>
  <c r="L1085" i="1"/>
  <c r="K1085" i="1"/>
  <c r="H1085" i="1"/>
  <c r="L1084" i="1"/>
  <c r="K1084" i="1"/>
  <c r="H1084" i="1"/>
  <c r="L1083" i="1"/>
  <c r="K1083" i="1"/>
  <c r="H1083" i="1"/>
  <c r="L1082" i="1"/>
  <c r="K1082" i="1"/>
  <c r="H1082" i="1"/>
  <c r="L1081" i="1"/>
  <c r="K1081" i="1"/>
  <c r="H1081" i="1"/>
  <c r="L1075" i="1"/>
  <c r="K1075" i="1"/>
  <c r="H1075" i="1"/>
  <c r="L1074" i="1"/>
  <c r="K1074" i="1"/>
  <c r="H1074" i="1"/>
  <c r="L1073" i="1"/>
  <c r="K1073" i="1"/>
  <c r="H1073" i="1"/>
  <c r="L1072" i="1"/>
  <c r="K1072" i="1"/>
  <c r="H1072" i="1"/>
  <c r="L1071" i="1"/>
  <c r="K1071" i="1"/>
  <c r="H1071" i="1"/>
  <c r="L1070" i="1"/>
  <c r="K1070" i="1"/>
  <c r="H1070" i="1"/>
  <c r="L1069" i="1"/>
  <c r="K1069" i="1"/>
  <c r="H1069" i="1"/>
  <c r="L1068" i="1"/>
  <c r="K1068" i="1"/>
  <c r="H1068" i="1"/>
  <c r="L1067" i="1"/>
  <c r="K1067" i="1"/>
  <c r="H1067" i="1"/>
  <c r="L1066" i="1"/>
  <c r="K1066" i="1"/>
  <c r="H1066" i="1"/>
  <c r="L1065" i="1"/>
  <c r="K1065" i="1"/>
  <c r="H1065" i="1"/>
  <c r="L1064" i="1"/>
  <c r="K1064" i="1"/>
  <c r="H1064" i="1"/>
  <c r="L1063" i="1"/>
  <c r="K1063" i="1"/>
  <c r="H1063" i="1"/>
  <c r="L1062" i="1"/>
  <c r="K1062" i="1"/>
  <c r="H1062" i="1"/>
  <c r="L1061" i="1"/>
  <c r="K1061" i="1"/>
  <c r="H1061" i="1"/>
  <c r="L1060" i="1"/>
  <c r="K1060" i="1"/>
  <c r="H1060" i="1"/>
  <c r="L1059" i="1"/>
  <c r="K1059" i="1"/>
  <c r="H1059" i="1"/>
  <c r="L1058" i="1"/>
  <c r="K1058" i="1"/>
  <c r="H1058" i="1"/>
  <c r="L1052" i="1"/>
  <c r="K1052" i="1"/>
  <c r="H1052" i="1"/>
  <c r="L1051" i="1"/>
  <c r="K1051" i="1"/>
  <c r="H1051" i="1"/>
  <c r="L1050" i="1"/>
  <c r="K1050" i="1"/>
  <c r="H1050" i="1"/>
  <c r="L1049" i="1"/>
  <c r="K1049" i="1"/>
  <c r="H1049" i="1"/>
  <c r="L1048" i="1"/>
  <c r="K1048" i="1"/>
  <c r="H1048" i="1"/>
  <c r="L1047" i="1"/>
  <c r="K1047" i="1"/>
  <c r="H1047" i="1"/>
  <c r="L1046" i="1"/>
  <c r="K1046" i="1"/>
  <c r="H1046" i="1"/>
  <c r="L1045" i="1"/>
  <c r="K1045" i="1"/>
  <c r="H1045" i="1"/>
  <c r="L1044" i="1"/>
  <c r="K1044" i="1"/>
  <c r="H1044" i="1"/>
  <c r="L1038" i="1"/>
  <c r="K1038" i="1"/>
  <c r="H1038" i="1"/>
  <c r="L1037" i="1"/>
  <c r="K1037" i="1"/>
  <c r="H1037" i="1"/>
  <c r="L1036" i="1"/>
  <c r="K1036" i="1"/>
  <c r="H1036" i="1"/>
  <c r="L1035" i="1"/>
  <c r="K1035" i="1"/>
  <c r="H1035" i="1"/>
  <c r="L1034" i="1"/>
  <c r="K1034" i="1"/>
  <c r="H1034" i="1"/>
  <c r="L1033" i="1"/>
  <c r="K1033" i="1"/>
  <c r="H1033" i="1"/>
  <c r="L1032" i="1"/>
  <c r="K1032" i="1"/>
  <c r="H1032" i="1"/>
  <c r="L1031" i="1"/>
  <c r="K1031" i="1"/>
  <c r="H1031" i="1"/>
  <c r="L1030" i="1"/>
  <c r="K1030" i="1"/>
  <c r="H1030" i="1"/>
  <c r="L1029" i="1"/>
  <c r="K1029" i="1"/>
  <c r="H1029" i="1"/>
  <c r="L1023" i="1"/>
  <c r="K1023" i="1"/>
  <c r="H1023" i="1"/>
  <c r="L1022" i="1"/>
  <c r="K1022" i="1"/>
  <c r="H1022" i="1"/>
  <c r="L1021" i="1"/>
  <c r="K1021" i="1"/>
  <c r="H1021" i="1"/>
  <c r="L1020" i="1"/>
  <c r="K1020" i="1"/>
  <c r="H1020" i="1"/>
  <c r="L1019" i="1"/>
  <c r="K1019" i="1"/>
  <c r="H1019" i="1"/>
  <c r="L1018" i="1"/>
  <c r="K1018" i="1"/>
  <c r="H1018" i="1"/>
  <c r="L1017" i="1"/>
  <c r="K1017" i="1"/>
  <c r="H1017" i="1"/>
  <c r="L1016" i="1"/>
  <c r="K1016" i="1"/>
  <c r="H1016" i="1"/>
  <c r="L1015" i="1"/>
  <c r="K1015" i="1"/>
  <c r="H1015" i="1"/>
  <c r="L1009" i="1"/>
  <c r="K1009" i="1"/>
  <c r="H1009" i="1"/>
  <c r="L1008" i="1"/>
  <c r="K1008" i="1"/>
  <c r="H1008" i="1"/>
  <c r="L1007" i="1"/>
  <c r="K1007" i="1"/>
  <c r="H1007" i="1"/>
  <c r="L1006" i="1"/>
  <c r="K1006" i="1"/>
  <c r="H1006" i="1"/>
  <c r="L1005" i="1"/>
  <c r="K1005" i="1"/>
  <c r="H1005" i="1"/>
  <c r="L1004" i="1"/>
  <c r="K1004" i="1"/>
  <c r="H1004" i="1"/>
  <c r="L1003" i="1"/>
  <c r="K1003" i="1"/>
  <c r="H1003" i="1"/>
  <c r="L1002" i="1"/>
  <c r="K1002" i="1"/>
  <c r="H1002" i="1"/>
  <c r="L1001" i="1"/>
  <c r="K1001" i="1"/>
  <c r="H1001" i="1"/>
  <c r="L1000" i="1"/>
  <c r="K1000" i="1"/>
  <c r="H1000" i="1"/>
  <c r="L994" i="1"/>
  <c r="K994" i="1"/>
  <c r="H994" i="1"/>
  <c r="L993" i="1"/>
  <c r="K993" i="1"/>
  <c r="H993" i="1"/>
  <c r="L992" i="1"/>
  <c r="K992" i="1"/>
  <c r="H992" i="1"/>
  <c r="L991" i="1"/>
  <c r="K991" i="1"/>
  <c r="H991" i="1"/>
  <c r="L990" i="1"/>
  <c r="K990" i="1"/>
  <c r="H990" i="1"/>
  <c r="L989" i="1"/>
  <c r="K989" i="1"/>
  <c r="H989" i="1"/>
  <c r="L983" i="1"/>
  <c r="K983" i="1"/>
  <c r="H983" i="1"/>
  <c r="L982" i="1"/>
  <c r="K982" i="1"/>
  <c r="H982" i="1"/>
  <c r="L981" i="1"/>
  <c r="K981" i="1"/>
  <c r="H981" i="1"/>
  <c r="L980" i="1"/>
  <c r="K980" i="1"/>
  <c r="H980" i="1"/>
  <c r="L974" i="1"/>
  <c r="K974" i="1"/>
  <c r="H974" i="1"/>
  <c r="L973" i="1"/>
  <c r="K973" i="1"/>
  <c r="H973" i="1"/>
  <c r="L972" i="1"/>
  <c r="K972" i="1"/>
  <c r="H972" i="1"/>
  <c r="L971" i="1"/>
  <c r="K971" i="1"/>
  <c r="H971" i="1"/>
  <c r="L970" i="1"/>
  <c r="K970" i="1"/>
  <c r="H970" i="1"/>
  <c r="L969" i="1"/>
  <c r="K969" i="1"/>
  <c r="H969" i="1"/>
  <c r="L968" i="1"/>
  <c r="K968" i="1"/>
  <c r="H968" i="1"/>
  <c r="L967" i="1"/>
  <c r="K967" i="1"/>
  <c r="H967" i="1"/>
  <c r="L966" i="1"/>
  <c r="K966" i="1"/>
  <c r="H966" i="1"/>
  <c r="L965" i="1"/>
  <c r="K965" i="1"/>
  <c r="H965" i="1"/>
  <c r="L964" i="1"/>
  <c r="K964" i="1"/>
  <c r="H964" i="1"/>
  <c r="L958" i="1"/>
  <c r="K958" i="1"/>
  <c r="H958" i="1"/>
  <c r="L957" i="1"/>
  <c r="K957" i="1"/>
  <c r="H957" i="1"/>
  <c r="L956" i="1"/>
  <c r="K956" i="1"/>
  <c r="H956" i="1"/>
  <c r="L955" i="1"/>
  <c r="K955" i="1"/>
  <c r="H955" i="1"/>
  <c r="L954" i="1"/>
  <c r="K954" i="1"/>
  <c r="H954" i="1"/>
  <c r="L953" i="1"/>
  <c r="K953" i="1"/>
  <c r="H953" i="1"/>
  <c r="L952" i="1"/>
  <c r="K952" i="1"/>
  <c r="H952" i="1"/>
  <c r="L946" i="1"/>
  <c r="K946" i="1"/>
  <c r="H946" i="1"/>
  <c r="L945" i="1"/>
  <c r="K945" i="1"/>
  <c r="H945" i="1"/>
  <c r="L944" i="1"/>
  <c r="K944" i="1"/>
  <c r="H944" i="1"/>
  <c r="L943" i="1"/>
  <c r="K943" i="1"/>
  <c r="H943" i="1"/>
  <c r="L942" i="1"/>
  <c r="K942" i="1"/>
  <c r="H942" i="1"/>
  <c r="L936" i="1"/>
  <c r="K936" i="1"/>
  <c r="H936" i="1"/>
  <c r="L935" i="1"/>
  <c r="K935" i="1"/>
  <c r="H935" i="1"/>
  <c r="L934" i="1"/>
  <c r="K934" i="1"/>
  <c r="H934" i="1"/>
  <c r="L933" i="1"/>
  <c r="K933" i="1"/>
  <c r="H933" i="1"/>
  <c r="L932" i="1"/>
  <c r="K932" i="1"/>
  <c r="H932" i="1"/>
  <c r="L931" i="1"/>
  <c r="K931" i="1"/>
  <c r="H931" i="1"/>
  <c r="L925" i="1"/>
  <c r="K925" i="1"/>
  <c r="H925" i="1"/>
  <c r="L924" i="1"/>
  <c r="K924" i="1"/>
  <c r="H924" i="1"/>
  <c r="L923" i="1"/>
  <c r="K923" i="1"/>
  <c r="H923" i="1"/>
  <c r="L922" i="1"/>
  <c r="K922" i="1"/>
  <c r="H922" i="1"/>
  <c r="L921" i="1"/>
  <c r="K921" i="1"/>
  <c r="H921" i="1"/>
  <c r="L920" i="1"/>
  <c r="K920" i="1"/>
  <c r="H920" i="1"/>
  <c r="L919" i="1"/>
  <c r="K919" i="1"/>
  <c r="H919" i="1"/>
  <c r="L918" i="1"/>
  <c r="K918" i="1"/>
  <c r="H918" i="1"/>
  <c r="L917" i="1"/>
  <c r="K917" i="1"/>
  <c r="H917" i="1"/>
  <c r="L911" i="1"/>
  <c r="K911" i="1"/>
  <c r="H911" i="1"/>
  <c r="L910" i="1"/>
  <c r="K910" i="1"/>
  <c r="H910" i="1"/>
  <c r="L909" i="1"/>
  <c r="K909" i="1"/>
  <c r="H909" i="1"/>
  <c r="L908" i="1"/>
  <c r="K908" i="1"/>
  <c r="H908" i="1"/>
  <c r="L907" i="1"/>
  <c r="K907" i="1"/>
  <c r="H907" i="1"/>
  <c r="L906" i="1"/>
  <c r="K906" i="1"/>
  <c r="H906" i="1"/>
  <c r="L905" i="1"/>
  <c r="K905" i="1"/>
  <c r="H905" i="1"/>
  <c r="L904" i="1"/>
  <c r="K904" i="1"/>
  <c r="H904" i="1"/>
  <c r="L903" i="1"/>
  <c r="K903" i="1"/>
  <c r="H903" i="1"/>
  <c r="L902" i="1"/>
  <c r="K902" i="1"/>
  <c r="H902" i="1"/>
  <c r="L901" i="1"/>
  <c r="K901" i="1"/>
  <c r="H901" i="1"/>
  <c r="L900" i="1"/>
  <c r="K900" i="1"/>
  <c r="H900" i="1"/>
  <c r="L894" i="1"/>
  <c r="K894" i="1"/>
  <c r="H894" i="1"/>
  <c r="L893" i="1"/>
  <c r="K893" i="1"/>
  <c r="H893" i="1"/>
  <c r="L892" i="1"/>
  <c r="K892" i="1"/>
  <c r="H892" i="1"/>
  <c r="L891" i="1"/>
  <c r="K891" i="1"/>
  <c r="H891" i="1"/>
  <c r="L890" i="1"/>
  <c r="K890" i="1"/>
  <c r="H890" i="1"/>
  <c r="L889" i="1"/>
  <c r="K889" i="1"/>
  <c r="H889" i="1"/>
  <c r="L888" i="1"/>
  <c r="K888" i="1"/>
  <c r="H888" i="1"/>
  <c r="L887" i="1"/>
  <c r="K887" i="1"/>
  <c r="H887" i="1"/>
  <c r="L886" i="1"/>
  <c r="K886" i="1"/>
  <c r="H886" i="1"/>
  <c r="L885" i="1"/>
  <c r="K885" i="1"/>
  <c r="H885" i="1"/>
  <c r="L884" i="1"/>
  <c r="K884" i="1"/>
  <c r="H884" i="1"/>
  <c r="L883" i="1"/>
  <c r="K883" i="1"/>
  <c r="H883" i="1"/>
  <c r="L882" i="1"/>
  <c r="K882" i="1"/>
  <c r="H882" i="1"/>
  <c r="L881" i="1"/>
  <c r="K881" i="1"/>
  <c r="H881" i="1"/>
  <c r="L880" i="1"/>
  <c r="K880" i="1"/>
  <c r="H880" i="1"/>
  <c r="L874" i="1"/>
  <c r="K874" i="1"/>
  <c r="H874" i="1"/>
  <c r="L873" i="1"/>
  <c r="K873" i="1"/>
  <c r="H873" i="1"/>
  <c r="L872" i="1"/>
  <c r="K872" i="1"/>
  <c r="H872" i="1"/>
  <c r="L871" i="1"/>
  <c r="K871" i="1"/>
  <c r="H871" i="1"/>
  <c r="L870" i="1"/>
  <c r="K870" i="1"/>
  <c r="H870" i="1"/>
  <c r="L869" i="1"/>
  <c r="K869" i="1"/>
  <c r="H869" i="1"/>
  <c r="L868" i="1"/>
  <c r="K868" i="1"/>
  <c r="H868" i="1"/>
  <c r="L867" i="1"/>
  <c r="K867" i="1"/>
  <c r="H867" i="1"/>
  <c r="L866" i="1"/>
  <c r="K866" i="1"/>
  <c r="H866" i="1"/>
  <c r="L860" i="1"/>
  <c r="K860" i="1"/>
  <c r="H860" i="1"/>
  <c r="L859" i="1"/>
  <c r="K859" i="1"/>
  <c r="H859" i="1"/>
  <c r="L858" i="1"/>
  <c r="K858" i="1"/>
  <c r="H858" i="1"/>
  <c r="L857" i="1"/>
  <c r="K857" i="1"/>
  <c r="H857" i="1"/>
  <c r="L856" i="1"/>
  <c r="K856" i="1"/>
  <c r="H856" i="1"/>
  <c r="L850" i="1"/>
  <c r="K850" i="1"/>
  <c r="H850" i="1"/>
  <c r="L849" i="1"/>
  <c r="K849" i="1"/>
  <c r="H849" i="1"/>
  <c r="L848" i="1"/>
  <c r="K848" i="1"/>
  <c r="H848" i="1"/>
  <c r="L847" i="1"/>
  <c r="K847" i="1"/>
  <c r="H847" i="1"/>
  <c r="L846" i="1"/>
  <c r="K846" i="1"/>
  <c r="H846" i="1"/>
  <c r="L845" i="1"/>
  <c r="K845" i="1"/>
  <c r="H845" i="1"/>
  <c r="L844" i="1"/>
  <c r="K844" i="1"/>
  <c r="H844" i="1"/>
  <c r="L843" i="1"/>
  <c r="K843" i="1"/>
  <c r="H843" i="1"/>
  <c r="L842" i="1"/>
  <c r="K842" i="1"/>
  <c r="H842" i="1"/>
  <c r="L841" i="1"/>
  <c r="K841" i="1"/>
  <c r="H841" i="1"/>
  <c r="L840" i="1"/>
  <c r="K840" i="1"/>
  <c r="H840" i="1"/>
  <c r="L839" i="1"/>
  <c r="K839" i="1"/>
  <c r="H839" i="1"/>
  <c r="L838" i="1"/>
  <c r="K838" i="1"/>
  <c r="H838" i="1"/>
  <c r="L837" i="1"/>
  <c r="K837" i="1"/>
  <c r="H837" i="1"/>
  <c r="L836" i="1"/>
  <c r="K836" i="1"/>
  <c r="H836" i="1"/>
  <c r="L835" i="1"/>
  <c r="K835" i="1"/>
  <c r="H835" i="1"/>
  <c r="L829" i="1"/>
  <c r="K829" i="1"/>
  <c r="H829" i="1"/>
  <c r="L823" i="1"/>
  <c r="K823" i="1"/>
  <c r="H823" i="1"/>
  <c r="L822" i="1"/>
  <c r="K822" i="1"/>
  <c r="H822" i="1"/>
  <c r="L821" i="1"/>
  <c r="K821" i="1"/>
  <c r="H821" i="1"/>
  <c r="L820" i="1"/>
  <c r="K820" i="1"/>
  <c r="H820" i="1"/>
  <c r="L819" i="1"/>
  <c r="K819" i="1"/>
  <c r="H819" i="1"/>
  <c r="L818" i="1"/>
  <c r="K818" i="1"/>
  <c r="H818" i="1"/>
  <c r="L817" i="1"/>
  <c r="K817" i="1"/>
  <c r="H817" i="1"/>
  <c r="L816" i="1"/>
  <c r="K816" i="1"/>
  <c r="H816" i="1"/>
  <c r="L815" i="1"/>
  <c r="K815" i="1"/>
  <c r="H815" i="1"/>
  <c r="L814" i="1"/>
  <c r="K814" i="1"/>
  <c r="H814" i="1"/>
  <c r="L813" i="1"/>
  <c r="K813" i="1"/>
  <c r="H813" i="1"/>
  <c r="L812" i="1"/>
  <c r="K812" i="1"/>
  <c r="H812" i="1"/>
  <c r="L811" i="1"/>
  <c r="K811" i="1"/>
  <c r="H811" i="1"/>
  <c r="L810" i="1"/>
  <c r="K810" i="1"/>
  <c r="H810" i="1"/>
  <c r="L809" i="1"/>
  <c r="K809" i="1"/>
  <c r="H809" i="1"/>
  <c r="L808" i="1"/>
  <c r="K808" i="1"/>
  <c r="H808" i="1"/>
  <c r="L807" i="1"/>
  <c r="K807" i="1"/>
  <c r="H807" i="1"/>
  <c r="L806" i="1"/>
  <c r="K806" i="1"/>
  <c r="H806" i="1"/>
  <c r="L805" i="1"/>
  <c r="K805" i="1"/>
  <c r="H805" i="1"/>
  <c r="L804" i="1"/>
  <c r="K804" i="1"/>
  <c r="H804" i="1"/>
  <c r="L803" i="1"/>
  <c r="K803" i="1"/>
  <c r="H803" i="1"/>
  <c r="L802" i="1"/>
  <c r="K802" i="1"/>
  <c r="H802" i="1"/>
  <c r="L801" i="1"/>
  <c r="K801" i="1"/>
  <c r="H801" i="1"/>
  <c r="L800" i="1"/>
  <c r="K800" i="1"/>
  <c r="H800" i="1"/>
  <c r="L799" i="1"/>
  <c r="K799" i="1"/>
  <c r="H799" i="1"/>
  <c r="L798" i="1"/>
  <c r="K798" i="1"/>
  <c r="H798" i="1"/>
  <c r="L797" i="1"/>
  <c r="K797" i="1"/>
  <c r="H797" i="1"/>
  <c r="L796" i="1"/>
  <c r="K796" i="1"/>
  <c r="H796" i="1"/>
  <c r="L795" i="1"/>
  <c r="K795" i="1"/>
  <c r="H795" i="1"/>
  <c r="L794" i="1"/>
  <c r="K794" i="1"/>
  <c r="H794" i="1"/>
  <c r="L793" i="1"/>
  <c r="K793" i="1"/>
  <c r="H793" i="1"/>
  <c r="L792" i="1"/>
  <c r="K792" i="1"/>
  <c r="H792" i="1"/>
  <c r="L791" i="1"/>
  <c r="K791" i="1"/>
  <c r="H791" i="1"/>
  <c r="L790" i="1"/>
  <c r="K790" i="1"/>
  <c r="H790" i="1"/>
  <c r="L789" i="1"/>
  <c r="K789" i="1"/>
  <c r="H789" i="1"/>
  <c r="L788" i="1"/>
  <c r="K788" i="1"/>
  <c r="H788" i="1"/>
  <c r="L787" i="1"/>
  <c r="K787" i="1"/>
  <c r="H787" i="1"/>
  <c r="L786" i="1"/>
  <c r="K786" i="1"/>
  <c r="H786" i="1"/>
  <c r="L785" i="1"/>
  <c r="K785" i="1"/>
  <c r="H785" i="1"/>
  <c r="L779" i="1"/>
  <c r="K779" i="1"/>
  <c r="H779" i="1"/>
  <c r="L778" i="1"/>
  <c r="K778" i="1"/>
  <c r="H778" i="1"/>
  <c r="L777" i="1"/>
  <c r="K777" i="1"/>
  <c r="H777" i="1"/>
  <c r="L776" i="1"/>
  <c r="K776" i="1"/>
  <c r="H776" i="1"/>
  <c r="L775" i="1"/>
  <c r="K775" i="1"/>
  <c r="H775" i="1"/>
  <c r="L774" i="1"/>
  <c r="K774" i="1"/>
  <c r="H774" i="1"/>
  <c r="L773" i="1"/>
  <c r="K773" i="1"/>
  <c r="H773" i="1"/>
  <c r="L772" i="1"/>
  <c r="K772" i="1"/>
  <c r="H772" i="1"/>
  <c r="L771" i="1"/>
  <c r="K771" i="1"/>
  <c r="H771" i="1"/>
  <c r="L770" i="1"/>
  <c r="K770" i="1"/>
  <c r="H770" i="1"/>
  <c r="L769" i="1"/>
  <c r="K769" i="1"/>
  <c r="H769" i="1"/>
  <c r="L768" i="1"/>
  <c r="K768" i="1"/>
  <c r="H768" i="1"/>
  <c r="L762" i="1"/>
  <c r="K762" i="1"/>
  <c r="H762" i="1"/>
  <c r="L761" i="1"/>
  <c r="K761" i="1"/>
  <c r="H761" i="1"/>
  <c r="L760" i="1"/>
  <c r="K760" i="1"/>
  <c r="H760" i="1"/>
  <c r="L759" i="1"/>
  <c r="K759" i="1"/>
  <c r="H759" i="1"/>
  <c r="L758" i="1"/>
  <c r="K758" i="1"/>
  <c r="H758" i="1"/>
  <c r="L757" i="1"/>
  <c r="K757" i="1"/>
  <c r="H757" i="1"/>
  <c r="L756" i="1"/>
  <c r="K756" i="1"/>
  <c r="H756" i="1"/>
  <c r="L755" i="1"/>
  <c r="K755" i="1"/>
  <c r="H755" i="1"/>
  <c r="L754" i="1"/>
  <c r="K754" i="1"/>
  <c r="H754" i="1"/>
  <c r="L753" i="1"/>
  <c r="K753" i="1"/>
  <c r="H753" i="1"/>
  <c r="L752" i="1"/>
  <c r="K752" i="1"/>
  <c r="H752" i="1"/>
  <c r="L751" i="1"/>
  <c r="K751" i="1"/>
  <c r="H751" i="1"/>
  <c r="L745" i="1"/>
  <c r="K745" i="1"/>
  <c r="H745" i="1"/>
  <c r="L744" i="1"/>
  <c r="K744" i="1"/>
  <c r="H744" i="1"/>
  <c r="L743" i="1"/>
  <c r="K743" i="1"/>
  <c r="H743" i="1"/>
  <c r="L742" i="1"/>
  <c r="K742" i="1"/>
  <c r="H742" i="1"/>
  <c r="L741" i="1"/>
  <c r="K741" i="1"/>
  <c r="H741" i="1"/>
  <c r="L740" i="1"/>
  <c r="K740" i="1"/>
  <c r="H740" i="1"/>
  <c r="L739" i="1"/>
  <c r="K739" i="1"/>
  <c r="H739" i="1"/>
  <c r="L738" i="1"/>
  <c r="K738" i="1"/>
  <c r="H738" i="1"/>
  <c r="L737" i="1"/>
  <c r="K737" i="1"/>
  <c r="H737" i="1"/>
  <c r="L736" i="1"/>
  <c r="K736" i="1"/>
  <c r="H736" i="1"/>
  <c r="L735" i="1"/>
  <c r="K735" i="1"/>
  <c r="H735" i="1"/>
  <c r="L734" i="1"/>
  <c r="K734" i="1"/>
  <c r="H734" i="1"/>
  <c r="L733" i="1"/>
  <c r="K733" i="1"/>
  <c r="H733" i="1"/>
  <c r="L732" i="1"/>
  <c r="K732" i="1"/>
  <c r="H732" i="1"/>
  <c r="L731" i="1"/>
  <c r="K731" i="1"/>
  <c r="H731" i="1"/>
  <c r="L725" i="1"/>
  <c r="K725" i="1"/>
  <c r="H725" i="1"/>
  <c r="L724" i="1"/>
  <c r="K724" i="1"/>
  <c r="H724" i="1"/>
  <c r="L723" i="1"/>
  <c r="K723" i="1"/>
  <c r="H723" i="1"/>
  <c r="L722" i="1"/>
  <c r="K722" i="1"/>
  <c r="H722" i="1"/>
  <c r="L721" i="1"/>
  <c r="K721" i="1"/>
  <c r="H721" i="1"/>
  <c r="L720" i="1"/>
  <c r="K720" i="1"/>
  <c r="H720" i="1"/>
  <c r="L719" i="1"/>
  <c r="K719" i="1"/>
  <c r="H719" i="1"/>
  <c r="L718" i="1"/>
  <c r="K718" i="1"/>
  <c r="H718" i="1"/>
  <c r="L717" i="1"/>
  <c r="K717" i="1"/>
  <c r="H717" i="1"/>
  <c r="L711" i="1"/>
  <c r="K711" i="1"/>
  <c r="H711" i="1"/>
  <c r="L710" i="1"/>
  <c r="K710" i="1"/>
  <c r="H710" i="1"/>
  <c r="L709" i="1"/>
  <c r="K709" i="1"/>
  <c r="H709" i="1"/>
  <c r="L708" i="1"/>
  <c r="K708" i="1"/>
  <c r="H708" i="1"/>
  <c r="L707" i="1"/>
  <c r="K707" i="1"/>
  <c r="H707" i="1"/>
  <c r="L706" i="1"/>
  <c r="K706" i="1"/>
  <c r="H706" i="1"/>
  <c r="L705" i="1"/>
  <c r="K705" i="1"/>
  <c r="H705" i="1"/>
  <c r="L704" i="1"/>
  <c r="K704" i="1"/>
  <c r="H704" i="1"/>
  <c r="L703" i="1"/>
  <c r="K703" i="1"/>
  <c r="H703" i="1"/>
  <c r="L702" i="1"/>
  <c r="K702" i="1"/>
  <c r="H702" i="1"/>
  <c r="L701" i="1"/>
  <c r="K701" i="1"/>
  <c r="H701" i="1"/>
  <c r="L700" i="1"/>
  <c r="K700" i="1"/>
  <c r="H700" i="1"/>
  <c r="L699" i="1"/>
  <c r="K699" i="1"/>
  <c r="H699" i="1"/>
  <c r="L693" i="1"/>
  <c r="K693" i="1"/>
  <c r="H693" i="1"/>
  <c r="L692" i="1"/>
  <c r="K692" i="1"/>
  <c r="H692" i="1"/>
  <c r="L691" i="1"/>
  <c r="K691" i="1"/>
  <c r="H691" i="1"/>
  <c r="L685" i="1"/>
  <c r="K685" i="1"/>
  <c r="H685" i="1"/>
  <c r="L684" i="1"/>
  <c r="K684" i="1"/>
  <c r="H684" i="1"/>
  <c r="L683" i="1"/>
  <c r="K683" i="1"/>
  <c r="H683" i="1"/>
  <c r="L682" i="1"/>
  <c r="K682" i="1"/>
  <c r="H682" i="1"/>
  <c r="L681" i="1"/>
  <c r="K681" i="1"/>
  <c r="H681" i="1"/>
  <c r="L680" i="1"/>
  <c r="K680" i="1"/>
  <c r="H680" i="1"/>
  <c r="L679" i="1"/>
  <c r="K679" i="1"/>
  <c r="H679" i="1"/>
  <c r="L678" i="1"/>
  <c r="K678" i="1"/>
  <c r="H678" i="1"/>
  <c r="L677" i="1"/>
  <c r="K677" i="1"/>
  <c r="H677" i="1"/>
  <c r="L671" i="1"/>
  <c r="K671" i="1"/>
  <c r="H671" i="1"/>
  <c r="L670" i="1"/>
  <c r="K670" i="1"/>
  <c r="H670" i="1"/>
  <c r="L669" i="1"/>
  <c r="K669" i="1"/>
  <c r="H669" i="1"/>
  <c r="L668" i="1"/>
  <c r="K668" i="1"/>
  <c r="H668" i="1"/>
  <c r="L667" i="1"/>
  <c r="K667" i="1"/>
  <c r="H667" i="1"/>
  <c r="L666" i="1"/>
  <c r="K666" i="1"/>
  <c r="H666" i="1"/>
  <c r="L665" i="1"/>
  <c r="K665" i="1"/>
  <c r="H665" i="1"/>
  <c r="L664" i="1"/>
  <c r="K664" i="1"/>
  <c r="H664" i="1"/>
  <c r="L663" i="1"/>
  <c r="K663" i="1"/>
  <c r="H663" i="1"/>
  <c r="L662" i="1"/>
  <c r="K662" i="1"/>
  <c r="H662" i="1"/>
  <c r="L656" i="1"/>
  <c r="K656" i="1"/>
  <c r="H656" i="1"/>
  <c r="L655" i="1"/>
  <c r="K655" i="1"/>
  <c r="H655" i="1"/>
  <c r="L654" i="1"/>
  <c r="K654" i="1"/>
  <c r="H654" i="1"/>
  <c r="L653" i="1"/>
  <c r="K653" i="1"/>
  <c r="H653" i="1"/>
  <c r="L652" i="1"/>
  <c r="K652" i="1"/>
  <c r="H652" i="1"/>
  <c r="L651" i="1"/>
  <c r="K651" i="1"/>
  <c r="H651" i="1"/>
  <c r="L650" i="1"/>
  <c r="K650" i="1"/>
  <c r="H650" i="1"/>
  <c r="L649" i="1"/>
  <c r="K649" i="1"/>
  <c r="H649" i="1"/>
  <c r="L643" i="1"/>
  <c r="K643" i="1"/>
  <c r="H643" i="1"/>
  <c r="L637" i="1"/>
  <c r="K637" i="1"/>
  <c r="H637" i="1"/>
  <c r="L636" i="1"/>
  <c r="K636" i="1"/>
  <c r="H636" i="1"/>
  <c r="L635" i="1"/>
  <c r="K635" i="1"/>
  <c r="H635" i="1"/>
  <c r="L634" i="1"/>
  <c r="K634" i="1"/>
  <c r="H634" i="1"/>
  <c r="L633" i="1"/>
  <c r="K633" i="1"/>
  <c r="H633" i="1"/>
  <c r="L632" i="1"/>
  <c r="K632" i="1"/>
  <c r="H632" i="1"/>
  <c r="L631" i="1"/>
  <c r="K631" i="1"/>
  <c r="H631" i="1"/>
  <c r="L625" i="1"/>
  <c r="K625" i="1"/>
  <c r="H625" i="1"/>
  <c r="L624" i="1"/>
  <c r="K624" i="1"/>
  <c r="H624" i="1"/>
  <c r="L623" i="1"/>
  <c r="K623" i="1"/>
  <c r="H623" i="1"/>
  <c r="L622" i="1"/>
  <c r="K622" i="1"/>
  <c r="H622" i="1"/>
  <c r="L621" i="1"/>
  <c r="K621" i="1"/>
  <c r="H621" i="1"/>
  <c r="L620" i="1"/>
  <c r="K620" i="1"/>
  <c r="H620" i="1"/>
  <c r="L619" i="1"/>
  <c r="K619" i="1"/>
  <c r="H619" i="1"/>
  <c r="L613" i="1"/>
  <c r="K613" i="1"/>
  <c r="H613" i="1"/>
  <c r="L612" i="1"/>
  <c r="K612" i="1"/>
  <c r="H612" i="1"/>
  <c r="L611" i="1"/>
  <c r="K611" i="1"/>
  <c r="H611" i="1"/>
  <c r="L610" i="1"/>
  <c r="K610" i="1"/>
  <c r="H610" i="1"/>
  <c r="L609" i="1"/>
  <c r="K609" i="1"/>
  <c r="H609" i="1"/>
  <c r="L608" i="1"/>
  <c r="K608" i="1"/>
  <c r="H608" i="1"/>
  <c r="L607" i="1"/>
  <c r="K607" i="1"/>
  <c r="H607" i="1"/>
  <c r="L606" i="1"/>
  <c r="K606" i="1"/>
  <c r="H606" i="1"/>
  <c r="L605" i="1"/>
  <c r="K605" i="1"/>
  <c r="H605" i="1"/>
  <c r="L604" i="1"/>
  <c r="K604" i="1"/>
  <c r="H604" i="1"/>
  <c r="L603" i="1"/>
  <c r="K603" i="1"/>
  <c r="H603" i="1"/>
  <c r="L602" i="1"/>
  <c r="K602" i="1"/>
  <c r="H602" i="1"/>
  <c r="L596" i="1"/>
  <c r="K596" i="1"/>
  <c r="H596" i="1"/>
  <c r="L595" i="1"/>
  <c r="K595" i="1"/>
  <c r="H595" i="1"/>
  <c r="L594" i="1"/>
  <c r="K594" i="1"/>
  <c r="H594" i="1"/>
  <c r="L593" i="1"/>
  <c r="K593" i="1"/>
  <c r="H593" i="1"/>
  <c r="L592" i="1"/>
  <c r="K592" i="1"/>
  <c r="H592" i="1"/>
  <c r="L591" i="1"/>
  <c r="K591" i="1"/>
  <c r="H591" i="1"/>
  <c r="L590" i="1"/>
  <c r="K590" i="1"/>
  <c r="H590" i="1"/>
  <c r="L589" i="1"/>
  <c r="K589" i="1"/>
  <c r="H589" i="1"/>
  <c r="L588" i="1"/>
  <c r="K588" i="1"/>
  <c r="H588" i="1"/>
  <c r="L587" i="1"/>
  <c r="K587" i="1"/>
  <c r="H587" i="1"/>
  <c r="L586" i="1"/>
  <c r="K586" i="1"/>
  <c r="H586" i="1"/>
  <c r="L585" i="1"/>
  <c r="K585" i="1"/>
  <c r="H585" i="1"/>
  <c r="L584" i="1"/>
  <c r="K584" i="1"/>
  <c r="H584" i="1"/>
  <c r="L583" i="1"/>
  <c r="K583" i="1"/>
  <c r="H583" i="1"/>
  <c r="L582" i="1"/>
  <c r="K582" i="1"/>
  <c r="H582" i="1"/>
  <c r="L581" i="1"/>
  <c r="K581" i="1"/>
  <c r="H581" i="1"/>
  <c r="L580" i="1"/>
  <c r="K580" i="1"/>
  <c r="H580" i="1"/>
  <c r="L579" i="1"/>
  <c r="K579" i="1"/>
  <c r="H579" i="1"/>
  <c r="L578" i="1"/>
  <c r="K578" i="1"/>
  <c r="H578" i="1"/>
  <c r="L572" i="1"/>
  <c r="K572" i="1"/>
  <c r="H572" i="1"/>
  <c r="L571" i="1"/>
  <c r="K571" i="1"/>
  <c r="H571" i="1"/>
  <c r="L570" i="1"/>
  <c r="K570" i="1"/>
  <c r="H570" i="1"/>
  <c r="L569" i="1"/>
  <c r="K569" i="1"/>
  <c r="H569" i="1"/>
  <c r="L568" i="1"/>
  <c r="K568" i="1"/>
  <c r="H568" i="1"/>
  <c r="L567" i="1"/>
  <c r="K567" i="1"/>
  <c r="H567" i="1"/>
  <c r="L566" i="1"/>
  <c r="K566" i="1"/>
  <c r="H566" i="1"/>
  <c r="L565" i="1"/>
  <c r="K565" i="1"/>
  <c r="H565" i="1"/>
  <c r="L559" i="1"/>
  <c r="K559" i="1"/>
  <c r="H559" i="1"/>
  <c r="L558" i="1"/>
  <c r="K558" i="1"/>
  <c r="H558" i="1"/>
  <c r="L557" i="1"/>
  <c r="K557" i="1"/>
  <c r="H557" i="1"/>
  <c r="L556" i="1"/>
  <c r="K556" i="1"/>
  <c r="H556" i="1"/>
  <c r="L555" i="1"/>
  <c r="K555" i="1"/>
  <c r="H555" i="1"/>
  <c r="L554" i="1"/>
  <c r="K554" i="1"/>
  <c r="H554" i="1"/>
  <c r="L553" i="1"/>
  <c r="K553" i="1"/>
  <c r="H553" i="1"/>
  <c r="L552" i="1"/>
  <c r="K552" i="1"/>
  <c r="H552" i="1"/>
  <c r="L551" i="1"/>
  <c r="K551" i="1"/>
  <c r="H551" i="1"/>
  <c r="L550" i="1"/>
  <c r="K550" i="1"/>
  <c r="H550" i="1"/>
  <c r="L549" i="1"/>
  <c r="K549" i="1"/>
  <c r="H549" i="1"/>
  <c r="L548" i="1"/>
  <c r="K548" i="1"/>
  <c r="H548" i="1"/>
  <c r="L547" i="1"/>
  <c r="K547" i="1"/>
  <c r="H547" i="1"/>
  <c r="L546" i="1"/>
  <c r="K546" i="1"/>
  <c r="H546" i="1"/>
  <c r="L545" i="1"/>
  <c r="K545" i="1"/>
  <c r="H545" i="1"/>
  <c r="L544" i="1"/>
  <c r="K544" i="1"/>
  <c r="H544" i="1"/>
  <c r="L543" i="1"/>
  <c r="K543" i="1"/>
  <c r="H543" i="1"/>
  <c r="L542" i="1"/>
  <c r="K542" i="1"/>
  <c r="H542" i="1"/>
  <c r="L541" i="1"/>
  <c r="K541" i="1"/>
  <c r="H541" i="1"/>
  <c r="L535" i="1"/>
  <c r="K535" i="1"/>
  <c r="H535" i="1"/>
  <c r="L534" i="1"/>
  <c r="K534" i="1"/>
  <c r="H534" i="1"/>
  <c r="L533" i="1"/>
  <c r="K533" i="1"/>
  <c r="H533" i="1"/>
  <c r="L532" i="1"/>
  <c r="K532" i="1"/>
  <c r="H532" i="1"/>
  <c r="L531" i="1"/>
  <c r="K531" i="1"/>
  <c r="H531" i="1"/>
  <c r="L525" i="1"/>
  <c r="K525" i="1"/>
  <c r="H525" i="1"/>
  <c r="L524" i="1"/>
  <c r="K524" i="1"/>
  <c r="H524" i="1"/>
  <c r="L523" i="1"/>
  <c r="K523" i="1"/>
  <c r="H523" i="1"/>
  <c r="L522" i="1"/>
  <c r="K522" i="1"/>
  <c r="H522" i="1"/>
  <c r="L521" i="1"/>
  <c r="K521" i="1"/>
  <c r="H521" i="1"/>
  <c r="L520" i="1"/>
  <c r="K520" i="1"/>
  <c r="H520" i="1"/>
  <c r="L519" i="1"/>
  <c r="K519" i="1"/>
  <c r="H519" i="1"/>
  <c r="L518" i="1"/>
  <c r="K518" i="1"/>
  <c r="H518" i="1"/>
  <c r="L517" i="1"/>
  <c r="K517" i="1"/>
  <c r="H517" i="1"/>
  <c r="L516" i="1"/>
  <c r="K516" i="1"/>
  <c r="H516" i="1"/>
  <c r="L515" i="1"/>
  <c r="K515" i="1"/>
  <c r="H515" i="1"/>
  <c r="L514" i="1"/>
  <c r="K514" i="1"/>
  <c r="H514" i="1"/>
  <c r="L513" i="1"/>
  <c r="K513" i="1"/>
  <c r="H513" i="1"/>
  <c r="L512" i="1"/>
  <c r="K512" i="1"/>
  <c r="H512" i="1"/>
  <c r="L506" i="1"/>
  <c r="K506" i="1"/>
  <c r="H506" i="1"/>
  <c r="L505" i="1"/>
  <c r="K505" i="1"/>
  <c r="H505" i="1"/>
  <c r="L504" i="1"/>
  <c r="K504" i="1"/>
  <c r="H504" i="1"/>
  <c r="L503" i="1"/>
  <c r="K503" i="1"/>
  <c r="H503" i="1"/>
  <c r="L502" i="1"/>
  <c r="K502" i="1"/>
  <c r="H502" i="1"/>
  <c r="L501" i="1"/>
  <c r="K501" i="1"/>
  <c r="H501" i="1"/>
  <c r="L500" i="1"/>
  <c r="K500" i="1"/>
  <c r="H500" i="1"/>
  <c r="L499" i="1"/>
  <c r="K499" i="1"/>
  <c r="H499" i="1"/>
  <c r="L498" i="1"/>
  <c r="K498" i="1"/>
  <c r="H498" i="1"/>
  <c r="L497" i="1"/>
  <c r="K497" i="1"/>
  <c r="H497" i="1"/>
  <c r="L496" i="1"/>
  <c r="K496" i="1"/>
  <c r="H496" i="1"/>
  <c r="L495" i="1"/>
  <c r="K495" i="1"/>
  <c r="H495" i="1"/>
  <c r="L494" i="1"/>
  <c r="K494" i="1"/>
  <c r="H494" i="1"/>
  <c r="L488" i="1"/>
  <c r="K488" i="1"/>
  <c r="H488" i="1"/>
  <c r="L487" i="1"/>
  <c r="K487" i="1"/>
  <c r="H487" i="1"/>
  <c r="L486" i="1"/>
  <c r="K486" i="1"/>
  <c r="H486" i="1"/>
  <c r="L485" i="1"/>
  <c r="K485" i="1"/>
  <c r="H485" i="1"/>
  <c r="L484" i="1"/>
  <c r="K484" i="1"/>
  <c r="H484" i="1"/>
  <c r="L483" i="1"/>
  <c r="K483" i="1"/>
  <c r="H483" i="1"/>
  <c r="L482" i="1"/>
  <c r="K482" i="1"/>
  <c r="H482" i="1"/>
  <c r="L481" i="1"/>
  <c r="K481" i="1"/>
  <c r="H481" i="1"/>
  <c r="L480" i="1"/>
  <c r="K480" i="1"/>
  <c r="H480" i="1"/>
  <c r="L474" i="1"/>
  <c r="K474" i="1"/>
  <c r="H474" i="1"/>
  <c r="L473" i="1"/>
  <c r="K473" i="1"/>
  <c r="H473" i="1"/>
  <c r="L472" i="1"/>
  <c r="K472" i="1"/>
  <c r="H472" i="1"/>
  <c r="L471" i="1"/>
  <c r="K471" i="1"/>
  <c r="H471" i="1"/>
  <c r="L470" i="1"/>
  <c r="K470" i="1"/>
  <c r="H470" i="1"/>
  <c r="L469" i="1"/>
  <c r="K469" i="1"/>
  <c r="H469" i="1"/>
  <c r="L468" i="1"/>
  <c r="K468" i="1"/>
  <c r="H468" i="1"/>
  <c r="L467" i="1"/>
  <c r="K467" i="1"/>
  <c r="H467" i="1"/>
  <c r="L466" i="1"/>
  <c r="K466" i="1"/>
  <c r="H466" i="1"/>
  <c r="L465" i="1"/>
  <c r="K465" i="1"/>
  <c r="H465" i="1"/>
  <c r="L464" i="1"/>
  <c r="K464" i="1"/>
  <c r="H464" i="1"/>
  <c r="L463" i="1"/>
  <c r="K463" i="1"/>
  <c r="H463" i="1"/>
  <c r="L462" i="1"/>
  <c r="K462" i="1"/>
  <c r="H462" i="1"/>
  <c r="L461" i="1"/>
  <c r="K461" i="1"/>
  <c r="H461" i="1"/>
  <c r="L455" i="1"/>
  <c r="K455" i="1"/>
  <c r="H455" i="1"/>
  <c r="L454" i="1"/>
  <c r="K454" i="1"/>
  <c r="H454" i="1"/>
  <c r="L453" i="1"/>
  <c r="K453" i="1"/>
  <c r="H453" i="1"/>
  <c r="L452" i="1"/>
  <c r="K452" i="1"/>
  <c r="H452" i="1"/>
  <c r="L451" i="1"/>
  <c r="K451" i="1"/>
  <c r="H451" i="1"/>
  <c r="L450" i="1"/>
  <c r="K450" i="1"/>
  <c r="H450" i="1"/>
  <c r="L449" i="1"/>
  <c r="K449" i="1"/>
  <c r="H449" i="1"/>
  <c r="L448" i="1"/>
  <c r="K448" i="1"/>
  <c r="H448" i="1"/>
  <c r="L442" i="1"/>
  <c r="K442" i="1"/>
  <c r="H442" i="1"/>
  <c r="L441" i="1"/>
  <c r="K441" i="1"/>
  <c r="H441" i="1"/>
  <c r="L440" i="1"/>
  <c r="K440" i="1"/>
  <c r="H440" i="1"/>
  <c r="L434" i="1"/>
  <c r="K434" i="1"/>
  <c r="H434" i="1"/>
  <c r="L433" i="1"/>
  <c r="K433" i="1"/>
  <c r="H433" i="1"/>
  <c r="L432" i="1"/>
  <c r="K432" i="1"/>
  <c r="H432" i="1"/>
  <c r="L431" i="1"/>
  <c r="K431" i="1"/>
  <c r="H431" i="1"/>
  <c r="L430" i="1"/>
  <c r="K430" i="1"/>
  <c r="H430" i="1"/>
  <c r="L429" i="1"/>
  <c r="K429" i="1"/>
  <c r="H429" i="1"/>
  <c r="L428" i="1"/>
  <c r="K428" i="1"/>
  <c r="H428" i="1"/>
  <c r="L427" i="1"/>
  <c r="K427" i="1"/>
  <c r="H427" i="1"/>
  <c r="L426" i="1"/>
  <c r="K426" i="1"/>
  <c r="H426" i="1"/>
  <c r="L425" i="1"/>
  <c r="K425" i="1"/>
  <c r="H425" i="1"/>
  <c r="L424" i="1"/>
  <c r="K424" i="1"/>
  <c r="H424" i="1"/>
  <c r="L423" i="1"/>
  <c r="K423" i="1"/>
  <c r="H423" i="1"/>
  <c r="L422" i="1"/>
  <c r="K422" i="1"/>
  <c r="H422" i="1"/>
  <c r="L421" i="1"/>
  <c r="K421" i="1"/>
  <c r="H421" i="1"/>
  <c r="L420" i="1"/>
  <c r="K420" i="1"/>
  <c r="H420" i="1"/>
  <c r="L419" i="1"/>
  <c r="K419" i="1"/>
  <c r="H419" i="1"/>
  <c r="L418" i="1"/>
  <c r="K418" i="1"/>
  <c r="H418" i="1"/>
  <c r="L417" i="1"/>
  <c r="K417" i="1"/>
  <c r="H417" i="1"/>
  <c r="L416" i="1"/>
  <c r="K416" i="1"/>
  <c r="H416" i="1"/>
  <c r="L415" i="1"/>
  <c r="K415" i="1"/>
  <c r="H415" i="1"/>
  <c r="L414" i="1"/>
  <c r="K414" i="1"/>
  <c r="H414" i="1"/>
  <c r="L413" i="1"/>
  <c r="K413" i="1"/>
  <c r="H413" i="1"/>
  <c r="L412" i="1"/>
  <c r="K412" i="1"/>
  <c r="H412" i="1"/>
  <c r="L411" i="1"/>
  <c r="K411" i="1"/>
  <c r="H411" i="1"/>
  <c r="L410" i="1"/>
  <c r="K410" i="1"/>
  <c r="H410" i="1"/>
  <c r="L409" i="1"/>
  <c r="K409" i="1"/>
  <c r="H409" i="1"/>
  <c r="L408" i="1"/>
  <c r="K408" i="1"/>
  <c r="H408" i="1"/>
  <c r="L407" i="1"/>
  <c r="K407" i="1"/>
  <c r="H407" i="1"/>
  <c r="L406" i="1"/>
  <c r="K406" i="1"/>
  <c r="H406" i="1"/>
  <c r="L405" i="1"/>
  <c r="K405" i="1"/>
  <c r="H405" i="1"/>
  <c r="L404" i="1"/>
  <c r="K404" i="1"/>
  <c r="H404" i="1"/>
  <c r="L403" i="1"/>
  <c r="K403" i="1"/>
  <c r="H403" i="1"/>
  <c r="L402" i="1"/>
  <c r="K402" i="1"/>
  <c r="H402" i="1"/>
  <c r="L401" i="1"/>
  <c r="K401" i="1"/>
  <c r="H401" i="1"/>
  <c r="L400" i="1"/>
  <c r="K400" i="1"/>
  <c r="H400" i="1"/>
  <c r="L399" i="1"/>
  <c r="K399" i="1"/>
  <c r="H399" i="1"/>
  <c r="L398" i="1"/>
  <c r="K398" i="1"/>
  <c r="H398" i="1"/>
  <c r="L397" i="1"/>
  <c r="K397" i="1"/>
  <c r="H397" i="1"/>
  <c r="L396" i="1"/>
  <c r="K396" i="1"/>
  <c r="H396" i="1"/>
  <c r="L395" i="1"/>
  <c r="K395" i="1"/>
  <c r="H395" i="1"/>
  <c r="L394" i="1"/>
  <c r="K394" i="1"/>
  <c r="H394" i="1"/>
  <c r="L393" i="1"/>
  <c r="K393" i="1"/>
  <c r="H393" i="1"/>
  <c r="L392" i="1"/>
  <c r="K392" i="1"/>
  <c r="H392" i="1"/>
  <c r="L391" i="1"/>
  <c r="K391" i="1"/>
  <c r="H391" i="1"/>
  <c r="L390" i="1"/>
  <c r="K390" i="1"/>
  <c r="H390" i="1"/>
  <c r="L389" i="1"/>
  <c r="K389" i="1"/>
  <c r="H389" i="1"/>
  <c r="L388" i="1"/>
  <c r="K388" i="1"/>
  <c r="H388" i="1"/>
  <c r="L387" i="1"/>
  <c r="K387" i="1"/>
  <c r="H387" i="1"/>
  <c r="L386" i="1"/>
  <c r="K386" i="1"/>
  <c r="H386" i="1"/>
  <c r="L385" i="1"/>
  <c r="K385" i="1"/>
  <c r="H385" i="1"/>
  <c r="L384" i="1"/>
  <c r="K384" i="1"/>
  <c r="H384" i="1"/>
  <c r="L383" i="1"/>
  <c r="K383" i="1"/>
  <c r="H383" i="1"/>
  <c r="L382" i="1"/>
  <c r="K382" i="1"/>
  <c r="H382" i="1"/>
  <c r="L381" i="1"/>
  <c r="K381" i="1"/>
  <c r="H381" i="1"/>
  <c r="L380" i="1"/>
  <c r="K380" i="1"/>
  <c r="H380" i="1"/>
  <c r="L379" i="1"/>
  <c r="K379" i="1"/>
  <c r="H379" i="1"/>
  <c r="L378" i="1"/>
  <c r="K378" i="1"/>
  <c r="H378" i="1"/>
  <c r="L377" i="1"/>
  <c r="K377" i="1"/>
  <c r="H377" i="1"/>
  <c r="L376" i="1"/>
  <c r="K376" i="1"/>
  <c r="H376" i="1"/>
  <c r="L375" i="1"/>
  <c r="K375" i="1"/>
  <c r="H375" i="1"/>
  <c r="L374" i="1"/>
  <c r="K374" i="1"/>
  <c r="H374" i="1"/>
  <c r="L373" i="1"/>
  <c r="K373" i="1"/>
  <c r="H373" i="1"/>
  <c r="L372" i="1"/>
  <c r="K372" i="1"/>
  <c r="H372" i="1"/>
  <c r="L371" i="1"/>
  <c r="K371" i="1"/>
  <c r="H371" i="1"/>
  <c r="L370" i="1"/>
  <c r="K370" i="1"/>
  <c r="H370" i="1"/>
  <c r="L369" i="1"/>
  <c r="K369" i="1"/>
  <c r="H369" i="1"/>
  <c r="L368" i="1"/>
  <c r="K368" i="1"/>
  <c r="H368" i="1"/>
  <c r="L367" i="1"/>
  <c r="K367" i="1"/>
  <c r="H367" i="1"/>
  <c r="L366" i="1"/>
  <c r="K366" i="1"/>
  <c r="H366" i="1"/>
  <c r="L365" i="1"/>
  <c r="K365" i="1"/>
  <c r="H365" i="1"/>
  <c r="L364" i="1"/>
  <c r="K364" i="1"/>
  <c r="H364" i="1"/>
  <c r="L363" i="1"/>
  <c r="K363" i="1"/>
  <c r="H363" i="1"/>
  <c r="L362" i="1"/>
  <c r="K362" i="1"/>
  <c r="H362" i="1"/>
  <c r="L361" i="1"/>
  <c r="K361" i="1"/>
  <c r="H361" i="1"/>
  <c r="L360" i="1"/>
  <c r="K360" i="1"/>
  <c r="H360" i="1"/>
  <c r="L359" i="1"/>
  <c r="K359" i="1"/>
  <c r="H359" i="1"/>
  <c r="L358" i="1"/>
  <c r="K358" i="1"/>
  <c r="H358" i="1"/>
  <c r="L357" i="1"/>
  <c r="K357" i="1"/>
  <c r="H357" i="1"/>
  <c r="L356" i="1"/>
  <c r="K356" i="1"/>
  <c r="H356" i="1"/>
  <c r="L355" i="1"/>
  <c r="K355" i="1"/>
  <c r="H355" i="1"/>
  <c r="L354" i="1"/>
  <c r="K354" i="1"/>
  <c r="H354" i="1"/>
  <c r="L353" i="1"/>
  <c r="K353" i="1"/>
  <c r="H353" i="1"/>
  <c r="L352" i="1"/>
  <c r="K352" i="1"/>
  <c r="H352" i="1"/>
  <c r="L351" i="1"/>
  <c r="K351" i="1"/>
  <c r="H351" i="1"/>
  <c r="L350" i="1"/>
  <c r="K350" i="1"/>
  <c r="H350" i="1"/>
  <c r="L349" i="1"/>
  <c r="K349" i="1"/>
  <c r="H349" i="1"/>
  <c r="L348" i="1"/>
  <c r="K348" i="1"/>
  <c r="H348" i="1"/>
  <c r="L347" i="1"/>
  <c r="K347" i="1"/>
  <c r="H347" i="1"/>
  <c r="L346" i="1"/>
  <c r="K346" i="1"/>
  <c r="H346" i="1"/>
  <c r="L345" i="1"/>
  <c r="K345" i="1"/>
  <c r="H345" i="1"/>
  <c r="L344" i="1"/>
  <c r="K344" i="1"/>
  <c r="H344" i="1"/>
  <c r="L343" i="1"/>
  <c r="K343" i="1"/>
  <c r="H343" i="1"/>
  <c r="L342" i="1"/>
  <c r="K342" i="1"/>
  <c r="H342" i="1"/>
  <c r="L341" i="1"/>
  <c r="K341" i="1"/>
  <c r="H341" i="1"/>
  <c r="L340" i="1"/>
  <c r="K340" i="1"/>
  <c r="H340" i="1"/>
  <c r="L339" i="1"/>
  <c r="K339" i="1"/>
  <c r="H339" i="1"/>
  <c r="L338" i="1"/>
  <c r="K338" i="1"/>
  <c r="H338" i="1"/>
  <c r="L337" i="1"/>
  <c r="K337" i="1"/>
  <c r="H337" i="1"/>
  <c r="L336" i="1"/>
  <c r="K336" i="1"/>
  <c r="H336" i="1"/>
  <c r="L335" i="1"/>
  <c r="K335" i="1"/>
  <c r="H335" i="1"/>
  <c r="L334" i="1"/>
  <c r="K334" i="1"/>
  <c r="H334" i="1"/>
  <c r="L333" i="1"/>
  <c r="K333" i="1"/>
  <c r="H333" i="1"/>
  <c r="L332" i="1"/>
  <c r="K332" i="1"/>
  <c r="H332" i="1"/>
  <c r="L331" i="1"/>
  <c r="K331" i="1"/>
  <c r="H331" i="1"/>
  <c r="L330" i="1"/>
  <c r="K330" i="1"/>
  <c r="H330" i="1"/>
  <c r="L329" i="1"/>
  <c r="K329" i="1"/>
  <c r="H329" i="1"/>
  <c r="L328" i="1"/>
  <c r="K328" i="1"/>
  <c r="H328" i="1"/>
  <c r="L327" i="1"/>
  <c r="K327" i="1"/>
  <c r="H327" i="1"/>
  <c r="L326" i="1"/>
  <c r="K326" i="1"/>
  <c r="H326" i="1"/>
  <c r="L325" i="1"/>
  <c r="K325" i="1"/>
  <c r="H325" i="1"/>
  <c r="L324" i="1"/>
  <c r="K324" i="1"/>
  <c r="H324" i="1"/>
  <c r="L323" i="1"/>
  <c r="K323" i="1"/>
  <c r="H323" i="1"/>
  <c r="L322" i="1"/>
  <c r="K322" i="1"/>
  <c r="H322" i="1"/>
  <c r="L321" i="1"/>
  <c r="K321" i="1"/>
  <c r="H321" i="1"/>
  <c r="L320" i="1"/>
  <c r="K320" i="1"/>
  <c r="H320" i="1"/>
  <c r="L319" i="1"/>
  <c r="K319" i="1"/>
  <c r="H319" i="1"/>
  <c r="L318" i="1"/>
  <c r="K318" i="1"/>
  <c r="H318" i="1"/>
  <c r="L317" i="1"/>
  <c r="K317" i="1"/>
  <c r="H317" i="1"/>
  <c r="L316" i="1"/>
  <c r="K316" i="1"/>
  <c r="H316" i="1"/>
  <c r="L315" i="1"/>
  <c r="K315" i="1"/>
  <c r="H315" i="1"/>
  <c r="L314" i="1"/>
  <c r="K314" i="1"/>
  <c r="H314" i="1"/>
  <c r="L313" i="1"/>
  <c r="K313" i="1"/>
  <c r="H313" i="1"/>
  <c r="L312" i="1"/>
  <c r="K312" i="1"/>
  <c r="H312" i="1"/>
  <c r="L311" i="1"/>
  <c r="K311" i="1"/>
  <c r="H311" i="1"/>
  <c r="L310" i="1"/>
  <c r="K310" i="1"/>
  <c r="H310" i="1"/>
  <c r="L309" i="1"/>
  <c r="K309" i="1"/>
  <c r="H309" i="1"/>
  <c r="L308" i="1"/>
  <c r="K308" i="1"/>
  <c r="H308" i="1"/>
  <c r="L307" i="1"/>
  <c r="K307" i="1"/>
  <c r="H307" i="1"/>
  <c r="L306" i="1"/>
  <c r="K306" i="1"/>
  <c r="H306" i="1"/>
  <c r="L305" i="1"/>
  <c r="K305" i="1"/>
  <c r="H305" i="1"/>
  <c r="L304" i="1"/>
  <c r="K304" i="1"/>
  <c r="H304" i="1"/>
  <c r="L303" i="1"/>
  <c r="K303" i="1"/>
  <c r="H303" i="1"/>
  <c r="L302" i="1"/>
  <c r="K302" i="1"/>
  <c r="H302" i="1"/>
  <c r="L301" i="1"/>
  <c r="K301" i="1"/>
  <c r="H301" i="1"/>
  <c r="L300" i="1"/>
  <c r="K300" i="1"/>
  <c r="H300" i="1"/>
  <c r="L299" i="1"/>
  <c r="K299" i="1"/>
  <c r="H299" i="1"/>
  <c r="L298" i="1"/>
  <c r="K298" i="1"/>
  <c r="H298" i="1"/>
  <c r="L297" i="1"/>
  <c r="K297" i="1"/>
  <c r="H297" i="1"/>
  <c r="L296" i="1"/>
  <c r="K296" i="1"/>
  <c r="H296" i="1"/>
  <c r="L295" i="1"/>
  <c r="K295" i="1"/>
  <c r="H295" i="1"/>
  <c r="L294" i="1"/>
  <c r="K294" i="1"/>
  <c r="H294" i="1"/>
  <c r="L293" i="1"/>
  <c r="K293" i="1"/>
  <c r="H293" i="1"/>
  <c r="L292" i="1"/>
  <c r="K292" i="1"/>
  <c r="H292" i="1"/>
  <c r="L291" i="1"/>
  <c r="K291" i="1"/>
  <c r="H291" i="1"/>
  <c r="L290" i="1"/>
  <c r="K290" i="1"/>
  <c r="H290" i="1"/>
  <c r="L289" i="1"/>
  <c r="K289" i="1"/>
  <c r="H289" i="1"/>
  <c r="L288" i="1"/>
  <c r="K288" i="1"/>
  <c r="H288" i="1"/>
  <c r="L287" i="1"/>
  <c r="K287" i="1"/>
  <c r="H287" i="1"/>
  <c r="L286" i="1"/>
  <c r="K286" i="1"/>
  <c r="H286" i="1"/>
  <c r="L285" i="1"/>
  <c r="K285" i="1"/>
  <c r="H285" i="1"/>
  <c r="L284" i="1"/>
  <c r="K284" i="1"/>
  <c r="H284" i="1"/>
  <c r="L283" i="1"/>
  <c r="K283" i="1"/>
  <c r="H283" i="1"/>
  <c r="L282" i="1"/>
  <c r="K282" i="1"/>
  <c r="H282" i="1"/>
  <c r="L281" i="1"/>
  <c r="K281" i="1"/>
  <c r="H281" i="1"/>
  <c r="L280" i="1"/>
  <c r="K280" i="1"/>
  <c r="H280" i="1"/>
  <c r="L279" i="1"/>
  <c r="K279" i="1"/>
  <c r="H279" i="1"/>
  <c r="L278" i="1"/>
  <c r="K278" i="1"/>
  <c r="H278" i="1"/>
  <c r="L277" i="1"/>
  <c r="K277" i="1"/>
  <c r="H277" i="1"/>
  <c r="L276" i="1"/>
  <c r="K276" i="1"/>
  <c r="H276" i="1"/>
  <c r="L275" i="1"/>
  <c r="K275" i="1"/>
  <c r="H275" i="1"/>
  <c r="L274" i="1"/>
  <c r="K274" i="1"/>
  <c r="H274" i="1"/>
  <c r="L273" i="1"/>
  <c r="K273" i="1"/>
  <c r="H273" i="1"/>
  <c r="L272" i="1"/>
  <c r="K272" i="1"/>
  <c r="H272" i="1"/>
  <c r="L271" i="1"/>
  <c r="K271" i="1"/>
  <c r="H271" i="1"/>
  <c r="L270" i="1"/>
  <c r="K270" i="1"/>
  <c r="H270" i="1"/>
  <c r="L269" i="1"/>
  <c r="K269" i="1"/>
  <c r="H269" i="1"/>
  <c r="L268" i="1"/>
  <c r="K268" i="1"/>
  <c r="H268" i="1"/>
  <c r="L267" i="1"/>
  <c r="K267" i="1"/>
  <c r="H267" i="1"/>
  <c r="L266" i="1"/>
  <c r="K266" i="1"/>
  <c r="H266" i="1"/>
  <c r="L265" i="1"/>
  <c r="K265" i="1"/>
  <c r="H265" i="1"/>
  <c r="L264" i="1"/>
  <c r="K264" i="1"/>
  <c r="H264" i="1"/>
  <c r="L263" i="1"/>
  <c r="K263" i="1"/>
  <c r="H263" i="1"/>
  <c r="L262" i="1"/>
  <c r="K262" i="1"/>
  <c r="H262" i="1"/>
  <c r="L261" i="1"/>
  <c r="K261" i="1"/>
  <c r="H261" i="1"/>
  <c r="L260" i="1"/>
  <c r="K260" i="1"/>
  <c r="H260" i="1"/>
  <c r="L259" i="1"/>
  <c r="K259" i="1"/>
  <c r="H259" i="1"/>
  <c r="L258" i="1"/>
  <c r="K258" i="1"/>
  <c r="H258" i="1"/>
  <c r="L257" i="1"/>
  <c r="K257" i="1"/>
  <c r="H257" i="1"/>
  <c r="L256" i="1"/>
  <c r="K256" i="1"/>
  <c r="H256" i="1"/>
  <c r="L255" i="1"/>
  <c r="K255" i="1"/>
  <c r="H255" i="1"/>
  <c r="L254" i="1"/>
  <c r="K254" i="1"/>
  <c r="H254" i="1"/>
  <c r="L253" i="1"/>
  <c r="K253" i="1"/>
  <c r="H253" i="1"/>
  <c r="L252" i="1"/>
  <c r="K252" i="1"/>
  <c r="H252" i="1"/>
  <c r="L251" i="1"/>
  <c r="K251" i="1"/>
  <c r="H251" i="1"/>
  <c r="L250" i="1"/>
  <c r="K250" i="1"/>
  <c r="H250" i="1"/>
  <c r="L249" i="1"/>
  <c r="K249" i="1"/>
  <c r="H249" i="1"/>
  <c r="L248" i="1"/>
  <c r="K248" i="1"/>
  <c r="H248" i="1"/>
  <c r="L247" i="1"/>
  <c r="K247" i="1"/>
  <c r="H247" i="1"/>
  <c r="L246" i="1"/>
  <c r="K246" i="1"/>
  <c r="H246" i="1"/>
  <c r="L245" i="1"/>
  <c r="K245" i="1"/>
  <c r="H245" i="1"/>
  <c r="L244" i="1"/>
  <c r="K244" i="1"/>
  <c r="H244" i="1"/>
  <c r="L243" i="1"/>
  <c r="K243" i="1"/>
  <c r="H243" i="1"/>
  <c r="L242" i="1"/>
  <c r="K242" i="1"/>
  <c r="H242" i="1"/>
  <c r="L241" i="1"/>
  <c r="K241" i="1"/>
  <c r="H241" i="1"/>
  <c r="L240" i="1"/>
  <c r="K240" i="1"/>
  <c r="H240" i="1"/>
  <c r="L239" i="1"/>
  <c r="K239" i="1"/>
  <c r="H239" i="1"/>
  <c r="L238" i="1"/>
  <c r="K238" i="1"/>
  <c r="H238" i="1"/>
  <c r="L237" i="1"/>
  <c r="K237" i="1"/>
  <c r="H237" i="1"/>
  <c r="L236" i="1"/>
  <c r="K236" i="1"/>
  <c r="H236" i="1"/>
  <c r="L235" i="1"/>
  <c r="K235" i="1"/>
  <c r="H235" i="1"/>
  <c r="L234" i="1"/>
  <c r="K234" i="1"/>
  <c r="H234" i="1"/>
  <c r="L233" i="1"/>
  <c r="K233" i="1"/>
  <c r="H233" i="1"/>
  <c r="L232" i="1"/>
  <c r="K232" i="1"/>
  <c r="H232" i="1"/>
  <c r="L231" i="1"/>
  <c r="K231" i="1"/>
  <c r="H231" i="1"/>
  <c r="L230" i="1"/>
  <c r="K230" i="1"/>
  <c r="H230" i="1"/>
  <c r="L229" i="1"/>
  <c r="K229" i="1"/>
  <c r="H229" i="1"/>
  <c r="L228" i="1"/>
  <c r="K228" i="1"/>
  <c r="H228" i="1"/>
  <c r="L227" i="1"/>
  <c r="K227" i="1"/>
  <c r="H227" i="1"/>
  <c r="L226" i="1"/>
  <c r="K226" i="1"/>
  <c r="H226" i="1"/>
  <c r="L225" i="1"/>
  <c r="K225" i="1"/>
  <c r="H225" i="1"/>
  <c r="L224" i="1"/>
  <c r="K224" i="1"/>
  <c r="H224" i="1"/>
  <c r="L223" i="1"/>
  <c r="K223" i="1"/>
  <c r="H223" i="1"/>
  <c r="L222" i="1"/>
  <c r="K222" i="1"/>
  <c r="H222" i="1"/>
  <c r="L221" i="1"/>
  <c r="K221" i="1"/>
  <c r="H221" i="1"/>
  <c r="L220" i="1"/>
  <c r="K220" i="1"/>
  <c r="H220" i="1"/>
  <c r="L219" i="1"/>
  <c r="K219" i="1"/>
  <c r="H219" i="1"/>
  <c r="L218" i="1"/>
  <c r="K218" i="1"/>
  <c r="H218" i="1"/>
  <c r="L217" i="1"/>
  <c r="K217" i="1"/>
  <c r="H217" i="1"/>
  <c r="L216" i="1"/>
  <c r="K216" i="1"/>
  <c r="H216" i="1"/>
  <c r="L215" i="1"/>
  <c r="K215" i="1"/>
  <c r="H215" i="1"/>
  <c r="L214" i="1"/>
  <c r="K214" i="1"/>
  <c r="H214" i="1"/>
  <c r="L213" i="1"/>
  <c r="K213" i="1"/>
  <c r="H213" i="1"/>
  <c r="L212" i="1"/>
  <c r="K212" i="1"/>
  <c r="H212" i="1"/>
  <c r="L211" i="1"/>
  <c r="K211" i="1"/>
  <c r="H211" i="1"/>
  <c r="L210" i="1"/>
  <c r="K210" i="1"/>
  <c r="H210" i="1"/>
  <c r="L209" i="1"/>
  <c r="K209" i="1"/>
  <c r="H209" i="1"/>
  <c r="L208" i="1"/>
  <c r="K208" i="1"/>
  <c r="H208" i="1"/>
  <c r="L207" i="1"/>
  <c r="K207" i="1"/>
  <c r="H207" i="1"/>
  <c r="L206" i="1"/>
  <c r="K206" i="1"/>
  <c r="H206" i="1"/>
  <c r="L205" i="1"/>
  <c r="K205" i="1"/>
  <c r="H205" i="1"/>
  <c r="L204" i="1"/>
  <c r="K204" i="1"/>
  <c r="H204" i="1"/>
  <c r="L203" i="1"/>
  <c r="K203" i="1"/>
  <c r="H203" i="1"/>
  <c r="L202" i="1"/>
  <c r="K202" i="1"/>
  <c r="H202" i="1"/>
  <c r="L201" i="1"/>
  <c r="K201" i="1"/>
  <c r="H201" i="1"/>
  <c r="L200" i="1"/>
  <c r="K200" i="1"/>
  <c r="H200" i="1"/>
  <c r="L199" i="1"/>
  <c r="K199" i="1"/>
  <c r="H199" i="1"/>
  <c r="L198" i="1"/>
  <c r="K198" i="1"/>
  <c r="H198" i="1"/>
  <c r="L197" i="1"/>
  <c r="K197" i="1"/>
  <c r="H197" i="1"/>
  <c r="L196" i="1"/>
  <c r="K196" i="1"/>
  <c r="H196" i="1"/>
  <c r="L195" i="1"/>
  <c r="K195" i="1"/>
  <c r="H195" i="1"/>
  <c r="L194" i="1"/>
  <c r="K194" i="1"/>
  <c r="H194" i="1"/>
  <c r="L193" i="1"/>
  <c r="K193" i="1"/>
  <c r="H193" i="1"/>
  <c r="L192" i="1"/>
  <c r="K192" i="1"/>
  <c r="H192" i="1"/>
  <c r="L191" i="1"/>
  <c r="K191" i="1"/>
  <c r="H191" i="1"/>
  <c r="L190" i="1"/>
  <c r="K190" i="1"/>
  <c r="H190" i="1"/>
  <c r="L189" i="1"/>
  <c r="K189" i="1"/>
  <c r="H189" i="1"/>
  <c r="L188" i="1"/>
  <c r="K188" i="1"/>
  <c r="H188" i="1"/>
  <c r="L187" i="1"/>
  <c r="K187" i="1"/>
  <c r="H187" i="1"/>
  <c r="L186" i="1"/>
  <c r="K186" i="1"/>
  <c r="H186" i="1"/>
  <c r="L185" i="1"/>
  <c r="K185" i="1"/>
  <c r="H185" i="1"/>
  <c r="L184" i="1"/>
  <c r="K184" i="1"/>
  <c r="H184" i="1"/>
  <c r="L183" i="1"/>
  <c r="K183" i="1"/>
  <c r="H183" i="1"/>
  <c r="L182" i="1"/>
  <c r="K182" i="1"/>
  <c r="H182" i="1"/>
  <c r="L181" i="1"/>
  <c r="K181" i="1"/>
  <c r="H181" i="1"/>
  <c r="L180" i="1"/>
  <c r="K180" i="1"/>
  <c r="H180" i="1"/>
  <c r="L179" i="1"/>
  <c r="K179" i="1"/>
  <c r="H179" i="1"/>
  <c r="L178" i="1"/>
  <c r="K178" i="1"/>
  <c r="H178" i="1"/>
  <c r="L177" i="1"/>
  <c r="K177" i="1"/>
  <c r="H177" i="1"/>
  <c r="L176" i="1"/>
  <c r="K176" i="1"/>
  <c r="H176" i="1"/>
  <c r="L175" i="1"/>
  <c r="K175" i="1"/>
  <c r="H175" i="1"/>
  <c r="L174" i="1"/>
  <c r="K174" i="1"/>
  <c r="H174" i="1"/>
  <c r="L173" i="1"/>
  <c r="K173" i="1"/>
  <c r="H173" i="1"/>
  <c r="L172" i="1"/>
  <c r="K172" i="1"/>
  <c r="H172" i="1"/>
  <c r="L171" i="1"/>
  <c r="K171" i="1"/>
  <c r="H171" i="1"/>
  <c r="L170" i="1"/>
  <c r="K170" i="1"/>
  <c r="H170" i="1"/>
  <c r="L169" i="1"/>
  <c r="K169" i="1"/>
  <c r="H169" i="1"/>
  <c r="L168" i="1"/>
  <c r="K168" i="1"/>
  <c r="H168" i="1"/>
  <c r="L167" i="1"/>
  <c r="K167" i="1"/>
  <c r="H167" i="1"/>
  <c r="L166" i="1"/>
  <c r="K166" i="1"/>
  <c r="H166" i="1"/>
  <c r="L165" i="1"/>
  <c r="K165" i="1"/>
  <c r="H165" i="1"/>
  <c r="L164" i="1"/>
  <c r="K164" i="1"/>
  <c r="H164" i="1"/>
  <c r="L163" i="1"/>
  <c r="K163" i="1"/>
  <c r="H163" i="1"/>
  <c r="L162" i="1"/>
  <c r="K162" i="1"/>
  <c r="H162" i="1"/>
  <c r="L161" i="1"/>
  <c r="K161" i="1"/>
  <c r="H161" i="1"/>
  <c r="L155" i="1"/>
  <c r="K155" i="1"/>
  <c r="H155" i="1"/>
  <c r="L154" i="1"/>
  <c r="K154" i="1"/>
  <c r="H154" i="1"/>
  <c r="L153" i="1"/>
  <c r="K153" i="1"/>
  <c r="H153" i="1"/>
  <c r="L152" i="1"/>
  <c r="K152" i="1"/>
  <c r="H152" i="1"/>
  <c r="L151" i="1"/>
  <c r="K151" i="1"/>
  <c r="H151" i="1"/>
  <c r="L150" i="1"/>
  <c r="K150" i="1"/>
  <c r="H150" i="1"/>
  <c r="L149" i="1"/>
  <c r="K149" i="1"/>
  <c r="H149" i="1"/>
  <c r="L148" i="1"/>
  <c r="K148" i="1"/>
  <c r="H148" i="1"/>
  <c r="L142" i="1"/>
  <c r="K142" i="1"/>
  <c r="H142" i="1"/>
  <c r="L141" i="1"/>
  <c r="K141" i="1"/>
  <c r="H141" i="1"/>
  <c r="L140" i="1"/>
  <c r="K140" i="1"/>
  <c r="H140" i="1"/>
  <c r="L139" i="1"/>
  <c r="K139" i="1"/>
  <c r="H139" i="1"/>
  <c r="L138" i="1"/>
  <c r="K138" i="1"/>
  <c r="H138" i="1"/>
  <c r="L137" i="1"/>
  <c r="K137" i="1"/>
  <c r="H137" i="1"/>
  <c r="L136" i="1"/>
  <c r="K136" i="1"/>
  <c r="H136" i="1"/>
  <c r="L135" i="1"/>
  <c r="K135" i="1"/>
  <c r="H135" i="1"/>
  <c r="L129" i="1"/>
  <c r="K129" i="1"/>
  <c r="H129" i="1"/>
  <c r="L128" i="1"/>
  <c r="K128" i="1"/>
  <c r="H128" i="1"/>
  <c r="L122" i="1"/>
  <c r="K122" i="1"/>
  <c r="H122" i="1"/>
  <c r="L121" i="1"/>
  <c r="K121" i="1"/>
  <c r="H121" i="1"/>
  <c r="L120" i="1"/>
  <c r="K120" i="1"/>
  <c r="H120" i="1"/>
  <c r="L119" i="1"/>
  <c r="K119" i="1"/>
  <c r="H119" i="1"/>
  <c r="L118" i="1"/>
  <c r="K118" i="1"/>
  <c r="H118" i="1"/>
  <c r="L117" i="1"/>
  <c r="K117" i="1"/>
  <c r="H117" i="1"/>
  <c r="L116" i="1"/>
  <c r="K116" i="1"/>
  <c r="H116" i="1"/>
  <c r="L115" i="1"/>
  <c r="K115" i="1"/>
  <c r="H115" i="1"/>
  <c r="L114" i="1"/>
  <c r="K114" i="1"/>
  <c r="H114" i="1"/>
  <c r="L113" i="1"/>
  <c r="K113" i="1"/>
  <c r="H113" i="1"/>
  <c r="L112" i="1"/>
  <c r="K112" i="1"/>
  <c r="H112" i="1"/>
  <c r="L111" i="1"/>
  <c r="K111" i="1"/>
  <c r="H111" i="1"/>
  <c r="L110" i="1"/>
  <c r="K110" i="1"/>
  <c r="H110" i="1"/>
  <c r="L104" i="1"/>
  <c r="K104" i="1"/>
  <c r="H104" i="1"/>
  <c r="L103" i="1"/>
  <c r="K103" i="1"/>
  <c r="H103" i="1"/>
  <c r="L102" i="1"/>
  <c r="K102" i="1"/>
  <c r="H102" i="1"/>
  <c r="L101" i="1"/>
  <c r="K101" i="1"/>
  <c r="H101" i="1"/>
  <c r="L100" i="1"/>
  <c r="K100" i="1"/>
  <c r="H100" i="1"/>
  <c r="L99" i="1"/>
  <c r="K99" i="1"/>
  <c r="H99" i="1"/>
  <c r="L98" i="1"/>
  <c r="K98" i="1"/>
  <c r="H98" i="1"/>
  <c r="L92" i="1"/>
  <c r="K92" i="1"/>
  <c r="H92" i="1"/>
  <c r="L91" i="1"/>
  <c r="K91" i="1"/>
  <c r="H91" i="1"/>
  <c r="L90" i="1"/>
  <c r="K90" i="1"/>
  <c r="H90" i="1"/>
  <c r="L89" i="1"/>
  <c r="K89" i="1"/>
  <c r="H89" i="1"/>
  <c r="L88" i="1"/>
  <c r="K88" i="1"/>
  <c r="H88" i="1"/>
  <c r="L87" i="1"/>
  <c r="K87" i="1"/>
  <c r="H87" i="1"/>
  <c r="L86" i="1"/>
  <c r="K86" i="1"/>
  <c r="H86" i="1"/>
  <c r="L85" i="1"/>
  <c r="K85" i="1"/>
  <c r="H85" i="1"/>
  <c r="L84" i="1"/>
  <c r="K84" i="1"/>
  <c r="H84" i="1"/>
  <c r="L83" i="1"/>
  <c r="K83" i="1"/>
  <c r="H83" i="1"/>
  <c r="L82" i="1"/>
  <c r="K82" i="1"/>
  <c r="H82" i="1"/>
  <c r="L81" i="1"/>
  <c r="K81" i="1"/>
  <c r="H81" i="1"/>
  <c r="L80" i="1"/>
  <c r="K80" i="1"/>
  <c r="H80" i="1"/>
  <c r="L79" i="1"/>
  <c r="K79" i="1"/>
  <c r="H79" i="1"/>
  <c r="M71" i="1"/>
  <c r="L71" i="1"/>
  <c r="I71" i="1"/>
  <c r="M70" i="1"/>
  <c r="L70" i="1"/>
  <c r="I70" i="1"/>
  <c r="M69" i="1"/>
  <c r="L69" i="1"/>
  <c r="I69" i="1"/>
  <c r="M68" i="1"/>
  <c r="L68" i="1"/>
  <c r="I68" i="1"/>
  <c r="M67" i="1"/>
  <c r="L67" i="1"/>
  <c r="I67" i="1"/>
  <c r="M66" i="1"/>
  <c r="L66" i="1"/>
  <c r="I66" i="1"/>
  <c r="M65" i="1"/>
  <c r="L65" i="1"/>
  <c r="I65" i="1"/>
  <c r="M64" i="1"/>
  <c r="L64" i="1"/>
  <c r="I64" i="1"/>
  <c r="M63" i="1"/>
  <c r="L63" i="1"/>
  <c r="I63" i="1"/>
  <c r="M62" i="1"/>
  <c r="L62" i="1"/>
  <c r="I62" i="1"/>
  <c r="M61" i="1"/>
  <c r="L61" i="1"/>
  <c r="I61" i="1"/>
  <c r="M60" i="1"/>
  <c r="L60" i="1"/>
  <c r="I60" i="1"/>
  <c r="M59" i="1"/>
  <c r="L59" i="1"/>
  <c r="I59" i="1"/>
  <c r="M58" i="1"/>
  <c r="L58" i="1"/>
  <c r="I58" i="1"/>
  <c r="M57" i="1"/>
  <c r="L57" i="1"/>
  <c r="I57" i="1"/>
  <c r="M56" i="1"/>
  <c r="L56" i="1"/>
  <c r="I56" i="1"/>
  <c r="M55" i="1"/>
  <c r="L55" i="1"/>
  <c r="I55" i="1"/>
  <c r="M54" i="1"/>
  <c r="L54" i="1"/>
  <c r="I54" i="1"/>
  <c r="M53" i="1"/>
  <c r="L53" i="1"/>
  <c r="I53" i="1"/>
  <c r="M52" i="1"/>
  <c r="L52" i="1"/>
  <c r="I52" i="1"/>
  <c r="M51" i="1"/>
  <c r="L51" i="1"/>
  <c r="I51" i="1"/>
  <c r="M50" i="1"/>
  <c r="L50" i="1"/>
  <c r="I50" i="1"/>
  <c r="M49" i="1"/>
  <c r="L49" i="1"/>
  <c r="I49" i="1"/>
  <c r="M48" i="1"/>
  <c r="L48" i="1"/>
  <c r="I48" i="1"/>
  <c r="M47" i="1"/>
  <c r="L47" i="1"/>
  <c r="I47" i="1"/>
  <c r="M46" i="1"/>
  <c r="L46" i="1"/>
  <c r="I46" i="1"/>
  <c r="M45" i="1"/>
  <c r="L45" i="1"/>
  <c r="I45" i="1"/>
  <c r="M44" i="1"/>
  <c r="L44" i="1"/>
  <c r="I44" i="1"/>
  <c r="M43" i="1"/>
  <c r="L43" i="1"/>
  <c r="I43" i="1"/>
  <c r="M42" i="1"/>
  <c r="L42" i="1"/>
  <c r="I42" i="1"/>
  <c r="M41" i="1"/>
  <c r="L41" i="1"/>
  <c r="I41" i="1"/>
  <c r="M40" i="1"/>
  <c r="L40" i="1"/>
  <c r="I40" i="1"/>
  <c r="M39" i="1"/>
  <c r="L39" i="1"/>
  <c r="I39" i="1"/>
  <c r="M38" i="1"/>
  <c r="L38" i="1"/>
  <c r="I38" i="1"/>
  <c r="M37" i="1"/>
  <c r="L37" i="1"/>
  <c r="I37" i="1"/>
  <c r="M36" i="1"/>
  <c r="L36" i="1"/>
  <c r="I36" i="1"/>
  <c r="M35" i="1"/>
  <c r="L35" i="1"/>
  <c r="I35" i="1"/>
  <c r="M34" i="1"/>
  <c r="L34" i="1"/>
  <c r="I34" i="1"/>
  <c r="M33" i="1"/>
  <c r="L33" i="1"/>
  <c r="I33" i="1"/>
  <c r="M32" i="1"/>
  <c r="L32" i="1"/>
  <c r="I32" i="1"/>
  <c r="M31" i="1"/>
  <c r="L31" i="1"/>
  <c r="I31" i="1"/>
  <c r="M30" i="1"/>
  <c r="L30" i="1"/>
  <c r="I30" i="1"/>
  <c r="M29" i="1"/>
  <c r="L29" i="1"/>
  <c r="I29" i="1"/>
  <c r="M28" i="1"/>
  <c r="L28" i="1"/>
  <c r="I28" i="1"/>
  <c r="M27" i="1"/>
  <c r="L27" i="1"/>
  <c r="I27" i="1"/>
  <c r="M26" i="1"/>
  <c r="L26" i="1"/>
  <c r="I26" i="1"/>
  <c r="M25" i="1"/>
  <c r="L25" i="1"/>
  <c r="I25" i="1"/>
  <c r="M24" i="1"/>
  <c r="L24" i="1"/>
  <c r="I24" i="1"/>
  <c r="M23" i="1"/>
  <c r="L23" i="1"/>
  <c r="I23" i="1"/>
  <c r="M22" i="1"/>
  <c r="L22" i="1"/>
  <c r="I22" i="1"/>
  <c r="M21" i="1"/>
  <c r="L21" i="1"/>
  <c r="I21" i="1"/>
  <c r="M20" i="1"/>
  <c r="L20" i="1"/>
  <c r="I20" i="1"/>
  <c r="M19" i="1"/>
  <c r="L19" i="1"/>
  <c r="I19" i="1"/>
  <c r="M18" i="1"/>
  <c r="L18" i="1"/>
  <c r="I18" i="1"/>
  <c r="M17" i="1"/>
  <c r="L17" i="1"/>
  <c r="I17" i="1"/>
  <c r="M16" i="1"/>
  <c r="L16" i="1"/>
  <c r="I16" i="1"/>
  <c r="M15" i="1"/>
  <c r="L15" i="1"/>
  <c r="I15" i="1"/>
  <c r="M14" i="1"/>
  <c r="L14" i="1"/>
  <c r="I14" i="1"/>
  <c r="M13" i="1"/>
  <c r="L13" i="1"/>
  <c r="I13" i="1"/>
  <c r="M12" i="1"/>
  <c r="L12" i="1"/>
  <c r="I12" i="1"/>
  <c r="M11" i="1"/>
  <c r="L11" i="1"/>
  <c r="I11" i="1"/>
  <c r="M10" i="1"/>
  <c r="L10" i="1"/>
  <c r="I10" i="1"/>
  <c r="M9" i="1"/>
  <c r="L9" i="1"/>
  <c r="I9" i="1"/>
  <c r="M8" i="1"/>
  <c r="L8" i="1"/>
  <c r="I8" i="1"/>
</calcChain>
</file>

<file path=xl/sharedStrings.xml><?xml version="1.0" encoding="utf-8"?>
<sst xmlns="http://schemas.openxmlformats.org/spreadsheetml/2006/main" count="4739" uniqueCount="514">
  <si>
    <t>Informe de trayectos</t>
  </si>
  <si>
    <t>Periodo: 11 de febrero de 2025 0:00 - 11 de febrero de 2025 23:59</t>
  </si>
  <si>
    <t>Informe generado</t>
  </si>
  <si>
    <t>a: 22 de septiembre de 2025 14:13</t>
  </si>
  <si>
    <t>Resumen del informe</t>
  </si>
  <si>
    <t>Hora de inicio de trabajo</t>
  </si>
  <si>
    <t>Ubicación de inicio de trabajo</t>
  </si>
  <si>
    <t>Hora de fin de trabajo</t>
  </si>
  <si>
    <t>Ubicación de fin de trabajo</t>
  </si>
  <si>
    <t>Kilometraje recorrido</t>
  </si>
  <si>
    <t>Kilometraje al inicio</t>
  </si>
  <si>
    <t>Kilometraje al final</t>
  </si>
  <si>
    <t>Duración de inactividad</t>
  </si>
  <si>
    <t>Velocidad máxima</t>
  </si>
  <si>
    <t>Velocidad media</t>
  </si>
  <si>
    <t>Duración del trabajo</t>
  </si>
  <si>
    <t>Duración de parada</t>
  </si>
  <si>
    <t>Ate, Lima Metropolitana, Lima, 15498, Perú</t>
  </si>
  <si>
    <t>73 km/h</t>
  </si>
  <si>
    <t>15 km/h</t>
  </si>
  <si>
    <t>Avenida Lima Norte, Santa Eulalia, Lima Metropolitana, Lima, 15468, Perú</t>
  </si>
  <si>
    <t>83 km/h</t>
  </si>
  <si>
    <t>19 km/h</t>
  </si>
  <si>
    <t>Avenida Los Incas, Ate, Lima Metropolitana, Lima, 15483, Perú</t>
  </si>
  <si>
    <t>Los Huancas, Ate, Lima Metropolitana, Lima, 15483, Perú</t>
  </si>
  <si>
    <t>80 km/h</t>
  </si>
  <si>
    <t>18 km/h</t>
  </si>
  <si>
    <t>Calle Manantiales de Vida, Ate, Lima Metropolitana, Lima, 15487, Perú</t>
  </si>
  <si>
    <t>7 km/h</t>
  </si>
  <si>
    <t>1 km/h</t>
  </si>
  <si>
    <t>Ate, Lima Metropolitana, Lima, 15483, Perú</t>
  </si>
  <si>
    <t>14 km/h</t>
  </si>
  <si>
    <t>72 km/h</t>
  </si>
  <si>
    <t>85 km/h</t>
  </si>
  <si>
    <t>22 km/h</t>
  </si>
  <si>
    <t>Carretera Central, Chaclacayo, Lima Metropolitana, Lima, 15476, Perú</t>
  </si>
  <si>
    <t>70 km/h</t>
  </si>
  <si>
    <t>16 km/h</t>
  </si>
  <si>
    <t>Calle los Alamos, Chosica, Lima Metropolitana, Lima, 15468, Perú</t>
  </si>
  <si>
    <t>75 km/h</t>
  </si>
  <si>
    <t>Calle Las Gardenias, Ricardo Palma, Huarochirí, Lima, 15468, Perú</t>
  </si>
  <si>
    <t>Capitan Gamarra, Ricardo Palma, Huarochirí, Lima, 15468, Perú, (Ruta4507nueva era 23-10-23)</t>
  </si>
  <si>
    <t>17 km/h</t>
  </si>
  <si>
    <t>104 km/h</t>
  </si>
  <si>
    <t>Avenida José Carlos Mariátegui, Ricardo Palma, Huarochirí, Lima, 15468, Perú</t>
  </si>
  <si>
    <t>84 km/h</t>
  </si>
  <si>
    <t>Calle Huayna Cápac, 200, Chaclacayo, Lima Metropolitana, Lima, 15474, Perú</t>
  </si>
  <si>
    <t>97 km/h</t>
  </si>
  <si>
    <t>Avenida José Carlos Mariátegui, Ate, Lima Metropolitana, Lima, 15487, Perú</t>
  </si>
  <si>
    <t>Avenida Micaela Bastidas, 382, Santa Eulalia, Huarochirí, Lima, 15468, Perú</t>
  </si>
  <si>
    <t>98 km/h</t>
  </si>
  <si>
    <t>Calle Cerro de Pasco, Ate, Lima Metropolitana, Lima, 15498, Perú</t>
  </si>
  <si>
    <t>76 km/h</t>
  </si>
  <si>
    <t>Avenida Bernard de Balaguer, Lurigancho, Lima Metropolitana, Lima, 15464, Perú</t>
  </si>
  <si>
    <t>87 km/h</t>
  </si>
  <si>
    <t>71 km/h</t>
  </si>
  <si>
    <t>13 km/h</t>
  </si>
  <si>
    <t>2 km/h</t>
  </si>
  <si>
    <t>Calle 1, Ate, Lima Metropolitana, Lima, 15483, Perú</t>
  </si>
  <si>
    <t>88 km/h</t>
  </si>
  <si>
    <t>Avenida Alfonso Ugarte, 650, Lima, Lima Metropolitana, Lima, 15082, Perú, (Ruta4507nueva era 23-10-23)</t>
  </si>
  <si>
    <t>Avenida Las Retamas, Chaclacayo, Lima Metropolitana, Lima, 15474, Perú</t>
  </si>
  <si>
    <t>64 km/h</t>
  </si>
  <si>
    <t>Calle Leoncio Prado, Santa Eulalia, Huarochirí, Lima, 15468, Perú</t>
  </si>
  <si>
    <t>Calle Las Tunas, Santa Anita, Lima Metropolitana, Lima, 15007, Perú</t>
  </si>
  <si>
    <t>Calle Los Topacios, Lurigancho, Lima Metropolitana, Lima, 15472, Perú</t>
  </si>
  <si>
    <t>78 km/h</t>
  </si>
  <si>
    <t>Carretera Central (auxiliar), Chaclacayo, Lima Metropolitana, Lima, 15476, Perú, (Ruta4507nueva era 23-10-23)</t>
  </si>
  <si>
    <t>Avenida Andrés Avelino Cáceres, Ate, Lima Metropolitana, Lima, 15019, Perú</t>
  </si>
  <si>
    <t>103 km/h</t>
  </si>
  <si>
    <t>Avenida Almirante Miguel Grau, La Victoria, Lima Metropolitana, Lima, 15001, Perú, (Ruta4507nueva era 23-10-23)</t>
  </si>
  <si>
    <t>Avenida Paseo de la República, Lima, Lima Metropolitana, Lima, 15083, Perú, (Ruta4507nueva era 23-10-23)</t>
  </si>
  <si>
    <t>89 km/h</t>
  </si>
  <si>
    <t>Calle 11, Santa Anita, Lima Metropolitana, Lima, 15009, Perú</t>
  </si>
  <si>
    <t>90 km/h</t>
  </si>
  <si>
    <t>79 km/h</t>
  </si>
  <si>
    <t>Carretera Central, Ate, Lima Metropolitana, Lima, 15474, Perú</t>
  </si>
  <si>
    <t>Ate, Lima Metropolitana, Lima, 15474, Perú</t>
  </si>
  <si>
    <t>Avenida Enrique Guzmán y Valle, Chosica, Lima Metropolitana, Lima, 15468, Perú</t>
  </si>
  <si>
    <t>Calle Los Álamos, Ate, Lima Metropolitana, Lima, 15483, Perú</t>
  </si>
  <si>
    <t>Jirón Argentina, Chosica, Lima Metropolitana, Lima, 15468, Perú</t>
  </si>
  <si>
    <t>Calle El Trabajo, Ate, Lima Metropolitana, Lima, 15498, Perú, (Ruta4507nueva era 23-10-23)</t>
  </si>
  <si>
    <t>Avenida Andrés Avelino Cáceres, Ate, Lima Metropolitana, Lima, 15483, Perú</t>
  </si>
  <si>
    <t>74 km/h</t>
  </si>
  <si>
    <t>Santa Eulalia, Huarochirí, Lima, 15468, Perú</t>
  </si>
  <si>
    <t>Avenida Las Retamas, Ricardo Palma, Huarochirí, Lima, 15468, Perú</t>
  </si>
  <si>
    <t>92 km/h</t>
  </si>
  <si>
    <t>Avenida Nicolás de Ayllón, Ate, Lima Metropolitana, Lima, 15487, Perú, (Ruta4507nueva era 23-10-23)</t>
  </si>
  <si>
    <t>0 km/h</t>
  </si>
  <si>
    <t>Ate, Lima Metropolitana, Lima, 15487, Perú</t>
  </si>
  <si>
    <t>Calle 20 de Enero, Santa Eulalia, Huarochirí, Lima, 15468, Perú</t>
  </si>
  <si>
    <t>Corcona, Huarochirí, Lima, Perú</t>
  </si>
  <si>
    <t>82 km/h</t>
  </si>
  <si>
    <t>Lurigancho, Lima Metropolitana, Lima, 15468, Perú</t>
  </si>
  <si>
    <t>Avenida Lima Norte, Chosica, Lima Metropolitana, Lima, 15468, Perú</t>
  </si>
  <si>
    <t>Avenida Nicolás de Ayllón, Santa Anita, Lima Metropolitana, Lima, 15008, Perú, (Ruta4507nueva era 23-10-23, RUTA DESVIO TEM.  4507)</t>
  </si>
  <si>
    <t>115 km/h</t>
  </si>
  <si>
    <t>Calle Salaverry, 280, Chosica, Lima Metropolitana, Lima, 15468, Perú, (Ruta4507nueva era 23-10-23)</t>
  </si>
  <si>
    <t>Calle 3, Chosica, Lima Metropolitana, Lima, 15468, Perú</t>
  </si>
  <si>
    <t>Avenida Micaela Bastidas, 561, Santa Eulalia, Huarochirí, Lima, 15468, Perú</t>
  </si>
  <si>
    <t>Avenida Nicolás de Ayllón, Ate, Lima Metropolitana, Lima, 15498, Perú, (Ruta4507nueva era 23-10-23, RUTA DESVIO TEM.  4507)</t>
  </si>
  <si>
    <t>Carretera Central, Ate, Lima Metropolitana, Lima, 15474, Perú, (Ruta4507nueva era 23-10-23)</t>
  </si>
  <si>
    <t>Avenida Almirante Miguel Grau, 1294, Lima, Lima Metropolitana, Lima, 15011, Perú, (Ruta4507nueva era 23-10-23)</t>
  </si>
  <si>
    <t>Micaela Bastidas, Ate, Lima Metropolitana, Lima, 15498, Perú</t>
  </si>
  <si>
    <t>Ojeda, 145, Chosica, Lima Metropolitana, Lima, 15468, Perú</t>
  </si>
  <si>
    <t>Avenida Simón Bolívar, Santa Eulalia, Huarochirí, Lima, 15468, Perú</t>
  </si>
  <si>
    <t>99 km/h</t>
  </si>
  <si>
    <t>68 km/h</t>
  </si>
  <si>
    <t>21 km/h</t>
  </si>
  <si>
    <t>Calle Estocolmo, Ate, Lima Metropolitana, Lima, 15498, Perú</t>
  </si>
  <si>
    <t>66 km/h</t>
  </si>
  <si>
    <t>58 km/h</t>
  </si>
  <si>
    <t>10 km/h</t>
  </si>
  <si>
    <t>Avenida Metropolitana, Ate, Lima Metropolitana, Lima, 15498, Perú, (RUTA DESVIO TEM.  4507)</t>
  </si>
  <si>
    <t>Calle 3, Ate, Lima Metropolitana, Lima, 15487, Perú</t>
  </si>
  <si>
    <t>Jirón Tacna, Chosica, Lima Metropolitana, Lima, 15468, Perú, (Ruta4507nueva era 23-10-23)</t>
  </si>
  <si>
    <t>Carretera Central, Ate, Lima Metropolitana, Lima, 15487, Perú, (Ruta4507nueva era 23-10-23)</t>
  </si>
  <si>
    <t>Jirón Los Próceres, Santa Eulalia, Huarochirí, Lima, 15468, Perú</t>
  </si>
  <si>
    <t>86 km/h</t>
  </si>
  <si>
    <t>Avenida Lima Sur, Chosica, Lima Metropolitana, Lima, 15468, Perú, (Ruta4507nueva era 23-10-23)</t>
  </si>
  <si>
    <t>Carretera Central, Lurigancho, Lima Metropolitana, Lima, 15472, Perú, (Ruta4507nueva era 23-10-23)</t>
  </si>
  <si>
    <t>Totales:</t>
  </si>
  <si>
    <t/>
  </si>
  <si>
    <t>* Los datos de combustible se calculan de acuerdo con el consumo medio de combustible del vehículo especificado en su configuración</t>
  </si>
  <si>
    <t>31 km/h</t>
  </si>
  <si>
    <t>8 km/h</t>
  </si>
  <si>
    <t>Avenida Río Perene, Ate, Lima Metropolitana, Lima, 15498, Perú</t>
  </si>
  <si>
    <t>9 km/h</t>
  </si>
  <si>
    <t>6 km/h</t>
  </si>
  <si>
    <t>Avenida Santa María, Ate, Lima Metropolitana, Lima, 15498, Perú, (RUTA DESVIO TEM.  4507)</t>
  </si>
  <si>
    <t>24 km/h</t>
  </si>
  <si>
    <t>12 km/h</t>
  </si>
  <si>
    <t>Avenida Guillermo Dansey, Lima, Lima Metropolitana, Lima, 15079, Perú</t>
  </si>
  <si>
    <t>62 km/h</t>
  </si>
  <si>
    <t>11 km/h</t>
  </si>
  <si>
    <t>Jirón Tayacaja, 100, Lima, Lima Metropolitana, Lima, 15079, Perú</t>
  </si>
  <si>
    <t>Jirón Sánchez Pinillos, Breña, Lima Metropolitana, Lima, 15082, Perú</t>
  </si>
  <si>
    <t>26 km/h</t>
  </si>
  <si>
    <t>Jirón Sánchez Pinillos, Lima, Lima Metropolitana, Lima, 15082, Perú</t>
  </si>
  <si>
    <t>69 km/h</t>
  </si>
  <si>
    <t>Calle Berlín, Ate, Lima Metropolitana, Lima, 15498, Perú</t>
  </si>
  <si>
    <t>25 km/h</t>
  </si>
  <si>
    <t>Ciclovía Colonial, Lima, Lima Metropolitana, Lima, 15082, Perú</t>
  </si>
  <si>
    <t>27 km/h</t>
  </si>
  <si>
    <t>Jose Carlos Mariátegui, Chosica, Lima Metropolitana, Lima, 15468, Perú, (PARADERO RICARDO PALMA)</t>
  </si>
  <si>
    <t>77 km/h</t>
  </si>
  <si>
    <t>Avenida Lima Sur, Chosica, Lima Metropolitana, Lima, 15468, Perú</t>
  </si>
  <si>
    <t>37 km/h</t>
  </si>
  <si>
    <t>5 km/h</t>
  </si>
  <si>
    <t>39 km/h</t>
  </si>
  <si>
    <t>Avenida De Las Torres, San Luis, Lima Metropolitana, Lima, 15022, Perú</t>
  </si>
  <si>
    <t>Simón Bolívar, Ricardo Palma, Huarochirí, Lima, 15468, Perú</t>
  </si>
  <si>
    <t>20 km/h</t>
  </si>
  <si>
    <t>Avenida José Santos Chocano, Ricardo Palma, Huarochirí, Lima, 15468, Perú</t>
  </si>
  <si>
    <t>38 km/h</t>
  </si>
  <si>
    <t>Calle Digoberto Ojeda, Ricardo Palma, Huarochirí, Lima, 15468, Perú</t>
  </si>
  <si>
    <t>48 km/h</t>
  </si>
  <si>
    <t>3 km/h</t>
  </si>
  <si>
    <t>Ricardo Palma, Huarochirí, Lima, 15468, Perú, (Ruta4507nueva era 23-10-23)</t>
  </si>
  <si>
    <t>Jose Carlos Mariátegui, Ricardo Palma, Lima Metropolitana, Lima, 15468, Perú, (PARADERO RICARDO PALMA)</t>
  </si>
  <si>
    <t>23 km/h</t>
  </si>
  <si>
    <t>Calle Córdova, Ricardo Palma, Huarochirí, Lima, 15468, Perú, (Ruta4507nueva era 23-10-23)</t>
  </si>
  <si>
    <t>59 km/h</t>
  </si>
  <si>
    <t>Avenida Nicolás de Ayllón, Ate, Lima Metropolitana, Lima, 15002, Perú</t>
  </si>
  <si>
    <t>Marcos Puente Llanos, Ate, Lima Metropolitana, Lima, 15498, Perú, (RUTA DESVIO TEM.  4507)</t>
  </si>
  <si>
    <t>Marcos Puente Llanos, Ate, Lima Metropolitana, Lima, 15498, Perú</t>
  </si>
  <si>
    <t>34 km/h</t>
  </si>
  <si>
    <t>Avenida Jaime Zubieta Calderon, Ate, Lima Metropolitana, Lima, 15483, Perú, (Ruta4507nueva era 23-10-23)</t>
  </si>
  <si>
    <t>54 km/h</t>
  </si>
  <si>
    <t>Carretera Central, Ate, Lima Metropolitana, Lima, 15474, Perú, (Horacio Zeballos, Ruta4507nueva era 23-10-23)</t>
  </si>
  <si>
    <t>Carretera Central, Chaclacayo, Lima Metropolitana, Lima, 15474, Perú, (Ruta4507nueva era 23-10-23)</t>
  </si>
  <si>
    <t>41 km/h</t>
  </si>
  <si>
    <t>Carretera Central, Chaclacayo, Lima Metropolitana, Lima, 15474, Perú, (S07ÑAÑA, Ruta4507nueva era 23-10-23)</t>
  </si>
  <si>
    <t>81 km/h</t>
  </si>
  <si>
    <t>40 km/h</t>
  </si>
  <si>
    <t>63 km/h</t>
  </si>
  <si>
    <t>45 km/h</t>
  </si>
  <si>
    <t>67 km/h</t>
  </si>
  <si>
    <t>28 km/h</t>
  </si>
  <si>
    <t>Carretera Central, Ate, Lima Metropolitana, Lima, 15487, Perú</t>
  </si>
  <si>
    <t>49 km/h</t>
  </si>
  <si>
    <t>Carretera Central, Ate, Lima Metropolitana, Lima, 15487, Perú, (S06 SANTA CLARA, Ruta4507nueva era 23-10-23)</t>
  </si>
  <si>
    <t>50 km/h</t>
  </si>
  <si>
    <t>55 km/h</t>
  </si>
  <si>
    <t>32 km/h</t>
  </si>
  <si>
    <t>Avenida Nicolás de Ayllón, 500, Ate, Lima Metropolitana, Lima, 15498, Perú, (Ruta4507nueva era 23-10-23)</t>
  </si>
  <si>
    <t>43 km/h</t>
  </si>
  <si>
    <t>Avenida Nicolás de Ayllón, 5818, Ate, Lima Metropolitana, Lima, 15498, Perú, (Ruta4507nueva era 23-10-23)</t>
  </si>
  <si>
    <t>Avenida Santa María, Ate, Lima Metropolitana, Lima, 15498, Perú, (Ruta4507nueva era 23-10-23, RUTA DESVIO TEM.  4507)</t>
  </si>
  <si>
    <t>Victor Raul Haya de la Torre, Ate, Lima Metropolitana, Lima, 15498, Perú, (Ruta4507nueva era 23-10-23)</t>
  </si>
  <si>
    <t>Avenida Nicolás de Ayllón, Ate, Lima Metropolitana, Lima, 15498, Perú, (Ruta4507nueva era 23-10-23)</t>
  </si>
  <si>
    <t>Víctor Raúl Haya de la Torre, Ate, Lima Metropolitana, Lima, 15498, Perú, (Ruta4507nueva era 23-10-23)</t>
  </si>
  <si>
    <t>Avenida Nicolás de Ayllón, Santa Anita, Lima Metropolitana, Lima, 15009, Perú, (Ruta4507nueva era 23-10-23)</t>
  </si>
  <si>
    <t>33 km/h</t>
  </si>
  <si>
    <t>Las Alondras, 175, Santa Anita, Lima Metropolitana, Lima, 15008, Perú, (Ruta4507nueva era 23-10-23)</t>
  </si>
  <si>
    <t>Avenida Nicolás de Ayllón, Santa Anita, Lima Metropolitana, Lima, 15008, Perú, (Ruta4507nueva era 23-10-23)</t>
  </si>
  <si>
    <t>Avenida Nicolás de Ayllón, El Agustino, Lima Metropolitana, Lima, 15008, Perú, (Ruta4507nueva era 23-10-23, RUTA DESVIO TEM.  4507)</t>
  </si>
  <si>
    <t>61 km/h</t>
  </si>
  <si>
    <t>36 km/h</t>
  </si>
  <si>
    <t>Avenida Santa Rosa, El Agustino, Lima Metropolitana, Lima, 15002, Perú, (Ruta4507nueva era 23-10-23, RUTA DESVIO TEM.  4507)</t>
  </si>
  <si>
    <t>53 km/h</t>
  </si>
  <si>
    <t>Avenida Santa Rosa, Ate, Lima Metropolitana, Lima, 15022, Perú</t>
  </si>
  <si>
    <t>30 km/h</t>
  </si>
  <si>
    <t>29 km/h</t>
  </si>
  <si>
    <t>Avenida José de la Riva Aguero, Lima, Lima Metropolitana, Lima, 15004, Perú, (Ruta4507nueva era 23-10-23)</t>
  </si>
  <si>
    <t>Avenida Nicolás de Ayllón, Lima, Lima Metropolitana, Lima, 15011, Perú, (Ruta4507nueva era 23-10-23)</t>
  </si>
  <si>
    <t>Avenida Nicolás Ayllón, 137, Lima, Lima Metropolitana, Lima, 15011, Perú, (Ruta4507nueva era 23-10-23)</t>
  </si>
  <si>
    <t>Avenida Almirante Miguel Grau, 1299, Lima, Lima Metropolitana, Lima, 15011, Perú, (Ruta4507nueva era 23-10-23)</t>
  </si>
  <si>
    <t>Avenida Paseo de la República, La Victoria, Lima Metropolitana, Lima, 15001, Perú, (Ruta4507nueva era 23-10-23)</t>
  </si>
  <si>
    <t>Avenida 28 de Julio, Lima, Lima Metropolitana, Lima, 15083, Perú</t>
  </si>
  <si>
    <t>47 km/h</t>
  </si>
  <si>
    <t>Avenida Petit Thouars, 115, Lima, Lima Metropolitana, Lima, 15083, Perú</t>
  </si>
  <si>
    <t>Avenida 28 de Julio, 715, Jesús María, Lima Metropolitana, Lima, 15083, Perú</t>
  </si>
  <si>
    <t>Plaza Jorge Chávez, Jesús María, Lima Metropolitana, Lima, 15083, Perú</t>
  </si>
  <si>
    <t>Avenida Alfonso Ugarte, 1409, Lima, Lima Metropolitana, Lima, 15083, Perú, (Ruta4507nueva era 23-10-23)</t>
  </si>
  <si>
    <t>56 km/h</t>
  </si>
  <si>
    <t>Avenida Alfonso Ugarte, Lima, Lima Metropolitana, Lima, 15082, Perú, (Ruta4507nueva era 23-10-23)</t>
  </si>
  <si>
    <t>Jirón Huarochirí, Lima, Lima Metropolitana, Lima, 15082, Perú</t>
  </si>
  <si>
    <t>Avenida Óscar Raimundo Benavides, 150, Lima, Lima Metropolitana, Lima, 15082, Perú, (Ruta4507nueva era 23-10-23)</t>
  </si>
  <si>
    <t>Avenida Óscar Raimundo Benavides, 150, Lima, Lima Metropolitana, Lima, 15082, Perú</t>
  </si>
  <si>
    <t>Avenida Alfonso Ugarte, 650, Lima, Lima Metropolitana, Lima, 15082, Perú</t>
  </si>
  <si>
    <t>Avenida Alfonso Ugarte, Lima, Lima Metropolitana, Lima, 15082, Perú</t>
  </si>
  <si>
    <t>Avenida Alfonso Ugarte, Breña, Lima Metropolitana, Lima, 15082, Perú, (S01Alfonso Ugarte/ Metro, Ruta4507nueva era 23-10-23)</t>
  </si>
  <si>
    <t>44 km/h</t>
  </si>
  <si>
    <t>Avenida Alfonso Ugarte, Breña, Lima Metropolitana, Lima, 15082, Perú, (S01Alfonso Ugarte/ Metro)</t>
  </si>
  <si>
    <t>Avenida Alfonso Ugarte, 1280, Breña, Lima Metropolitana, Lima, 15083, Perú, (Ruta4507nueva era 23-10-23)</t>
  </si>
  <si>
    <t>Avenida Alfonso Ugarte, 494, Breña, Lima Metropolitana, Lima, 15083, Perú, (Ruta4507nueva era 23-10-23)</t>
  </si>
  <si>
    <t>Avenida Guzmán Blanco, 133, Lima, Lima Metropolitana, Lima, 15046, Perú</t>
  </si>
  <si>
    <t>Avenida Guzmán Blanco, 199, Lima, Lima Metropolitana, Lima, 15083, Perú</t>
  </si>
  <si>
    <t>Avenida Guzmán Blanco, 507, Lima, Lima Metropolitana, Lima, 15046, Perú</t>
  </si>
  <si>
    <t>Avenida Guzmán Blanco, Lima, Lima Metropolitana, Lima, 15083, Perú</t>
  </si>
  <si>
    <t>Avenida 28 de Julio, Jesús María, Lima Metropolitana, Lima, 15083, Perú</t>
  </si>
  <si>
    <t>4 km/h</t>
  </si>
  <si>
    <t>Avenida Paseo de la República, 385, La Victoria, Lima Metropolitana, Lima, 15001, Perú</t>
  </si>
  <si>
    <t>Avenida Almirante Miguel Grau, 183, Lima, Lima Metropolitana, Lima, 15001, Perú</t>
  </si>
  <si>
    <t>Vía Expresa Almirante Miguel Grau, La Victoria, Lima Metropolitana, Lima, 15001, Perú, (S02 AV.GRAU/ JR ANDAHUAYLAS, Ruta4507nueva era 23-10-23)</t>
  </si>
  <si>
    <t>Avenida Almirante Miguel Grau, 650, La Victoria, Lima Metropolitana, Lima, 15001, Perú, (Ruta4507nueva era 23-10-23)</t>
  </si>
  <si>
    <t>Avenida Almirante Miguel Grau, 800, La Victoria, Lima Metropolitana, Lima, 15011, Perú, (Ruta4507nueva era 23-10-23)</t>
  </si>
  <si>
    <t>Avenida Almirante Miguel Grau, La Victoria, Lima Metropolitana, Lima, 15011, Perú, (Ruta4507nueva era 23-10-23)</t>
  </si>
  <si>
    <t>51 km/h</t>
  </si>
  <si>
    <t>35 km/h</t>
  </si>
  <si>
    <t>Avenida Almirante Miguel Grau, 1400, Lima, Lima Metropolitana, Lima, 15011, Perú, (Ruta4507nueva era 23-10-23)</t>
  </si>
  <si>
    <t>Avenida Almirante Miguel Grau, 1499, Lima, Lima Metropolitana, Lima, 15011, Perú, (Ruta4507nueva era 23-10-23)</t>
  </si>
  <si>
    <t>Prolongación Avenida San Pablo, Lima, Lima Metropolitana, Lima, 15011, Perú, (Ruta4507nueva era 23-10-23)</t>
  </si>
  <si>
    <t>Prolongación Avenida San Pablo, Lima, Lima Metropolitana, Lima, 15011, Perú</t>
  </si>
  <si>
    <t>Avenida Inca Garcilazo de la Vega, Lima, Lima Metropolitana, Lima, 15004, Perú</t>
  </si>
  <si>
    <t>Calle Angel Cepollini, San Luis, Lima Metropolitana, Lima, 15019, Perú</t>
  </si>
  <si>
    <t>Calle 28 de Diciembre, San Luis, Lima Metropolitana, Lima, 15019, Perú, (Ruta4507nueva era 23-10-23)</t>
  </si>
  <si>
    <t>Avenida Circunvalación, La Victoria, Lima Metropolitana, Lima, 15019, Perú</t>
  </si>
  <si>
    <t>Auxiliar Avenida Circunvalación, San Luis, Lima Metropolitana, Lima, 15019, Perú</t>
  </si>
  <si>
    <t>Avenida Nicolás de Ayllón, Ate, Lima Metropolitana, Lima, 15002, Perú, (Ruta4507nueva era 23-10-23, RUTA DESVIO TEM.  4507)</t>
  </si>
  <si>
    <t>Avenida Nicolás de Ayllón, Ate, Lima Metropolitana, Lima, 15002, Perú, (Ruta4507nueva era 23-10-23)</t>
  </si>
  <si>
    <t>46 km/h</t>
  </si>
  <si>
    <t>Avenida Nicolás de Ayllón, Ate, Lima Metropolitana, Lima, 15008, Perú, (Ruta4507nueva era 23-10-23, RUTA DESVIO TEM.  4507)</t>
  </si>
  <si>
    <t>Calle Santa Inés, Ate, Lima Metropolitana, Lima, 15008, Perú, (Ruta4507nueva era 23-10-23, RUTA DESVIO TEM.  4507)</t>
  </si>
  <si>
    <t>Avenida Nicolás de Ayllón, 4351, Ate, Lima Metropolitana, Lima, 15498, Perú, (Ruta4507nueva era 23-10-23)</t>
  </si>
  <si>
    <t>Avenida Nicolás de Ayllón, 4770, Ate, Lima Metropolitana, Lima, 15498, Perú, (Ruta4507nueva era 23-10-23)</t>
  </si>
  <si>
    <t>Calle Las Retamas, Ate, Lima Metropolitana, Lima, 15498, Perú, (Ruta4507nueva era 23-10-23)</t>
  </si>
  <si>
    <t>Victor Raul Haya de la Torre, Ate, Lima Metropolitana, Lima, 15498, Perú, (Ruta4507nueva era 23-10-23, RUTA DESVIO TEM.  4507)</t>
  </si>
  <si>
    <t>Avenida Nicolás de Ayllón, 5880, Ate, Lima Metropolitana, Lima, 15498, Perú, (S05Vitarte/ ALT. Hospital, Ruta4507nueva era 23-10-23)</t>
  </si>
  <si>
    <t>Avenida Esperanza, Ate, Lima Metropolitana, Lima, 15487, Perú, (Ruta4507nueva era 23-10-23)</t>
  </si>
  <si>
    <t>52 km/h</t>
  </si>
  <si>
    <t>60 km/h</t>
  </si>
  <si>
    <t>65 km/h</t>
  </si>
  <si>
    <t>Carretera Central, Ate, Lima Metropolitana, Lima, 15474, Perú, (Horacio Zeballos)</t>
  </si>
  <si>
    <t>Carretera Central, Chaclacayo, Lima Metropolitana, Lima, 15476, Perú, (Ruta4507nueva era 23-10-23)</t>
  </si>
  <si>
    <t>Carretera Central, Chaclacayo, Lima Metropolitana, Lima, 15464, Perú, (Ruta4507nueva era 23-10-23)</t>
  </si>
  <si>
    <t>Avenida Nicolás Ayllón, 161 C, Chaclacayo, Lima Metropolitana, Lima, 15464, Perú, (Ruta4507nueva era 23-10-23)</t>
  </si>
  <si>
    <t>Avenida Nicolás Ayllón, 161 C, Chaclacayo, Lima Metropolitana, Lima, 15472, Perú, (Ruta4507nueva era 23-10-23)</t>
  </si>
  <si>
    <t>Avenida Nicolás Ayllón, 432, Chaclacayo, Lima Metropolitana, Lima, 15472, Perú, (Ruta4507nueva era 23-10-23)</t>
  </si>
  <si>
    <t>Avenida Nicolás Ayllón, 477, Chaclacayo, Lima Metropolitana, Lima, 15472, Perú, (Ruta4507nueva era 23-10-23)</t>
  </si>
  <si>
    <t>Avenida Las Flores, Lurigancho, Lima Metropolitana, Lima, 15468, Perú, (Ruta4507nueva era 23-10-23)</t>
  </si>
  <si>
    <t>Jirón Chucuito, 187, Chosica, Lima Metropolitana, Lima, 15468, Perú, (Ruta4507nueva era 23-10-23)</t>
  </si>
  <si>
    <t>Avenida Lima Sur, 824, Chosica, Lima Metropolitana, Lima, 15468, Perú, (Ruta4507nueva era 23-10-23)</t>
  </si>
  <si>
    <t>Avenida Lima Norte, 574, Santa Eulalia, Lima Metropolitana, Lima, 15468, Perú, (Ruta4507nueva era 23-10-23)</t>
  </si>
  <si>
    <t>Avenida Lima Norte, Santa Eulalia, Lima Metropolitana, Lima, 15468, Perú, (Ruta4507nueva era 23-10-23)</t>
  </si>
  <si>
    <t>Avenida Lima Norte, Santa Eulalia, Huarochirí, Lima, 15468, Perú, (Ruta4507nueva era 23-10-23)</t>
  </si>
  <si>
    <t>Avenida Simón Bolívar, Santa Eulalia, Huarochirí, Lima, 15468, Perú, (Ruta4507nueva era 23-10-23)</t>
  </si>
  <si>
    <t>Ricardo Palma, Huarochirí, Lima, 15468, Perú, (CURVA RICARDO PALMA, Ruta4507nueva era 23-10-23)</t>
  </si>
  <si>
    <t>Carretera Central, Ricardo Palma, Huarochirí, Lima, 15468, Perú</t>
  </si>
  <si>
    <t>Calle Cesar Vallejo, Ricardo Palma, Huarochirí, Lima, 15468, Perú</t>
  </si>
  <si>
    <t>Avenida 5 de Setiembre, Ricardo Palma, Huarochirí, Lima, 15468, Perú, (Ruta4507nueva era 23-10-23)</t>
  </si>
  <si>
    <t>Avenida José Carlos Mariátegui, Ricardo Palma, Huarochirí, Lima, 15468, Perú, (Ruta4507nueva era 23-10-23)</t>
  </si>
  <si>
    <t>Avenida José Carlos Mariátegui, Ricardo Palma, Huarochirí, Lima, 15468, Perú, (CURVA RICARDO PALMA, Ruta4507nueva era 23-10-23)</t>
  </si>
  <si>
    <t>Avenida Lima Norte, 246, Chosica, Lima Metropolitana, Lima, 15468, Perú, (Ruta4507nueva era 23-10-23)</t>
  </si>
  <si>
    <t>42 km/h</t>
  </si>
  <si>
    <t>Avenida Lima Norte, 180, Chosica, Lima Metropolitana, Lima, 15468, Perú, (Ruta4507nueva era 23-10-23)</t>
  </si>
  <si>
    <t>Avenida Lima Norte, 178, Chosica, Lima Metropolitana, Lima, 15468, Perú, (Ruta4507nueva era 23-10-23)</t>
  </si>
  <si>
    <t>Jirón Tacna, Chosica, Lima Metropolitana, Lima, 15468, Perú</t>
  </si>
  <si>
    <t>Avenida Lima Sur, Chosica, Lima Metropolitana, Lima, 15468, Perú, (S09 CHOSICA/ PEDREGAL, Ruta4507nueva era 23-10-23)</t>
  </si>
  <si>
    <t>Avenida Lima Sur, 1205, Chosica, Lima Metropolitana, Lima, 15468, Perú, (Ruta4507nueva era 23-10-23)</t>
  </si>
  <si>
    <t>Avenida Lima Sur, 1471, Chosica, Lima Metropolitana, Lima, 15468, Perú, (Ruta4507nueva era 23-10-23)</t>
  </si>
  <si>
    <t>Calle Los Geranios, Chosica, Lima Metropolitana, Lima, 15468, Perú, (Ruta4507nueva era 23-10-23)</t>
  </si>
  <si>
    <t>Avenida Nicolás Ayllón, Chaclacayo, Lima Metropolitana, Lima, 15472, Perú, (Ruta4507nueva era 23-10-23)</t>
  </si>
  <si>
    <t>Avenida Malecón Manco Cápac, Chaclacayo, Lima Metropolitana, Lima, 15472, Perú, (Ruta4507nueva era 23-10-23)</t>
  </si>
  <si>
    <t>57 km/h</t>
  </si>
  <si>
    <t>Carretera Central, Chaclacayo, Lima Metropolitana, Lima, 15464, Perú</t>
  </si>
  <si>
    <t>Ate, Lima Metropolitana, Lima, 15487, Perú, (S06 SANTA CLARA, Ruta4507nueva era 23-10-23)</t>
  </si>
  <si>
    <t>Ate, Lima Metropolitana, Lima, 15487, Perú, (Ruta4507nueva era 23-10-23)</t>
  </si>
  <si>
    <t>Avenida Nicolás de Ayllón, 816-818, Ate, Lima Metropolitana, Lima, 15487, Perú, (Ruta4507nueva era 23-10-23)</t>
  </si>
  <si>
    <t>Calle Progreso, Ate, Lima Metropolitana, Lima, 15498, Perú, (S05Vitarte/ ALT. Hospital)</t>
  </si>
  <si>
    <t>Avenida Santa María, Ate, Lima Metropolitana, Lima, 15498, Perú</t>
  </si>
  <si>
    <t>Avenida Nicolás de Ayllón, Ate, Lima Metropolitana, Lima, 15498, Perú</t>
  </si>
  <si>
    <t>Avenida Nicolás de Ayllón, Santa Anita, Lima Metropolitana, Lima, 15498, Perú, (Ruta4507nueva era 23-10-23)</t>
  </si>
  <si>
    <t>Avenida Nicolás de Ayllón, Ate, Lima Metropolitana, Lima, 15008, Perú, (Ruta4507nueva era 23-10-23)</t>
  </si>
  <si>
    <t>Las Alondras, 237, Santa Anita, Lima Metropolitana, Lima, 15008, Perú, (Ruta4507nueva era 23-10-23)</t>
  </si>
  <si>
    <t>Las Alondras, Santa Anita, Lima Metropolitana, Lima, 15008, Perú, (Ruta4507nueva era 23-10-23)</t>
  </si>
  <si>
    <t>Avenida Nicolás de Ayllón, 2625, El Agustino, Lima Metropolitana, Lima, 15002, Perú, (Ruta4507nueva era 23-10-23, RUTA DESVIO TEM.  4507)</t>
  </si>
  <si>
    <t>Avenida Nicolás de Ayllón, Ate, Lima Metropolitana, Lima, 15022, Perú, (Ruta4507nueva era 23-10-23, RUTA DESVIO TEM.  4507)</t>
  </si>
  <si>
    <t>Inca Garcilaso de la Vega, Lima, Lima Metropolitana, Lima, 15019, Perú</t>
  </si>
  <si>
    <t>Calle Ollanta, Lima, Lima Metropolitana, Lima, 15019, Perú</t>
  </si>
  <si>
    <t>Avenida Inca Garcilazo de la Vega, Lima, Lima Metropolitana, Lima, 15004, Perú, (Ruta4507nueva era 23-10-23)</t>
  </si>
  <si>
    <t>Jirón Junín, El Agustino, Lima Metropolitana, Lima, 15011, Perú</t>
  </si>
  <si>
    <t>Jirón Junín, El Agustino, Lima Metropolitana, Lima, 15003, Perú</t>
  </si>
  <si>
    <t>Avenida Almirante Miguel Grau, 1804, Lima, Lima Metropolitana, Lima, 15011, Perú</t>
  </si>
  <si>
    <t>Avenida Almirante Miguel Grau, 1772, Lima, Lima Metropolitana, Lima, 15011, Perú, (Ruta4507nueva era 23-10-23)</t>
  </si>
  <si>
    <t>Avenida Almirante Miguel Grau, 1715, Lima, Lima Metropolitana, Lima, 15011, Perú, (Ruta4507nueva era 23-10-23)</t>
  </si>
  <si>
    <t>Avenida Almirante Miguel Grau, 1553, Lima, Lima Metropolitana, Lima, 15011, Perú, (Ruta4507nueva era 23-10-23)</t>
  </si>
  <si>
    <t>Avenida Almirante Miguel Grau, 1233, Lima, Lima Metropolitana, Lima, 15011, Perú, (Ruta4507nueva era 23-10-23)</t>
  </si>
  <si>
    <t>Avenida Almirante Miguel Grau, 1200, Lima, Lima Metropolitana, Lima, 15011, Perú, (Ruta4507nueva era 23-10-23)</t>
  </si>
  <si>
    <t>Vía Expresa Almirante Miguel Grau, Lima, Lima Metropolitana, Lima, 15001, Perú, (Ruta4507nueva era 23-10-23)</t>
  </si>
  <si>
    <t>Avenida Almirante Miguel Grau, 619, Lima, Lima Metropolitana, Lima, 15001, Perú, (S02 AV.GRAU/ JR ANDAHUAYLAS, Ruta4507nueva era 23-10-23)</t>
  </si>
  <si>
    <t>Avenida Almirante Miguel Grau, 113, Lima, Lima Metropolitana, Lima, 15001, Perú, (Ruta4507nueva era 23-10-23)</t>
  </si>
  <si>
    <t>Metropolitano, Lima, Lima Metropolitana, Lima, 15001, Perú, (Ruta4507nueva era 23-10-23)</t>
  </si>
  <si>
    <t>Avenida Paseo de la República, Lima, Lima Metropolitana, Lima, 15083, Perú</t>
  </si>
  <si>
    <t>Avenida 28 de Julio, 1056, Jesús María, Lima Metropolitana, Lima, 15083, Perú</t>
  </si>
  <si>
    <t>Avenida 28 de Julio, 798, Lima, Lima Metropolitana, Lima, 15083, Perú</t>
  </si>
  <si>
    <t>Avenida 28 de Julio, 772, Lima, Lima Metropolitana, Lima, 15083, Perú</t>
  </si>
  <si>
    <t>Plaza Francisco Bolognesi, Lima, Lima Metropolitana, Lima, 15083, Perú, (Ruta4507nueva era 23-10-23)</t>
  </si>
  <si>
    <t>Avenida Alfonso Ugarte, Lima, Lima Metropolitana, Lima, 15083, Perú, (Ruta4507nueva era 23-10-23)</t>
  </si>
  <si>
    <t>Avenida Alfonso Ugarte, 1235, Lima, Lima Metropolitana, Lima, 15083, Perú, (Ruta4507nueva era 23-10-23)</t>
  </si>
  <si>
    <t>Avenida Bolivia, 475, Breña, Lima Metropolitana, Lima, 15083, Perú, (Ruta4507nueva era 23-10-23)</t>
  </si>
  <si>
    <t>Avenida Alfonso Ugarte, 1227, Breña, Lima Metropolitana, Lima, 15083, Perú, (Ruta4507nueva era 23-10-23)</t>
  </si>
  <si>
    <t>Avenida Alfonso Ugarte, Lima, Lima Metropolitana, Lima, 15082, Perú, (S01Alfonso Ugarte/ Metro, Ruta4507nueva era 23-10-23)</t>
  </si>
  <si>
    <t>Avenida Alfonso Ugarte, 1006, Lima, Lima Metropolitana, Lima, 15082, Perú, (Ruta4507nueva era 23-10-23)</t>
  </si>
  <si>
    <t>Avenida Alfonso Ugarte, 873, Lima, Lima Metropolitana, Lima, 15001, Perú, (Ruta4507nueva era 23-10-23)</t>
  </si>
  <si>
    <t>Jirón Huarochirí, 643, Lima, Lima Metropolitana, Lima, 15082, Perú</t>
  </si>
  <si>
    <t>Avenida Alfonso Ugarte, 601, Lima, Lima Metropolitana, Lima, 15082, Perú</t>
  </si>
  <si>
    <t>Jirón Coronel Miguel Baquero, 112, Lima, Lima Metropolitana, Lima, 15082, Perú</t>
  </si>
  <si>
    <t>Avenida Alfonso Ugarte, 619, Lima, Lima Metropolitana, Lima, 15082, Perú</t>
  </si>
  <si>
    <t>Avenida Alfonso Ugarte, Breña, Lima Metropolitana, Lima, 15082, Perú, (Ruta4507nueva era 23-10-23)</t>
  </si>
  <si>
    <t>Plaza Francisco Bolognesi, 590, Jesús María, Lima Metropolitana, Lima, 15083, Perú, (Ruta4507nueva era 23-10-23)</t>
  </si>
  <si>
    <t>Jirón Gregorio Paredes, Lima, Lima Metropolitana, Lima, 15083, Perú</t>
  </si>
  <si>
    <t>Avenida Guzmán Blanco, 439, Lima, Lima Metropolitana, Lima, 15046, Perú</t>
  </si>
  <si>
    <t>Avenida 28 de Julio, 970, Jesús María, Lima Metropolitana, Lima, 15083, Perú</t>
  </si>
  <si>
    <t>Vía Expresa Almirante Miguel Grau, La Victoria, Lima Metropolitana, Lima, 15011, Perú, (Ruta4507nueva era 23-10-23)</t>
  </si>
  <si>
    <t>Vía Expresa Almirante Miguel Grau, Lima, Lima Metropolitana, Lima, 15011, Perú, (Ruta4507nueva era 23-10-23)</t>
  </si>
  <si>
    <t>Avenida Nicolás de Ayllón, La Victoria, Lima Metropolitana, Lima, 15019, Perú, (S03 Nicolas Ayllon/ Mexico, Ruta4507nueva era 23-10-23)</t>
  </si>
  <si>
    <t>Avenida Nicolás de Ayllón, La Victoria, Lima Metropolitana, Lima, 15019, Perú, (Ruta4507nueva era 23-10-23)</t>
  </si>
  <si>
    <t>Avenida Nicolás de Ayllón, San Luis, Lima Metropolitana, Lima, 15019, Perú, (Ruta4507nueva era 23-10-23)</t>
  </si>
  <si>
    <t>Calle Santa Luisa, 2142, Ate, Lima Metropolitana, Lima, 15002, Perú, (Ruta4507nueva era 23-10-23, RUTA DESVIO TEM.  4507)</t>
  </si>
  <si>
    <t>Avenida Nicolás de Ayllón, 2950, Ate, Lima Metropolitana, Lima, 15008, Perú, (Ruta4507nueva era 23-10-23)</t>
  </si>
  <si>
    <t>Avenida Nicolás de Ayllón, C 32, Ate, Lima Metropolitana, Lima, 15008, Perú, (Ruta4507nueva era 23-10-23)</t>
  </si>
  <si>
    <t>Avenida La Molina, Ate, Lima Metropolitana, Lima, 15008, Perú, (Ruta4507nueva era 23-10-23)</t>
  </si>
  <si>
    <t>Avenida Nicolás de Ayllón, Ate, Lima Metropolitana, Lima, 15009, Perú, (Ruta4507nueva era 23-10-23)</t>
  </si>
  <si>
    <t>Avenida Nicolás de Ayllón, Km. 3.5, Santa Anita, Lima Metropolitana, Lima, 00051, Perú, (Ruta4507nueva era 23-10-23)</t>
  </si>
  <si>
    <t>Calle El Trabajo, Ate, Lima Metropolitana, Lima, 15498, Perú, (Ruta4507nueva era 23-10-23, RUTA DESVIO TEM.  4507)</t>
  </si>
  <si>
    <t>Carretera Central, 1030, Ate, Lima Metropolitana, Lima, 15487, Perú, (Ruta4507nueva era 23-10-23)</t>
  </si>
  <si>
    <t>Avenida Gloria Grande, Ate, Lima Metropolitana, Lima, 15483, Perú, (Ruta4507nueva era 23-10-23)</t>
  </si>
  <si>
    <t>Carretera Central, Ate, Lima Metropolitana, Lima, 15483, Perú, (Ruta4507nueva era 23-10-23)</t>
  </si>
  <si>
    <t>Avenida Jaime Zubieta Calderón, Ate, Lima Metropolitana, Lima, 15483, Perú, (Ruta4507nueva era 23-10-23)</t>
  </si>
  <si>
    <t>Avenida Jaime Zubieta Calderón, Ate, Lima Metropolitana, Lima, 15483, Perú</t>
  </si>
  <si>
    <t>Carretera Central, Chaclacayo, Lima Metropolitana, Lima, 15474, Perú, (S07ÑAÑA)</t>
  </si>
  <si>
    <t>Avenida Nicolás Ayllón, Chaclacayo, Lima Metropolitana, Lima, 15464, Perú, (Ruta4507nueva era 23-10-23)</t>
  </si>
  <si>
    <t>Avenida Nicolás Ayllón, Km. 24, Chaclacayo, Lima Metropolitana, Lima, 15472, Perú, (S08 CHACLACAYO/PARQUE, Ruta4507nueva era 23-10-23)</t>
  </si>
  <si>
    <t>Chosica, Lima Metropolitana, Lima, 15468, Perú</t>
  </si>
  <si>
    <t>Avenida Lima Sur, 1205, Chosica, Lima Metropolitana, Lima, 15468, Perú</t>
  </si>
  <si>
    <t>Avenida Lima Sur, 765, Chosica, Lima Metropolitana, Lima, 15468, Perú, (Ruta4507nueva era 23-10-23)</t>
  </si>
  <si>
    <t>Carretera Central, Lurigancho, Lima Metropolitana, Lima, 15483, Perú</t>
  </si>
  <si>
    <t>Avenida Iquitos, Lima, Lima Metropolitana, Lima, 15001, Perú, (Ruta4507nueva era 23-10-23)</t>
  </si>
  <si>
    <t>Pasaje Gould, Lima, Lima Metropolitana, Lima, 15082, Perú, (PARADERO DESTINO ASCOPE)</t>
  </si>
  <si>
    <t>Abraham Valdelomar, Ricardo Palma, Huarochirí, Lima, 15468, Perú</t>
  </si>
  <si>
    <t>Simón Bolívar, Ricardo Palma, Huarochirí, Lima, 15468, Perú, (TALLER TRASANDINO, Ruta4507nueva era 23-10-23)</t>
  </si>
  <si>
    <t>Simón Bolívar, Ricardo Palma, Huarochirí, Lima, 15468, Perú, (Ruta4507nueva era 23-10-23)</t>
  </si>
  <si>
    <t>Avenida Almirante Miguel Grau, 300, La Victoria, Lima Metropolitana, Lima, 15001, Perú, (Ruta4507nueva era 23-10-23)</t>
  </si>
  <si>
    <t>Avenida Lima Norte, Santa Eulalia, Huarochirí, Lima, 15468, Perú</t>
  </si>
  <si>
    <t>Lima, Lima Metropolitana, Lima, 15082, Perú</t>
  </si>
  <si>
    <t>Avenida Óscar Raimundo Benavides, 153, Lima, Lima Metropolitana, Lima, 15082, Perú</t>
  </si>
  <si>
    <t>Calle Alhelíes, Chaclacayo, Lima Metropolitana, Lima, 15476, Perú</t>
  </si>
  <si>
    <t>Jirón Zorritos, Breña, Lima Metropolitana, Lima, 15082, Perú</t>
  </si>
  <si>
    <t>Ciclovía Colonial, 100, Lima, Lima Metropolitana, Lima, 15082, Perú</t>
  </si>
  <si>
    <t>Avenida Óscar Raimundo Benavides, 301, Lima, Lima Metropolitana, Lima, 15082, Perú</t>
  </si>
  <si>
    <t>Ate, Lima Metropolitana, Lima, 15009, Perú, (Ruta4507nueva era 23-10-23)</t>
  </si>
  <si>
    <t>Calle Nueva Los Alamos, Santa Eulalia, Huarochirí, Lima, 15468, Perú</t>
  </si>
  <si>
    <t>Pasaje Gould, Lima, Lima Metropolitana, Lima, 15082, Perú</t>
  </si>
  <si>
    <t>Víctor Raúl Haya de la Torre, Ate, Lima Metropolitana, Lima, 15498, Perú</t>
  </si>
  <si>
    <t>Jirón Sánchez Pinillos, 189, Lima, Lima Metropolitana, Lima, 15082, Perú, (Ruta4507nueva era 23-10-23)</t>
  </si>
  <si>
    <t>Calle Abraham Valdelomar, 108, Ricardo Palma, Huarochirí, Lima, 15468, Perú</t>
  </si>
  <si>
    <t>Avenida Separadora Industrial, Z2, 6, Ate, Lima Metropolitana, Lima, 00051, Perú</t>
  </si>
  <si>
    <t>Avenida Alfonso Cobián, Chaclacayo, Lima Metropolitana, Lima, 15476, Perú</t>
  </si>
  <si>
    <t>Avenida Los Incas, 205, Ate, Lima Metropolitana, Lima, 15483, Perú</t>
  </si>
  <si>
    <t>Chaclacayo, Lima Metropolitana, Lima, 15474, Perú, (Ruta4507nueva era 23-10-23)</t>
  </si>
  <si>
    <t>Avenida Santa Ana, 701, Santa Anita, Lima Metropolitana, Lima, 15009, Perú</t>
  </si>
  <si>
    <t>Avenida de La Cultura, 808, Ate, Lima Metropolitana, Lima, 15009, Perú</t>
  </si>
  <si>
    <t>Calle San Luis, Santa Anita, Lima Metropolitana, Lima, 15009, Perú</t>
  </si>
  <si>
    <t>Avenida Separadora Industrial, Ate, Lima Metropolitana, Lima, 15498, Perú, (Ruta4507nueva era 23-10-23)</t>
  </si>
  <si>
    <t>Avenida Separadora Industrial, Santa Anita, Lima Metropolitana, Lima, 15498, Perú</t>
  </si>
  <si>
    <t>Avenida Metropolitana, Ate, Lima Metropolitana, Lima, 15498, Perú</t>
  </si>
  <si>
    <t>Avenida Paseo de la República, 400, Jesús María, Lima Metropolitana, Lima, 15001, Perú</t>
  </si>
  <si>
    <t>Avenida Jaime Zubieta Calderon, Ate, Lima Metropolitana, Lima, 15483, Perú</t>
  </si>
  <si>
    <t>Carretera Central, Ate, Lima Metropolitana, Lima, 15483, Perú</t>
  </si>
  <si>
    <t>Jirón Coronel Miguel Baquero, 210, Lima, Lima Metropolitana, Lima, 15082, Perú</t>
  </si>
  <si>
    <t>Avenida La Paz, G2, Santa Eulalia, Huarochirí, Lima, 15500, Perú</t>
  </si>
  <si>
    <t>Chaclacayo, Lima Metropolitana, Lima, 15474, Perú</t>
  </si>
  <si>
    <t>Jirón Cornelio Borda, Lima, Lima Metropolitana, Lima, 15082, Perú</t>
  </si>
  <si>
    <t>Avenida Bernardino Rivadavia, F1, Ate, Lima Metropolitana, Lima, 15498, Perú</t>
  </si>
  <si>
    <t>Avenida 9 de Diciembre, 150, Lima, Lima Metropolitana, Lima, 15083, Perú, (Ruta4507nueva era 23-10-23)</t>
  </si>
  <si>
    <t>Avenida Nicolás Ayllón, 1159, Chaclacayo, Lima Metropolitana, Lima, 15472, Perú, (Ruta4507nueva era 23-10-23)</t>
  </si>
  <si>
    <t>Avenida San Martín, Santa Eulalia, Huarochirí, Lima, 15468, Perú</t>
  </si>
  <si>
    <t>Jirón Callao, Chosica, Lima Metropolitana, Lima, 15468, Perú</t>
  </si>
  <si>
    <t>Jirón Trujillo Sur, Chosica, Lima Metropolitana, Lima, 15468, Perú, (Ruta4507nueva era 23-10-23)</t>
  </si>
  <si>
    <t>Avenida Las Flores, Chosica, Lima Metropolitana, Lima, 15468, Perú, (Ruta4507nueva era 23-10-23)</t>
  </si>
  <si>
    <t>Jirón Coronel Miguel Baquero, 154, Lima, Lima Metropolitana, Lima, 15082, Perú</t>
  </si>
  <si>
    <t>Carretera Central, Chaclacayo, Lima Metropolitana, Lima, 15474, Perú</t>
  </si>
  <si>
    <t>Avenida Huancaray, Santa Anita, Lima Metropolitana, Lima, 15009, Perú, (RUTA DESVIO TEM.  4507)</t>
  </si>
  <si>
    <t>Avenida Huancaray, Santa Anita, Lima Metropolitana, Lima, 15009, Perú</t>
  </si>
  <si>
    <t>Avenida Los Cipreses, Santa Anita, Lima Metropolitana, Lima, 15008, Perú, (RUTA DESVIO TEM.  4507)</t>
  </si>
  <si>
    <t>Ricardo Palma, Huarochirí, Lima, 15468, Perú</t>
  </si>
  <si>
    <t>Avenida Lima Norte, Chosica, Lima Metropolitana, Lima, 15468, Perú, (Ruta4507nueva era 23-10-23)</t>
  </si>
  <si>
    <t>Avenida Lima Norte, 599, Chosica, Lima Metropolitana, Lima, 15468, Perú, (Ruta4507nueva era 23-10-23)</t>
  </si>
  <si>
    <t>Avenida Lima Sur, 275, Chosica, Lima Metropolitana, Lima, 15468, Perú, (Ruta4507nueva era 23-10-23)</t>
  </si>
  <si>
    <t>Jirón Callao, Chosica, Lima Metropolitana, Lima, 15468, Perú, (Ruta4507nueva era 23-10-23)</t>
  </si>
  <si>
    <t>Avenida Lima Sur, 465, Chosica, Lima Metropolitana, Lima, 15468, Perú, (Ruta4507nueva era 23-10-23)</t>
  </si>
  <si>
    <t>Jirón Iquitos, Chosica, Lima Metropolitana, Lima, 15468, Perú, (Ruta4507nueva era 23-10-23)</t>
  </si>
  <si>
    <t>Calle Solea, Chosica, Lima Metropolitana, Lima, 15468, Perú, (Ruta4507nueva era 23-10-23)</t>
  </si>
  <si>
    <t>Carretera Central, Frnt G3, Lurigancho, Lima Metropolitana, Lima, 15472, Perú, (Ruta4507nueva era 23-10-23)</t>
  </si>
  <si>
    <t>Chaclacayo, Lima Metropolitana, Lima, 15472, Perú, (Ruta4507nueva era 23-10-23)</t>
  </si>
  <si>
    <t>Avenida Nicolás Ayllón, Ate, Lima Metropolitana, Lima, 15019, Perú, (Ruta4507nueva era 23-10-23)</t>
  </si>
  <si>
    <t>Jirón Sicaya, 110, Ate, Lima Metropolitana, Lima, 15019, Perú, (Ruta4507nueva era 23-10-23)</t>
  </si>
  <si>
    <t>Avenida Las Flores, Lurigancho, Lima Metropolitana, Lima, 15472, Perú, (Ruta4507nueva era 23-10-23)</t>
  </si>
  <si>
    <t>Jirón Los Próceres, Santa Eulalia, Huarochirí, Lima, 15468, Perú, (Ruta4507nueva era 23-10-23)</t>
  </si>
  <si>
    <t>Avenida José Carlos Mariátegui, Ate, Lima Metropolitana, Lima, 15483, Perú</t>
  </si>
  <si>
    <t>Ciclovía Colonial, Lima, Lima Metropolitana, Lima, 15082, Perú, (Ruta4507nueva era 23-10-23)</t>
  </si>
  <si>
    <t>Vía de Evitamiento, Ate, Lima Metropolitana, Lima, 15008, Perú, (Ruta4507nueva era 23-10-23, RUTA DESVIO TEM.  4507)</t>
  </si>
  <si>
    <t>Jirón Trujillo Sur, 496, Chosica, Lima Metropolitana, Lima, 15468, Perú, (Ruta4507nueva era 23-10-23)</t>
  </si>
  <si>
    <t>Jirón Trujillo Sur, 496, Chosica, Lima Metropolitana, Lima, 15468, Perú</t>
  </si>
  <si>
    <t>Calle 28 de Julio, Chosica, Lima Metropolitana, Lima, 15468, Perú</t>
  </si>
  <si>
    <t>94 km/h</t>
  </si>
  <si>
    <t>Avenida Calca, Ate, Lima Metropolitana, Lima, 15008, Perú</t>
  </si>
  <si>
    <t>Ate, Lima Metropolitana, Lima, 15457, Perú</t>
  </si>
  <si>
    <t>Avenida 22 de Julio, Santa Anita, Lima Metropolitana, Lima, 15009, Perú</t>
  </si>
  <si>
    <t>Calle Camino Real, Santa Eulalia, Lima Metropolitana, Lima, 15468, Perú</t>
  </si>
  <si>
    <t>Jirón Agustín Antonete, La Victoria, Lima Metropolitana, Lima, 15011, Perú</t>
  </si>
  <si>
    <t>Alameda E, Chaclacayo, Lima Metropolitana, Lima, 15476, Perú</t>
  </si>
  <si>
    <t>Calle 8, Ate, Lima Metropolitana, Lima, 15483, Perú</t>
  </si>
  <si>
    <t>Avenida José Carlos Mariátegui, Ate, Lima Metropolitana, Lima, 15474, Perú</t>
  </si>
  <si>
    <t>Avenida El Pozo, Ate, Lima Metropolitana, Lima, 15474, Perú</t>
  </si>
  <si>
    <t>107 km/h</t>
  </si>
  <si>
    <t>Avenida Nicolás de Ayllón, 836, Ate, Lima Metropolitana, Lima, 15487, Perú, (Ruta4507nueva era 23-10-23)</t>
  </si>
  <si>
    <t>Avenida Túpac Amaru, Chosica, Lima Metropolitana, Lima, 15468, Perú</t>
  </si>
  <si>
    <t>Objeto 1</t>
  </si>
  <si>
    <t>Objeto 2</t>
  </si>
  <si>
    <t>Objeto 3</t>
  </si>
  <si>
    <t>Objeto 4</t>
  </si>
  <si>
    <t>Objeto 5</t>
  </si>
  <si>
    <t>Objeto 6</t>
  </si>
  <si>
    <t>Objeto 7</t>
  </si>
  <si>
    <t>Objeto 8</t>
  </si>
  <si>
    <t>Objeto 9</t>
  </si>
  <si>
    <t>Objeto 10</t>
  </si>
  <si>
    <t>Objeto 11</t>
  </si>
  <si>
    <t>Objeto 12</t>
  </si>
  <si>
    <t>Objeto 13</t>
  </si>
  <si>
    <t>Objeto 14</t>
  </si>
  <si>
    <t>Objeto 15</t>
  </si>
  <si>
    <t>Objeto 16</t>
  </si>
  <si>
    <t>Objeto 17</t>
  </si>
  <si>
    <t>Objeto 18</t>
  </si>
  <si>
    <t>Objeto 19</t>
  </si>
  <si>
    <t>Objeto 20</t>
  </si>
  <si>
    <t>Objeto 21</t>
  </si>
  <si>
    <t>Objeto 22</t>
  </si>
  <si>
    <t>Objeto 23</t>
  </si>
  <si>
    <t>Objeto 24</t>
  </si>
  <si>
    <t>Objeto 25</t>
  </si>
  <si>
    <t>Objeto 26</t>
  </si>
  <si>
    <t>Objeto 27</t>
  </si>
  <si>
    <t>Objeto 28</t>
  </si>
  <si>
    <t>Objeto 29</t>
  </si>
  <si>
    <t>Objeto 30</t>
  </si>
  <si>
    <t>Objeto 31</t>
  </si>
  <si>
    <t>Objeto 32</t>
  </si>
  <si>
    <t>Objeto 33</t>
  </si>
  <si>
    <t>Objeto 34</t>
  </si>
  <si>
    <t>Objeto 35</t>
  </si>
  <si>
    <t>Objeto 36</t>
  </si>
  <si>
    <t>Objeto 37</t>
  </si>
  <si>
    <t>Objeto 38</t>
  </si>
  <si>
    <t>Objeto 39</t>
  </si>
  <si>
    <t>Objeto 40</t>
  </si>
  <si>
    <t>Objeto 41</t>
  </si>
  <si>
    <t>Objeto 42</t>
  </si>
  <si>
    <t>Objeto 43</t>
  </si>
  <si>
    <t>Objeto 44</t>
  </si>
  <si>
    <t>Objeto 45</t>
  </si>
  <si>
    <t>Objeto 46</t>
  </si>
  <si>
    <t>Objeto 47</t>
  </si>
  <si>
    <t>Objeto 48</t>
  </si>
  <si>
    <t>Objeto 49</t>
  </si>
  <si>
    <t>Objeto 50</t>
  </si>
  <si>
    <t>Objeto 51</t>
  </si>
  <si>
    <t>Objeto 52</t>
  </si>
  <si>
    <t>Objeto 53</t>
  </si>
  <si>
    <t>Objeto 54</t>
  </si>
  <si>
    <t>Objeto 55</t>
  </si>
  <si>
    <t>Objeto 56</t>
  </si>
  <si>
    <t>Objeto 57</t>
  </si>
  <si>
    <t>Objeto 58</t>
  </si>
  <si>
    <t>Objeto 59</t>
  </si>
  <si>
    <t>Objeto 60</t>
  </si>
  <si>
    <t>Objeto 61</t>
  </si>
  <si>
    <t>Objeto 62</t>
  </si>
  <si>
    <t>Objeto 63</t>
  </si>
  <si>
    <t>Nombre de objeto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</si>
</sst>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 h:mm:ss"/>
    <numFmt numFmtId="165" formatCode="&quot;&quot;#,##0.0##&quot; km&quot;"/>
  </numFmts>
  <fonts count="5" x14ac:knownFonts="1">
    <font>
      <sz val="11"/>
      <color theme="1"/>
      <name val="Calibri"/>
      <family val="2"/>
      <scheme val="minor"/>
    </font>
    <font>
      <b/>
      <sz val="18"/>
      <name val="Calibri"/>
    </font>
    <font>
      <b/>
      <sz val="11"/>
      <name val="Calibri"/>
    </font>
    <font>
      <i/>
      <sz val="11"/>
      <name val="Calibri"/>
    </font>
    <font>
      <b/>
      <sz val="16"/>
      <name val="Calibri"/>
    </font>
  </fonts>
  <fills count="3">
    <fill>
      <patternFill patternType="none"/>
    </fill>
    <fill>
      <patternFill patternType="gray125"/>
    </fill>
    <fill>
      <patternFill patternType="darkTrellis">
        <fgColor rgb="FFD9D9D9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wrapText="1"/>
    </xf>
    <xf numFmtId="164" fontId="0" fillId="0" borderId="0" xfId="0" applyNumberFormat="1"/>
    <xf numFmtId="165" fontId="0" fillId="0" borderId="0" xfId="0" applyNumberFormat="1"/>
    <xf numFmtId="46" fontId="0" fillId="0" borderId="0" xfId="0" applyNumberFormat="1"/>
    <xf numFmtId="0" fontId="0" fillId="2" borderId="2" xfId="0" applyFill="1" applyBorder="1"/>
    <xf numFmtId="165" fontId="0" fillId="2" borderId="2" xfId="0" applyNumberFormat="1" applyFill="1" applyBorder="1"/>
    <xf numFmtId="46" fontId="0" fillId="2" borderId="2" xfId="0" applyNumberFormat="1" applyFill="1" applyBorder="1"/>
    <xf numFmtId="0" fontId="3" fillId="0" borderId="0" xfId="0" applyFont="1"/>
    <xf numFmtId="0" fontId="4" fillId="0" borderId="0" xfId="0" applyFont="1"/>
    <xf numFmtId="0" fontId="0" fillId="0" borderId="0" xfId="0"/>
    <xf numFmtId="0" fontId="4" fillId="0" borderId="0" xfId="0" applyFont="1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M1284"/>
  <sheetViews>
    <sheetView tabSelected="1" workbookViewId="0">
      <selection sqref="A1:J1"/>
    </sheetView>
  </sheetViews>
  <sheetFormatPr baseColWidth="10" defaultColWidth="9.140625" defaultRowHeight="15" x14ac:dyDescent="0.25"/>
  <cols>
    <col min="1" max="30" width="19" customWidth="1"/>
  </cols>
  <sheetData>
    <row r="1" spans="1:13" ht="24" customHeight="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</row>
    <row r="2" spans="1:13" x14ac:dyDescent="0.25">
      <c r="A2" s="11" t="s">
        <v>1</v>
      </c>
      <c r="B2" s="11"/>
      <c r="C2" s="11"/>
      <c r="D2" s="11"/>
      <c r="E2" s="11"/>
      <c r="F2" s="11"/>
      <c r="G2" s="11"/>
      <c r="H2" s="11"/>
      <c r="I2" s="11"/>
      <c r="J2" s="11"/>
    </row>
    <row r="3" spans="1:13" x14ac:dyDescent="0.25">
      <c r="A3" s="11" t="s">
        <v>2</v>
      </c>
      <c r="B3" s="11"/>
      <c r="C3" s="11"/>
      <c r="D3" s="11"/>
      <c r="E3" s="11"/>
      <c r="F3" s="11"/>
      <c r="G3" s="11"/>
      <c r="H3" s="11"/>
      <c r="I3" s="11"/>
      <c r="J3" s="11"/>
    </row>
    <row r="4" spans="1:13" x14ac:dyDescent="0.25">
      <c r="A4" s="11" t="s">
        <v>3</v>
      </c>
      <c r="B4" s="11"/>
      <c r="C4" s="11"/>
      <c r="D4" s="11"/>
      <c r="E4" s="11"/>
      <c r="F4" s="11"/>
      <c r="G4" s="11"/>
      <c r="H4" s="11"/>
      <c r="I4" s="11"/>
      <c r="J4" s="11"/>
    </row>
    <row r="5" spans="1:13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</row>
    <row r="6" spans="1:13" s="1" customFormat="1" x14ac:dyDescent="0.25">
      <c r="A6" s="14" t="s">
        <v>4</v>
      </c>
      <c r="B6" s="14"/>
      <c r="C6" s="14"/>
      <c r="D6" s="14"/>
      <c r="E6" s="14"/>
      <c r="F6" s="14"/>
      <c r="G6" s="14"/>
      <c r="H6" s="14"/>
      <c r="I6" s="14"/>
      <c r="J6" s="14"/>
    </row>
    <row r="7" spans="1:13" ht="30" x14ac:dyDescent="0.25">
      <c r="A7" s="2" t="s">
        <v>513</v>
      </c>
      <c r="B7" s="2" t="s">
        <v>5</v>
      </c>
      <c r="C7" s="2" t="s">
        <v>6</v>
      </c>
      <c r="D7" s="2" t="s">
        <v>7</v>
      </c>
      <c r="E7" s="2" t="s">
        <v>8</v>
      </c>
      <c r="F7" s="2" t="s">
        <v>9</v>
      </c>
      <c r="G7" s="2" t="s">
        <v>10</v>
      </c>
      <c r="H7" s="2" t="s">
        <v>11</v>
      </c>
      <c r="I7" s="2" t="s">
        <v>12</v>
      </c>
      <c r="J7" s="2" t="s">
        <v>13</v>
      </c>
      <c r="K7" s="2" t="s">
        <v>14</v>
      </c>
      <c r="L7" s="2" t="s">
        <v>15</v>
      </c>
      <c r="M7" s="2" t="s">
        <v>16</v>
      </c>
    </row>
    <row r="8" spans="1:13" x14ac:dyDescent="0.25">
      <c r="A8" t="s">
        <v>450</v>
      </c>
      <c r="B8" s="3">
        <v>45699.284907407404</v>
      </c>
      <c r="C8" t="s">
        <v>17</v>
      </c>
      <c r="D8" s="3">
        <v>45699.941851851851</v>
      </c>
      <c r="E8" t="s">
        <v>17</v>
      </c>
      <c r="F8" s="4">
        <v>157.251</v>
      </c>
      <c r="G8" s="4">
        <v>513786.31300000002</v>
      </c>
      <c r="H8" s="4">
        <v>513943.56400000001</v>
      </c>
      <c r="I8" s="5">
        <f>11684 / 86400</f>
        <v>0.13523148148148148</v>
      </c>
      <c r="J8" t="s">
        <v>18</v>
      </c>
      <c r="K8" t="s">
        <v>19</v>
      </c>
      <c r="L8" s="5">
        <f>37833 / 86400</f>
        <v>0.43788194444444445</v>
      </c>
      <c r="M8" s="5">
        <f>48558 / 86400</f>
        <v>0.56201388888888892</v>
      </c>
    </row>
    <row r="9" spans="1:13" x14ac:dyDescent="0.25">
      <c r="A9" t="s">
        <v>451</v>
      </c>
      <c r="B9" s="3">
        <v>45699.097638888888</v>
      </c>
      <c r="C9" t="s">
        <v>20</v>
      </c>
      <c r="D9" s="3">
        <v>45699.964918981481</v>
      </c>
      <c r="E9" t="s">
        <v>20</v>
      </c>
      <c r="F9" s="4">
        <v>210.85</v>
      </c>
      <c r="G9" s="4">
        <v>18726.831999999999</v>
      </c>
      <c r="H9" s="4">
        <v>18937.682000000001</v>
      </c>
      <c r="I9" s="5">
        <f>10677 / 86400</f>
        <v>0.12357638888888889</v>
      </c>
      <c r="J9" t="s">
        <v>21</v>
      </c>
      <c r="K9" t="s">
        <v>22</v>
      </c>
      <c r="L9" s="5">
        <f>40070 / 86400</f>
        <v>0.46377314814814813</v>
      </c>
      <c r="M9" s="5">
        <f>46326 / 86400</f>
        <v>0.53618055555555555</v>
      </c>
    </row>
    <row r="10" spans="1:13" x14ac:dyDescent="0.25">
      <c r="A10" t="s">
        <v>452</v>
      </c>
      <c r="B10" s="3">
        <v>45699.186921296292</v>
      </c>
      <c r="C10" t="s">
        <v>23</v>
      </c>
      <c r="D10" s="3">
        <v>45699.776608796295</v>
      </c>
      <c r="E10" t="s">
        <v>24</v>
      </c>
      <c r="F10" s="4">
        <v>92.146000000000001</v>
      </c>
      <c r="G10" s="4">
        <v>328275.72399999999</v>
      </c>
      <c r="H10" s="4">
        <v>328367.87</v>
      </c>
      <c r="I10" s="5">
        <f>6280 / 86400</f>
        <v>7.2685185185185186E-2</v>
      </c>
      <c r="J10" t="s">
        <v>25</v>
      </c>
      <c r="K10" t="s">
        <v>26</v>
      </c>
      <c r="L10" s="5">
        <f>18529 / 86400</f>
        <v>0.21445601851851853</v>
      </c>
      <c r="M10" s="5">
        <f>67868 / 86400</f>
        <v>0.7855092592592593</v>
      </c>
    </row>
    <row r="11" spans="1:13" x14ac:dyDescent="0.25">
      <c r="A11" t="s">
        <v>453</v>
      </c>
      <c r="B11" s="3">
        <v>45699.799745370372</v>
      </c>
      <c r="C11" t="s">
        <v>27</v>
      </c>
      <c r="D11" s="3">
        <v>45699.804224537038</v>
      </c>
      <c r="E11" t="s">
        <v>27</v>
      </c>
      <c r="F11" s="4">
        <v>4.9000000000000002E-2</v>
      </c>
      <c r="G11" s="4">
        <v>513023.342</v>
      </c>
      <c r="H11" s="4">
        <v>513023.391</v>
      </c>
      <c r="I11" s="5">
        <f>199 / 86400</f>
        <v>2.3032407407407407E-3</v>
      </c>
      <c r="J11" t="s">
        <v>28</v>
      </c>
      <c r="K11" t="s">
        <v>29</v>
      </c>
      <c r="L11" s="5">
        <f>287 / 86400</f>
        <v>3.3217592592592591E-3</v>
      </c>
      <c r="M11" s="5">
        <f>86111 / 86400</f>
        <v>0.99665509259259255</v>
      </c>
    </row>
    <row r="12" spans="1:13" x14ac:dyDescent="0.25">
      <c r="A12" t="s">
        <v>454</v>
      </c>
      <c r="B12" s="3">
        <v>45699.22493055556</v>
      </c>
      <c r="C12" t="s">
        <v>30</v>
      </c>
      <c r="D12" s="3">
        <v>45699.780624999999</v>
      </c>
      <c r="E12" t="s">
        <v>30</v>
      </c>
      <c r="F12" s="4">
        <v>169.428</v>
      </c>
      <c r="G12" s="4">
        <v>92003.987999999998</v>
      </c>
      <c r="H12" s="4">
        <v>92173.415999999997</v>
      </c>
      <c r="I12" s="5">
        <f>14550 / 86400</f>
        <v>0.16840277777777779</v>
      </c>
      <c r="J12" t="s">
        <v>25</v>
      </c>
      <c r="K12" t="s">
        <v>31</v>
      </c>
      <c r="L12" s="5">
        <f>42653 / 86400</f>
        <v>0.49366898148148147</v>
      </c>
      <c r="M12" s="5">
        <f>43743 / 86400</f>
        <v>0.50628472222222221</v>
      </c>
    </row>
    <row r="13" spans="1:13" x14ac:dyDescent="0.25">
      <c r="A13" t="s">
        <v>455</v>
      </c>
      <c r="B13" s="3">
        <v>45699.171990740739</v>
      </c>
      <c r="C13" t="s">
        <v>17</v>
      </c>
      <c r="D13" s="3">
        <v>45699.774768518517</v>
      </c>
      <c r="E13" t="s">
        <v>17</v>
      </c>
      <c r="F13" s="4">
        <v>249.21700000000001</v>
      </c>
      <c r="G13" s="4">
        <v>137336.15599999999</v>
      </c>
      <c r="H13" s="4">
        <v>137585.37299999999</v>
      </c>
      <c r="I13" s="5">
        <f>15197 / 86400</f>
        <v>0.1758912037037037</v>
      </c>
      <c r="J13" t="s">
        <v>32</v>
      </c>
      <c r="K13" t="s">
        <v>26</v>
      </c>
      <c r="L13" s="5">
        <f>48520 / 86400</f>
        <v>0.56157407407407411</v>
      </c>
      <c r="M13" s="5">
        <f>37877 / 86400</f>
        <v>0.43839120370370371</v>
      </c>
    </row>
    <row r="14" spans="1:13" x14ac:dyDescent="0.25">
      <c r="A14" t="s">
        <v>456</v>
      </c>
      <c r="B14" s="3">
        <v>45699.199432870373</v>
      </c>
      <c r="C14" t="s">
        <v>30</v>
      </c>
      <c r="D14" s="3">
        <v>45699.743923611109</v>
      </c>
      <c r="E14" t="s">
        <v>30</v>
      </c>
      <c r="F14" s="4">
        <v>195.28839445090293</v>
      </c>
      <c r="G14" s="4">
        <v>347633.186978104</v>
      </c>
      <c r="H14" s="4">
        <v>347840.9509845603</v>
      </c>
      <c r="I14" s="5">
        <f>0 / 86400</f>
        <v>0</v>
      </c>
      <c r="J14" t="s">
        <v>33</v>
      </c>
      <c r="K14" t="s">
        <v>34</v>
      </c>
      <c r="L14" s="5">
        <f>32182 / 86400</f>
        <v>0.37247685185185186</v>
      </c>
      <c r="M14" s="5">
        <f>54216 / 86400</f>
        <v>0.62749999999999995</v>
      </c>
    </row>
    <row r="15" spans="1:13" x14ac:dyDescent="0.25">
      <c r="A15" t="s">
        <v>457</v>
      </c>
      <c r="B15" s="3">
        <v>45699.173287037032</v>
      </c>
      <c r="C15" t="s">
        <v>35</v>
      </c>
      <c r="D15" s="3">
        <v>45699.671666666662</v>
      </c>
      <c r="E15" t="s">
        <v>35</v>
      </c>
      <c r="F15" s="4">
        <v>177.19499999999999</v>
      </c>
      <c r="G15" s="4">
        <v>483847.47499999998</v>
      </c>
      <c r="H15" s="4">
        <v>484024.67</v>
      </c>
      <c r="I15" s="5">
        <f>13477 / 86400</f>
        <v>0.1559837962962963</v>
      </c>
      <c r="J15" t="s">
        <v>36</v>
      </c>
      <c r="K15" t="s">
        <v>37</v>
      </c>
      <c r="L15" s="5">
        <f>40332 / 86400</f>
        <v>0.46680555555555553</v>
      </c>
      <c r="M15" s="5">
        <f>46065 / 86400</f>
        <v>0.53315972222222219</v>
      </c>
    </row>
    <row r="16" spans="1:13" x14ac:dyDescent="0.25">
      <c r="A16" t="s">
        <v>458</v>
      </c>
      <c r="B16" s="3">
        <v>45699.29041666667</v>
      </c>
      <c r="C16" t="s">
        <v>38</v>
      </c>
      <c r="D16" s="3">
        <v>45699.888437500005</v>
      </c>
      <c r="E16" t="s">
        <v>38</v>
      </c>
      <c r="F16" s="4">
        <v>194.874</v>
      </c>
      <c r="G16" s="4">
        <v>507706.61700000003</v>
      </c>
      <c r="H16" s="4">
        <v>507901.49099999998</v>
      </c>
      <c r="I16" s="5">
        <f>17670 / 86400</f>
        <v>0.20451388888888888</v>
      </c>
      <c r="J16" t="s">
        <v>39</v>
      </c>
      <c r="K16" t="s">
        <v>19</v>
      </c>
      <c r="L16" s="5">
        <f>47952 / 86400</f>
        <v>0.55500000000000005</v>
      </c>
      <c r="M16" s="5">
        <f>38443 / 86400</f>
        <v>0.44494212962962965</v>
      </c>
    </row>
    <row r="17" spans="1:13" x14ac:dyDescent="0.25">
      <c r="A17" t="s">
        <v>459</v>
      </c>
      <c r="B17" s="3">
        <v>45699.228425925925</v>
      </c>
      <c r="C17" t="s">
        <v>40</v>
      </c>
      <c r="D17" s="3">
        <v>45699.944236111114</v>
      </c>
      <c r="E17" t="s">
        <v>40</v>
      </c>
      <c r="F17" s="4">
        <v>199.64600000000002</v>
      </c>
      <c r="G17" s="4">
        <v>407389.25799999997</v>
      </c>
      <c r="H17" s="4">
        <v>407588.90399999998</v>
      </c>
      <c r="I17" s="5">
        <f>17033 / 86400</f>
        <v>0.19714120370370369</v>
      </c>
      <c r="J17" t="s">
        <v>21</v>
      </c>
      <c r="K17" t="s">
        <v>19</v>
      </c>
      <c r="L17" s="5">
        <f>48702 / 86400</f>
        <v>0.56368055555555552</v>
      </c>
      <c r="M17" s="5">
        <f>37692 / 86400</f>
        <v>0.43625000000000003</v>
      </c>
    </row>
    <row r="18" spans="1:13" x14ac:dyDescent="0.25">
      <c r="A18" t="s">
        <v>460</v>
      </c>
      <c r="B18" s="3">
        <v>45699.318773148145</v>
      </c>
      <c r="C18" t="s">
        <v>41</v>
      </c>
      <c r="D18" s="3">
        <v>45699.851851851854</v>
      </c>
      <c r="E18" t="s">
        <v>41</v>
      </c>
      <c r="F18" s="4">
        <v>188.083</v>
      </c>
      <c r="G18" s="4">
        <v>437117.84100000001</v>
      </c>
      <c r="H18" s="4">
        <v>437305.924</v>
      </c>
      <c r="I18" s="5">
        <f>12615 / 86400</f>
        <v>0.14600694444444445</v>
      </c>
      <c r="J18" t="s">
        <v>39</v>
      </c>
      <c r="K18" t="s">
        <v>42</v>
      </c>
      <c r="L18" s="5">
        <f>40345 / 86400</f>
        <v>0.46695601851851853</v>
      </c>
      <c r="M18" s="5">
        <f>46048 / 86400</f>
        <v>0.53296296296296297</v>
      </c>
    </row>
    <row r="19" spans="1:13" x14ac:dyDescent="0.25">
      <c r="A19" t="s">
        <v>461</v>
      </c>
      <c r="B19" s="3">
        <v>45699.135613425926</v>
      </c>
      <c r="C19" t="s">
        <v>20</v>
      </c>
      <c r="D19" s="3">
        <v>45699.963460648149</v>
      </c>
      <c r="E19" t="s">
        <v>20</v>
      </c>
      <c r="F19" s="4">
        <v>302.71699999999998</v>
      </c>
      <c r="G19" s="4">
        <v>53795.209000000003</v>
      </c>
      <c r="H19" s="4">
        <v>54097.925999999999</v>
      </c>
      <c r="I19" s="5">
        <f>17994 / 86400</f>
        <v>0.20826388888888889</v>
      </c>
      <c r="J19" t="s">
        <v>43</v>
      </c>
      <c r="K19" t="s">
        <v>22</v>
      </c>
      <c r="L19" s="5">
        <f>57824 / 86400</f>
        <v>0.66925925925925922</v>
      </c>
      <c r="M19" s="5">
        <f>28569 / 86400</f>
        <v>0.33065972222222223</v>
      </c>
    </row>
    <row r="20" spans="1:13" x14ac:dyDescent="0.25">
      <c r="A20" t="s">
        <v>462</v>
      </c>
      <c r="B20" s="3">
        <v>45699.22892361111</v>
      </c>
      <c r="C20" t="s">
        <v>44</v>
      </c>
      <c r="D20" s="3">
        <v>45699.752708333333</v>
      </c>
      <c r="E20" t="s">
        <v>44</v>
      </c>
      <c r="F20" s="4">
        <v>107.396</v>
      </c>
      <c r="G20" s="4">
        <v>215674.39799999999</v>
      </c>
      <c r="H20" s="4">
        <v>215781.79399999999</v>
      </c>
      <c r="I20" s="5">
        <f>8074 / 86400</f>
        <v>9.3449074074074073E-2</v>
      </c>
      <c r="J20" t="s">
        <v>45</v>
      </c>
      <c r="K20" t="s">
        <v>19</v>
      </c>
      <c r="L20" s="5">
        <f>25094 / 86400</f>
        <v>0.29043981481481479</v>
      </c>
      <c r="M20" s="5">
        <f>61297 / 86400</f>
        <v>0.70945601851851847</v>
      </c>
    </row>
    <row r="21" spans="1:13" x14ac:dyDescent="0.25">
      <c r="A21" t="s">
        <v>463</v>
      </c>
      <c r="B21" s="3">
        <v>45699.255474537036</v>
      </c>
      <c r="C21" t="s">
        <v>46</v>
      </c>
      <c r="D21" s="3">
        <v>45699.856342592597</v>
      </c>
      <c r="E21" t="s">
        <v>46</v>
      </c>
      <c r="F21" s="4">
        <v>205.35499999999999</v>
      </c>
      <c r="G21" s="4">
        <v>524832.973</v>
      </c>
      <c r="H21" s="4">
        <v>525038.32799999998</v>
      </c>
      <c r="I21" s="5">
        <f>18134 / 86400</f>
        <v>0.20988425925925927</v>
      </c>
      <c r="J21" t="s">
        <v>47</v>
      </c>
      <c r="K21" t="s">
        <v>19</v>
      </c>
      <c r="L21" s="5">
        <f>48343 / 86400</f>
        <v>0.55952546296296302</v>
      </c>
      <c r="M21" s="5">
        <f>38054 / 86400</f>
        <v>0.44043981481481481</v>
      </c>
    </row>
    <row r="22" spans="1:13" x14ac:dyDescent="0.25">
      <c r="A22" t="s">
        <v>464</v>
      </c>
      <c r="B22" s="3">
        <v>45699.20212962963</v>
      </c>
      <c r="C22" t="s">
        <v>48</v>
      </c>
      <c r="D22" s="3">
        <v>45699.866701388892</v>
      </c>
      <c r="E22" t="s">
        <v>49</v>
      </c>
      <c r="F22" s="4">
        <v>236.57900000000001</v>
      </c>
      <c r="G22" s="4">
        <v>344269.30800000002</v>
      </c>
      <c r="H22" s="4">
        <v>344505.88699999999</v>
      </c>
      <c r="I22" s="5">
        <f>16851 / 86400</f>
        <v>0.19503472222222223</v>
      </c>
      <c r="J22" t="s">
        <v>50</v>
      </c>
      <c r="K22" t="s">
        <v>42</v>
      </c>
      <c r="L22" s="5">
        <f>49979 / 86400</f>
        <v>0.57846064814814813</v>
      </c>
      <c r="M22" s="5">
        <f>36415 / 86400</f>
        <v>0.42146990740740742</v>
      </c>
    </row>
    <row r="23" spans="1:13" x14ac:dyDescent="0.25">
      <c r="A23" t="s">
        <v>465</v>
      </c>
      <c r="B23" s="3">
        <v>45699.25135416667</v>
      </c>
      <c r="C23" t="s">
        <v>51</v>
      </c>
      <c r="D23" s="3">
        <v>45699.774270833332</v>
      </c>
      <c r="E23" t="s">
        <v>51</v>
      </c>
      <c r="F23" s="4">
        <v>183.40899999999999</v>
      </c>
      <c r="G23" s="4">
        <v>425708.739</v>
      </c>
      <c r="H23" s="4">
        <v>425892.14799999999</v>
      </c>
      <c r="I23" s="5">
        <f>13453 / 86400</f>
        <v>0.15570601851851851</v>
      </c>
      <c r="J23" t="s">
        <v>36</v>
      </c>
      <c r="K23" t="s">
        <v>42</v>
      </c>
      <c r="L23" s="5">
        <f>39969 / 86400</f>
        <v>0.46260416666666665</v>
      </c>
      <c r="M23" s="5">
        <f>46427 / 86400</f>
        <v>0.53734953703703703</v>
      </c>
    </row>
    <row r="24" spans="1:13" x14ac:dyDescent="0.25">
      <c r="A24" t="s">
        <v>466</v>
      </c>
      <c r="B24" s="3">
        <v>45699.229189814811</v>
      </c>
      <c r="C24" t="s">
        <v>30</v>
      </c>
      <c r="D24" s="3">
        <v>45699.773148148146</v>
      </c>
      <c r="E24" t="s">
        <v>23</v>
      </c>
      <c r="F24" s="4">
        <v>169.691</v>
      </c>
      <c r="G24" s="4">
        <v>12478.583000000001</v>
      </c>
      <c r="H24" s="4">
        <v>12648.273999999999</v>
      </c>
      <c r="I24" s="5">
        <f>14822 / 86400</f>
        <v>0.17155092592592591</v>
      </c>
      <c r="J24" t="s">
        <v>52</v>
      </c>
      <c r="K24" t="s">
        <v>19</v>
      </c>
      <c r="L24" s="5">
        <f>40548 / 86400</f>
        <v>0.46930555555555553</v>
      </c>
      <c r="M24" s="5">
        <f>45843 / 86400</f>
        <v>0.53059027777777779</v>
      </c>
    </row>
    <row r="25" spans="1:13" x14ac:dyDescent="0.25">
      <c r="A25" t="s">
        <v>467</v>
      </c>
      <c r="B25" s="3">
        <v>45699.163564814815</v>
      </c>
      <c r="C25" t="s">
        <v>53</v>
      </c>
      <c r="D25" s="3">
        <v>45699.646956018521</v>
      </c>
      <c r="E25" t="s">
        <v>53</v>
      </c>
      <c r="F25" s="4">
        <v>96.579000000000008</v>
      </c>
      <c r="G25" s="4">
        <v>138338.49600000001</v>
      </c>
      <c r="H25" s="4">
        <v>138435.07500000001</v>
      </c>
      <c r="I25" s="5">
        <f>4971 / 86400</f>
        <v>5.7534722222222223E-2</v>
      </c>
      <c r="J25" t="s">
        <v>54</v>
      </c>
      <c r="K25" t="s">
        <v>22</v>
      </c>
      <c r="L25" s="5">
        <f>17919 / 86400</f>
        <v>0.20739583333333333</v>
      </c>
      <c r="M25" s="5">
        <f>68475 / 86400</f>
        <v>0.79253472222222221</v>
      </c>
    </row>
    <row r="26" spans="1:13" x14ac:dyDescent="0.25">
      <c r="A26" t="s">
        <v>468</v>
      </c>
      <c r="B26" s="3">
        <v>45699.229201388887</v>
      </c>
      <c r="C26" t="s">
        <v>30</v>
      </c>
      <c r="D26" s="3">
        <v>45699.895555555559</v>
      </c>
      <c r="E26" t="s">
        <v>30</v>
      </c>
      <c r="F26" s="4">
        <v>176.62699999999998</v>
      </c>
      <c r="G26" s="4">
        <v>5232.9390000000003</v>
      </c>
      <c r="H26" s="4">
        <v>5409.5659999999998</v>
      </c>
      <c r="I26" s="5">
        <f>23260 / 86400</f>
        <v>0.26921296296296299</v>
      </c>
      <c r="J26" t="s">
        <v>55</v>
      </c>
      <c r="K26" t="s">
        <v>56</v>
      </c>
      <c r="L26" s="5">
        <f>48852 / 86400</f>
        <v>0.56541666666666668</v>
      </c>
      <c r="M26" s="5">
        <f>37544 / 86400</f>
        <v>0.43453703703703705</v>
      </c>
    </row>
    <row r="27" spans="1:13" x14ac:dyDescent="0.25">
      <c r="A27" t="s">
        <v>469</v>
      </c>
      <c r="B27" s="3">
        <v>45699.205625000002</v>
      </c>
      <c r="C27" t="s">
        <v>35</v>
      </c>
      <c r="D27" s="3">
        <v>45699.748148148152</v>
      </c>
      <c r="E27" t="s">
        <v>35</v>
      </c>
      <c r="F27" s="4">
        <v>188.982</v>
      </c>
      <c r="G27" s="4">
        <v>386585.34899999999</v>
      </c>
      <c r="H27" s="4">
        <v>386774.33100000001</v>
      </c>
      <c r="I27" s="5">
        <f>13759 / 86400</f>
        <v>0.15924768518518517</v>
      </c>
      <c r="J27" t="s">
        <v>32</v>
      </c>
      <c r="K27" t="s">
        <v>42</v>
      </c>
      <c r="L27" s="5">
        <f>41137 / 86400</f>
        <v>0.47612268518518519</v>
      </c>
      <c r="M27" s="5">
        <f>45259 / 86400</f>
        <v>0.52383101851851854</v>
      </c>
    </row>
    <row r="28" spans="1:13" x14ac:dyDescent="0.25">
      <c r="A28" t="s">
        <v>470</v>
      </c>
      <c r="B28" s="3">
        <v>45699.329641203702</v>
      </c>
      <c r="C28" t="s">
        <v>35</v>
      </c>
      <c r="D28" s="3">
        <v>45699.33021990741</v>
      </c>
      <c r="E28" t="s">
        <v>35</v>
      </c>
      <c r="F28" s="4">
        <v>1.7999999999999999E-2</v>
      </c>
      <c r="G28" s="4">
        <v>392325.75400000002</v>
      </c>
      <c r="H28" s="4">
        <v>392325.772</v>
      </c>
      <c r="I28" s="5">
        <f>19 / 86400</f>
        <v>2.199074074074074E-4</v>
      </c>
      <c r="J28" t="s">
        <v>57</v>
      </c>
      <c r="K28" t="s">
        <v>29</v>
      </c>
      <c r="L28" s="5">
        <f>49 / 86400</f>
        <v>5.6712962962962967E-4</v>
      </c>
      <c r="M28" s="5">
        <f>86349 / 86400</f>
        <v>0.99940972222222224</v>
      </c>
    </row>
    <row r="29" spans="1:13" x14ac:dyDescent="0.25">
      <c r="A29" t="s">
        <v>471</v>
      </c>
      <c r="B29" s="3">
        <v>45699.147118055553</v>
      </c>
      <c r="C29" t="s">
        <v>58</v>
      </c>
      <c r="D29" s="3">
        <v>45699.72855324074</v>
      </c>
      <c r="E29" t="s">
        <v>58</v>
      </c>
      <c r="F29" s="4">
        <v>206.79300000000001</v>
      </c>
      <c r="G29" s="4">
        <v>522738.46799999999</v>
      </c>
      <c r="H29" s="4">
        <v>522945.261</v>
      </c>
      <c r="I29" s="5">
        <f>10916 / 86400</f>
        <v>0.12634259259259259</v>
      </c>
      <c r="J29" t="s">
        <v>59</v>
      </c>
      <c r="K29" t="s">
        <v>22</v>
      </c>
      <c r="L29" s="5">
        <f>39010 / 86400</f>
        <v>0.45150462962962962</v>
      </c>
      <c r="M29" s="5">
        <f>47384 / 86400</f>
        <v>0.54842592592592587</v>
      </c>
    </row>
    <row r="30" spans="1:13" x14ac:dyDescent="0.25">
      <c r="A30" t="s">
        <v>472</v>
      </c>
      <c r="B30" s="3">
        <v>45699</v>
      </c>
      <c r="C30" t="s">
        <v>60</v>
      </c>
      <c r="D30" s="3">
        <v>45699.884652777779</v>
      </c>
      <c r="E30" t="s">
        <v>61</v>
      </c>
      <c r="F30" s="4">
        <v>80.405000000000001</v>
      </c>
      <c r="G30" s="4">
        <v>411464.91600000003</v>
      </c>
      <c r="H30" s="4">
        <v>411545.321</v>
      </c>
      <c r="I30" s="5">
        <f>4912 / 86400</f>
        <v>5.6851851851851855E-2</v>
      </c>
      <c r="J30" t="s">
        <v>62</v>
      </c>
      <c r="K30" t="s">
        <v>37</v>
      </c>
      <c r="L30" s="5">
        <f>17548 / 86400</f>
        <v>0.20310185185185184</v>
      </c>
      <c r="M30" s="5">
        <f>68845 / 86400</f>
        <v>0.79681712962962958</v>
      </c>
    </row>
    <row r="31" spans="1:13" x14ac:dyDescent="0.25">
      <c r="A31" t="s">
        <v>473</v>
      </c>
      <c r="B31" s="3">
        <v>45699.261481481481</v>
      </c>
      <c r="C31" t="s">
        <v>63</v>
      </c>
      <c r="D31" s="3">
        <v>45699.892152777778</v>
      </c>
      <c r="E31" t="s">
        <v>63</v>
      </c>
      <c r="F31" s="4">
        <v>193.07</v>
      </c>
      <c r="G31" s="4">
        <v>402379.321</v>
      </c>
      <c r="H31" s="4">
        <v>402572.391</v>
      </c>
      <c r="I31" s="5">
        <f>15313 / 86400</f>
        <v>0.17723379629629629</v>
      </c>
      <c r="J31" t="s">
        <v>59</v>
      </c>
      <c r="K31" t="s">
        <v>37</v>
      </c>
      <c r="L31" s="5">
        <f>42155 / 86400</f>
        <v>0.48790509259259257</v>
      </c>
      <c r="M31" s="5">
        <f>44241 / 86400</f>
        <v>0.51204861111111111</v>
      </c>
    </row>
    <row r="32" spans="1:13" x14ac:dyDescent="0.25">
      <c r="A32" t="s">
        <v>474</v>
      </c>
      <c r="B32" s="3">
        <v>45699.2972337963</v>
      </c>
      <c r="C32" t="s">
        <v>64</v>
      </c>
      <c r="D32" s="3">
        <v>45699.674062499995</v>
      </c>
      <c r="E32" t="s">
        <v>64</v>
      </c>
      <c r="F32" s="4">
        <v>120.53400000000001</v>
      </c>
      <c r="G32" s="4">
        <v>347880.83100000001</v>
      </c>
      <c r="H32" s="4">
        <v>348001.36499999999</v>
      </c>
      <c r="I32" s="5">
        <f>14423 / 86400</f>
        <v>0.16693287037037038</v>
      </c>
      <c r="J32" t="s">
        <v>55</v>
      </c>
      <c r="K32" t="s">
        <v>56</v>
      </c>
      <c r="L32" s="5">
        <f>32306 / 86400</f>
        <v>0.37391203703703701</v>
      </c>
      <c r="M32" s="5">
        <f>54093 / 86400</f>
        <v>0.62607638888888884</v>
      </c>
    </row>
    <row r="33" spans="1:13" x14ac:dyDescent="0.25">
      <c r="A33" t="s">
        <v>475</v>
      </c>
      <c r="B33" s="3">
        <v>45699.265752314815</v>
      </c>
      <c r="C33" t="s">
        <v>65</v>
      </c>
      <c r="D33" s="3">
        <v>45699.892638888894</v>
      </c>
      <c r="E33" t="s">
        <v>65</v>
      </c>
      <c r="F33" s="4">
        <v>138.488</v>
      </c>
      <c r="G33" s="4">
        <v>40522.49</v>
      </c>
      <c r="H33" s="4">
        <v>40660.978000000003</v>
      </c>
      <c r="I33" s="5">
        <f>7948 / 86400</f>
        <v>9.1990740740740734E-2</v>
      </c>
      <c r="J33" t="s">
        <v>66</v>
      </c>
      <c r="K33" t="s">
        <v>26</v>
      </c>
      <c r="L33" s="5">
        <f>27110 / 86400</f>
        <v>0.31377314814814816</v>
      </c>
      <c r="M33" s="5">
        <f>59283 / 86400</f>
        <v>0.68614583333333334</v>
      </c>
    </row>
    <row r="34" spans="1:13" x14ac:dyDescent="0.25">
      <c r="A34" t="s">
        <v>476</v>
      </c>
      <c r="B34" s="3">
        <v>45699</v>
      </c>
      <c r="C34" t="s">
        <v>67</v>
      </c>
      <c r="D34" s="3">
        <v>45699.99998842593</v>
      </c>
      <c r="E34" t="s">
        <v>68</v>
      </c>
      <c r="F34" s="4">
        <v>98.893000000000001</v>
      </c>
      <c r="G34" s="4">
        <v>45885.065000000002</v>
      </c>
      <c r="H34" s="4">
        <v>45983.957999999999</v>
      </c>
      <c r="I34" s="5">
        <f>6738 / 86400</f>
        <v>7.7986111111111117E-2</v>
      </c>
      <c r="J34" t="s">
        <v>69</v>
      </c>
      <c r="K34" t="s">
        <v>26</v>
      </c>
      <c r="L34" s="5">
        <f>19747 / 86400</f>
        <v>0.22855324074074074</v>
      </c>
      <c r="M34" s="5">
        <f>66649 / 86400</f>
        <v>0.77140046296296294</v>
      </c>
    </row>
    <row r="35" spans="1:13" x14ac:dyDescent="0.25">
      <c r="A35" t="s">
        <v>477</v>
      </c>
      <c r="B35" s="3">
        <v>45699</v>
      </c>
      <c r="C35" t="s">
        <v>70</v>
      </c>
      <c r="D35" s="3">
        <v>45699.997453703705</v>
      </c>
      <c r="E35" t="s">
        <v>71</v>
      </c>
      <c r="F35" s="4">
        <v>340.23100000005962</v>
      </c>
      <c r="G35" s="4">
        <v>527255.06999999995</v>
      </c>
      <c r="H35" s="4">
        <v>527595.30099999998</v>
      </c>
      <c r="I35" s="5">
        <f>20157 / 86400</f>
        <v>0.23329861111111111</v>
      </c>
      <c r="J35" t="s">
        <v>72</v>
      </c>
      <c r="K35" t="s">
        <v>22</v>
      </c>
      <c r="L35" s="5">
        <f>63903 / 86400</f>
        <v>0.7396180555555556</v>
      </c>
      <c r="M35" s="5">
        <f>22489 / 86400</f>
        <v>0.26028935185185187</v>
      </c>
    </row>
    <row r="36" spans="1:13" x14ac:dyDescent="0.25">
      <c r="A36" t="s">
        <v>478</v>
      </c>
      <c r="B36" s="3">
        <v>45699.200439814813</v>
      </c>
      <c r="C36" t="s">
        <v>30</v>
      </c>
      <c r="D36" s="3">
        <v>45699.851307870369</v>
      </c>
      <c r="E36" t="s">
        <v>35</v>
      </c>
      <c r="F36" s="4">
        <v>200.90299999999999</v>
      </c>
      <c r="G36" s="4">
        <v>567563.16799999995</v>
      </c>
      <c r="H36" s="4">
        <v>567764.071</v>
      </c>
      <c r="I36" s="5">
        <f>19261 / 86400</f>
        <v>0.22292824074074075</v>
      </c>
      <c r="J36" t="s">
        <v>25</v>
      </c>
      <c r="K36" t="s">
        <v>19</v>
      </c>
      <c r="L36" s="5">
        <f>49340 / 86400</f>
        <v>0.57106481481481486</v>
      </c>
      <c r="M36" s="5">
        <f>37053 / 86400</f>
        <v>0.42885416666666665</v>
      </c>
    </row>
    <row r="37" spans="1:13" x14ac:dyDescent="0.25">
      <c r="A37" t="s">
        <v>479</v>
      </c>
      <c r="B37" s="3">
        <v>45699.243680555555</v>
      </c>
      <c r="C37" t="s">
        <v>73</v>
      </c>
      <c r="D37" s="3">
        <v>45699.889826388884</v>
      </c>
      <c r="E37" t="s">
        <v>73</v>
      </c>
      <c r="F37" s="4">
        <v>184.29400000000001</v>
      </c>
      <c r="G37" s="4">
        <v>435131.23300000001</v>
      </c>
      <c r="H37" s="4">
        <v>435315.527</v>
      </c>
      <c r="I37" s="5">
        <f>9489 / 86400</f>
        <v>0.10982638888888889</v>
      </c>
      <c r="J37" t="s">
        <v>74</v>
      </c>
      <c r="K37" t="s">
        <v>26</v>
      </c>
      <c r="L37" s="5">
        <f>36517 / 86400</f>
        <v>0.42265046296296294</v>
      </c>
      <c r="M37" s="5">
        <f>49881 / 86400</f>
        <v>0.57732638888888888</v>
      </c>
    </row>
    <row r="38" spans="1:13" x14ac:dyDescent="0.25">
      <c r="A38" t="s">
        <v>480</v>
      </c>
      <c r="B38" s="3">
        <v>45699.237557870365</v>
      </c>
      <c r="C38" t="s">
        <v>44</v>
      </c>
      <c r="D38" s="3">
        <v>45699.791493055556</v>
      </c>
      <c r="E38" t="s">
        <v>44</v>
      </c>
      <c r="F38" s="4">
        <v>200.15899999999999</v>
      </c>
      <c r="G38" s="4">
        <v>515010.87400000001</v>
      </c>
      <c r="H38" s="4">
        <v>515212.99099999998</v>
      </c>
      <c r="I38" s="5">
        <f>13084 / 86400</f>
        <v>0.15143518518518517</v>
      </c>
      <c r="J38" t="s">
        <v>75</v>
      </c>
      <c r="K38" t="s">
        <v>42</v>
      </c>
      <c r="L38" s="5">
        <f>43134 / 86400</f>
        <v>0.4992361111111111</v>
      </c>
      <c r="M38" s="5">
        <f>43265 / 86400</f>
        <v>0.50075231481481486</v>
      </c>
    </row>
    <row r="39" spans="1:13" x14ac:dyDescent="0.25">
      <c r="A39" t="s">
        <v>481</v>
      </c>
      <c r="B39" s="3">
        <v>45699.218078703707</v>
      </c>
      <c r="C39" t="s">
        <v>76</v>
      </c>
      <c r="D39" s="3">
        <v>45699.777349537035</v>
      </c>
      <c r="E39" t="s">
        <v>77</v>
      </c>
      <c r="F39" s="4">
        <v>200.27799999999999</v>
      </c>
      <c r="G39" s="4">
        <v>504871.19300000003</v>
      </c>
      <c r="H39" s="4">
        <v>505071.47100000002</v>
      </c>
      <c r="I39" s="5">
        <f>19859 / 86400</f>
        <v>0.22984953703703703</v>
      </c>
      <c r="J39" t="s">
        <v>75</v>
      </c>
      <c r="K39" t="s">
        <v>19</v>
      </c>
      <c r="L39" s="5">
        <f>48321 / 86400</f>
        <v>0.55927083333333338</v>
      </c>
      <c r="M39" s="5">
        <f>38078 / 86400</f>
        <v>0.44071759259259258</v>
      </c>
    </row>
    <row r="40" spans="1:13" x14ac:dyDescent="0.25">
      <c r="A40" t="s">
        <v>482</v>
      </c>
      <c r="B40" s="3">
        <v>45699.246898148151</v>
      </c>
      <c r="C40" t="s">
        <v>78</v>
      </c>
      <c r="D40" s="3">
        <v>45699.864108796297</v>
      </c>
      <c r="E40" t="s">
        <v>78</v>
      </c>
      <c r="F40" s="4">
        <v>162.626</v>
      </c>
      <c r="G40" s="4">
        <v>351877.53</v>
      </c>
      <c r="H40" s="4">
        <v>352040.15600000002</v>
      </c>
      <c r="I40" s="5">
        <f>12475 / 86400</f>
        <v>0.14438657407407407</v>
      </c>
      <c r="J40" t="s">
        <v>43</v>
      </c>
      <c r="K40" t="s">
        <v>42</v>
      </c>
      <c r="L40" s="5">
        <f>35082 / 86400</f>
        <v>0.40604166666666669</v>
      </c>
      <c r="M40" s="5">
        <f>51312 / 86400</f>
        <v>0.59388888888888891</v>
      </c>
    </row>
    <row r="41" spans="1:13" x14ac:dyDescent="0.25">
      <c r="A41" t="s">
        <v>483</v>
      </c>
      <c r="B41" s="3">
        <v>45699.218576388885</v>
      </c>
      <c r="C41" t="s">
        <v>79</v>
      </c>
      <c r="D41" s="3">
        <v>45699.778622685189</v>
      </c>
      <c r="E41" t="s">
        <v>79</v>
      </c>
      <c r="F41" s="4">
        <v>202.44499999999999</v>
      </c>
      <c r="G41" s="4">
        <v>410434.49400000001</v>
      </c>
      <c r="H41" s="4">
        <v>410636.93900000001</v>
      </c>
      <c r="I41" s="5">
        <f>15396 / 86400</f>
        <v>0.17819444444444443</v>
      </c>
      <c r="J41" t="s">
        <v>25</v>
      </c>
      <c r="K41" t="s">
        <v>37</v>
      </c>
      <c r="L41" s="5">
        <f>44707 / 86400</f>
        <v>0.51744212962962965</v>
      </c>
      <c r="M41" s="5">
        <f>41691 / 86400</f>
        <v>0.48253472222222221</v>
      </c>
    </row>
    <row r="42" spans="1:13" x14ac:dyDescent="0.25">
      <c r="A42" t="s">
        <v>484</v>
      </c>
      <c r="B42" s="3">
        <v>45699.146643518514</v>
      </c>
      <c r="C42" t="s">
        <v>30</v>
      </c>
      <c r="D42" s="3">
        <v>45699.794803240744</v>
      </c>
      <c r="E42" t="s">
        <v>30</v>
      </c>
      <c r="F42" s="4">
        <v>251.67099999999999</v>
      </c>
      <c r="G42" s="4">
        <v>441328.77299999999</v>
      </c>
      <c r="H42" s="4">
        <v>441580.44400000002</v>
      </c>
      <c r="I42" s="5">
        <f>12872 / 86400</f>
        <v>0.14898148148148149</v>
      </c>
      <c r="J42" t="s">
        <v>25</v>
      </c>
      <c r="K42" t="s">
        <v>22</v>
      </c>
      <c r="L42" s="5">
        <f>48193 / 86400</f>
        <v>0.55778935185185186</v>
      </c>
      <c r="M42" s="5">
        <f>38204 / 86400</f>
        <v>0.44217592592592592</v>
      </c>
    </row>
    <row r="43" spans="1:13" x14ac:dyDescent="0.25">
      <c r="A43" t="s">
        <v>485</v>
      </c>
      <c r="B43" s="3">
        <v>45699.291273148148</v>
      </c>
      <c r="C43" t="s">
        <v>80</v>
      </c>
      <c r="D43" s="3">
        <v>45699.94127314815</v>
      </c>
      <c r="E43" t="s">
        <v>78</v>
      </c>
      <c r="F43" s="4">
        <v>200.08799999999999</v>
      </c>
      <c r="G43" s="4">
        <v>473801.07799999998</v>
      </c>
      <c r="H43" s="4">
        <v>474001.16600000003</v>
      </c>
      <c r="I43" s="5">
        <f>18671 / 86400</f>
        <v>0.21609953703703705</v>
      </c>
      <c r="J43" t="s">
        <v>54</v>
      </c>
      <c r="K43" t="s">
        <v>19</v>
      </c>
      <c r="L43" s="5">
        <f>49610 / 86400</f>
        <v>0.57418981481481479</v>
      </c>
      <c r="M43" s="5">
        <f>36785 / 86400</f>
        <v>0.42575231481481479</v>
      </c>
    </row>
    <row r="44" spans="1:13" x14ac:dyDescent="0.25">
      <c r="A44" t="s">
        <v>486</v>
      </c>
      <c r="B44" s="3">
        <v>45699.120810185181</v>
      </c>
      <c r="C44" t="s">
        <v>77</v>
      </c>
      <c r="D44" s="3">
        <v>45699.99998842593</v>
      </c>
      <c r="E44" t="s">
        <v>81</v>
      </c>
      <c r="F44" s="4">
        <v>306.71799999999996</v>
      </c>
      <c r="G44" s="4">
        <v>413154.76400000002</v>
      </c>
      <c r="H44" s="4">
        <v>413461.48200000002</v>
      </c>
      <c r="I44" s="5">
        <f>19901 / 86400</f>
        <v>0.23033564814814814</v>
      </c>
      <c r="J44" t="s">
        <v>72</v>
      </c>
      <c r="K44" t="s">
        <v>22</v>
      </c>
      <c r="L44" s="5">
        <f>59613 / 86400</f>
        <v>0.68996527777777783</v>
      </c>
      <c r="M44" s="5">
        <f>26781 / 86400</f>
        <v>0.30996527777777777</v>
      </c>
    </row>
    <row r="45" spans="1:13" x14ac:dyDescent="0.25">
      <c r="A45" t="s">
        <v>487</v>
      </c>
      <c r="B45" s="3">
        <v>45699.293321759258</v>
      </c>
      <c r="C45" t="s">
        <v>30</v>
      </c>
      <c r="D45" s="3">
        <v>45699.99998842593</v>
      </c>
      <c r="E45" t="s">
        <v>82</v>
      </c>
      <c r="F45" s="4">
        <v>134.41999999999999</v>
      </c>
      <c r="G45" s="4">
        <v>327576.57400000002</v>
      </c>
      <c r="H45" s="4">
        <v>327710.99400000001</v>
      </c>
      <c r="I45" s="5">
        <f>10899 / 86400</f>
        <v>0.12614583333333335</v>
      </c>
      <c r="J45" t="s">
        <v>33</v>
      </c>
      <c r="K45" t="s">
        <v>42</v>
      </c>
      <c r="L45" s="5">
        <f>29222 / 86400</f>
        <v>0.3382175925925926</v>
      </c>
      <c r="M45" s="5">
        <f>57171 / 86400</f>
        <v>0.66170138888888885</v>
      </c>
    </row>
    <row r="46" spans="1:13" x14ac:dyDescent="0.25">
      <c r="A46" t="s">
        <v>488</v>
      </c>
      <c r="B46" s="3">
        <v>45699.246898148151</v>
      </c>
      <c r="C46" t="s">
        <v>30</v>
      </c>
      <c r="D46" s="3">
        <v>45699.873900462961</v>
      </c>
      <c r="E46" t="s">
        <v>30</v>
      </c>
      <c r="F46" s="4">
        <v>196.88400000000001</v>
      </c>
      <c r="G46" s="4">
        <v>359921.41100000002</v>
      </c>
      <c r="H46" s="4">
        <v>360118.29499999998</v>
      </c>
      <c r="I46" s="5">
        <f>17754 / 86400</f>
        <v>0.20548611111111112</v>
      </c>
      <c r="J46" t="s">
        <v>83</v>
      </c>
      <c r="K46" t="s">
        <v>19</v>
      </c>
      <c r="L46" s="5">
        <f>46521 / 86400</f>
        <v>0.53843750000000001</v>
      </c>
      <c r="M46" s="5">
        <f>39877 / 86400</f>
        <v>0.46153935185185185</v>
      </c>
    </row>
    <row r="47" spans="1:13" x14ac:dyDescent="0.25">
      <c r="A47" t="s">
        <v>489</v>
      </c>
      <c r="B47" s="3">
        <v>45699.282210648147</v>
      </c>
      <c r="C47" t="s">
        <v>84</v>
      </c>
      <c r="D47" s="3">
        <v>45699.875335648147</v>
      </c>
      <c r="E47" t="s">
        <v>84</v>
      </c>
      <c r="F47" s="4">
        <v>107.51600000000001</v>
      </c>
      <c r="G47" s="4">
        <v>81389.615000000005</v>
      </c>
      <c r="H47" s="4">
        <v>81497.130999999994</v>
      </c>
      <c r="I47" s="5">
        <f>10799 / 86400</f>
        <v>0.12498842592592592</v>
      </c>
      <c r="J47" t="s">
        <v>45</v>
      </c>
      <c r="K47" t="s">
        <v>31</v>
      </c>
      <c r="L47" s="5">
        <f>27700 / 86400</f>
        <v>0.32060185185185186</v>
      </c>
      <c r="M47" s="5">
        <f>58698 / 86400</f>
        <v>0.67937499999999995</v>
      </c>
    </row>
    <row r="48" spans="1:13" x14ac:dyDescent="0.25">
      <c r="A48" t="s">
        <v>490</v>
      </c>
      <c r="B48" s="3">
        <v>45699.212025462963</v>
      </c>
      <c r="C48" t="s">
        <v>85</v>
      </c>
      <c r="D48" s="3">
        <v>45699.754317129627</v>
      </c>
      <c r="E48" t="s">
        <v>85</v>
      </c>
      <c r="F48" s="4">
        <v>183.41</v>
      </c>
      <c r="G48" s="4">
        <v>469260.087</v>
      </c>
      <c r="H48" s="4">
        <v>469443.49699999997</v>
      </c>
      <c r="I48" s="5">
        <f>13796 / 86400</f>
        <v>0.15967592592592592</v>
      </c>
      <c r="J48" t="s">
        <v>86</v>
      </c>
      <c r="K48" t="s">
        <v>42</v>
      </c>
      <c r="L48" s="5">
        <f>39772 / 86400</f>
        <v>0.46032407407407405</v>
      </c>
      <c r="M48" s="5">
        <f>46624 / 86400</f>
        <v>0.53962962962962968</v>
      </c>
    </row>
    <row r="49" spans="1:13" x14ac:dyDescent="0.25">
      <c r="A49" t="s">
        <v>491</v>
      </c>
      <c r="B49" s="3">
        <v>45699.265138888892</v>
      </c>
      <c r="C49" t="s">
        <v>87</v>
      </c>
      <c r="D49" s="3">
        <v>45699.915960648148</v>
      </c>
      <c r="E49" t="s">
        <v>87</v>
      </c>
      <c r="F49" s="4">
        <v>0</v>
      </c>
      <c r="G49" s="4">
        <v>428213.33600000001</v>
      </c>
      <c r="H49" s="4">
        <v>428213.33600000001</v>
      </c>
      <c r="I49" s="5">
        <f>48904 / 86400</f>
        <v>0.56601851851851848</v>
      </c>
      <c r="J49" t="s">
        <v>88</v>
      </c>
      <c r="K49" t="s">
        <v>88</v>
      </c>
      <c r="L49" s="5">
        <f>49038 / 86400</f>
        <v>0.56756944444444446</v>
      </c>
      <c r="M49" s="5">
        <f>37357 / 86400</f>
        <v>0.43237268518518518</v>
      </c>
    </row>
    <row r="50" spans="1:13" x14ac:dyDescent="0.25">
      <c r="A50" t="s">
        <v>492</v>
      </c>
      <c r="B50" s="3">
        <v>45699.22655092593</v>
      </c>
      <c r="C50" t="s">
        <v>30</v>
      </c>
      <c r="D50" s="3">
        <v>45699.930810185186</v>
      </c>
      <c r="E50" t="s">
        <v>30</v>
      </c>
      <c r="F50" s="4">
        <v>194.23099999999999</v>
      </c>
      <c r="G50" s="4">
        <v>575094.45900000003</v>
      </c>
      <c r="H50" s="4">
        <v>575288.68999999994</v>
      </c>
      <c r="I50" s="5">
        <f>24625 / 86400</f>
        <v>0.28501157407407407</v>
      </c>
      <c r="J50" t="s">
        <v>72</v>
      </c>
      <c r="K50" t="s">
        <v>56</v>
      </c>
      <c r="L50" s="5">
        <f>55345 / 86400</f>
        <v>0.64056712962962958</v>
      </c>
      <c r="M50" s="5">
        <f>31053 / 86400</f>
        <v>0.35940972222222223</v>
      </c>
    </row>
    <row r="51" spans="1:13" x14ac:dyDescent="0.25">
      <c r="A51" t="s">
        <v>493</v>
      </c>
      <c r="B51" s="3">
        <v>45699.243506944447</v>
      </c>
      <c r="C51" t="s">
        <v>89</v>
      </c>
      <c r="D51" s="3">
        <v>45699.833067129628</v>
      </c>
      <c r="E51" t="s">
        <v>89</v>
      </c>
      <c r="F51" s="4">
        <v>209.29300000000001</v>
      </c>
      <c r="G51" s="4">
        <v>416149.50699999998</v>
      </c>
      <c r="H51" s="4">
        <v>416358.8</v>
      </c>
      <c r="I51" s="5">
        <f>16893 / 86400</f>
        <v>0.19552083333333334</v>
      </c>
      <c r="J51" t="s">
        <v>25</v>
      </c>
      <c r="K51" t="s">
        <v>37</v>
      </c>
      <c r="L51" s="5">
        <f>47902 / 86400</f>
        <v>0.55442129629629633</v>
      </c>
      <c r="M51" s="5">
        <f>38493 / 86400</f>
        <v>0.44552083333333331</v>
      </c>
    </row>
    <row r="52" spans="1:13" x14ac:dyDescent="0.25">
      <c r="A52" t="s">
        <v>494</v>
      </c>
      <c r="B52" s="3">
        <v>45699.036215277782</v>
      </c>
      <c r="C52" t="s">
        <v>90</v>
      </c>
      <c r="D52" s="3">
        <v>45699.93751157407</v>
      </c>
      <c r="E52" t="s">
        <v>91</v>
      </c>
      <c r="F52" s="4">
        <v>115.95700000000001</v>
      </c>
      <c r="G52" s="4">
        <v>400333.77899999998</v>
      </c>
      <c r="H52" s="4">
        <v>400449.73599999998</v>
      </c>
      <c r="I52" s="5">
        <f>6711 / 86400</f>
        <v>7.767361111111111E-2</v>
      </c>
      <c r="J52" t="s">
        <v>62</v>
      </c>
      <c r="K52" t="s">
        <v>26</v>
      </c>
      <c r="L52" s="5">
        <f>23013 / 86400</f>
        <v>0.26635416666666667</v>
      </c>
      <c r="M52" s="5">
        <f>63380 / 86400</f>
        <v>0.73356481481481484</v>
      </c>
    </row>
    <row r="53" spans="1:13" x14ac:dyDescent="0.25">
      <c r="A53" t="s">
        <v>495</v>
      </c>
      <c r="B53" s="3">
        <v>45699.202037037037</v>
      </c>
      <c r="C53" t="s">
        <v>30</v>
      </c>
      <c r="D53" s="3">
        <v>45699.841967592598</v>
      </c>
      <c r="E53" t="s">
        <v>30</v>
      </c>
      <c r="F53" s="4">
        <v>230.196</v>
      </c>
      <c r="G53" s="4">
        <v>382234.29200000002</v>
      </c>
      <c r="H53" s="4">
        <v>382464.48800000001</v>
      </c>
      <c r="I53" s="5">
        <f>15417 / 86400</f>
        <v>0.1784375</v>
      </c>
      <c r="J53" t="s">
        <v>92</v>
      </c>
      <c r="K53" t="s">
        <v>42</v>
      </c>
      <c r="L53" s="5">
        <f>47944 / 86400</f>
        <v>0.5549074074074074</v>
      </c>
      <c r="M53" s="5">
        <f>38449 / 86400</f>
        <v>0.4450115740740741</v>
      </c>
    </row>
    <row r="54" spans="1:13" x14ac:dyDescent="0.25">
      <c r="A54" t="s">
        <v>496</v>
      </c>
      <c r="B54" s="3">
        <v>45699.272743055553</v>
      </c>
      <c r="C54" t="s">
        <v>20</v>
      </c>
      <c r="D54" s="3">
        <v>45699.882743055554</v>
      </c>
      <c r="E54" t="s">
        <v>93</v>
      </c>
      <c r="F54" s="4">
        <v>197.75</v>
      </c>
      <c r="G54" s="4">
        <v>545731.60699999996</v>
      </c>
      <c r="H54" s="4">
        <v>545929.35699999996</v>
      </c>
      <c r="I54" s="5">
        <f>15355 / 86400</f>
        <v>0.1777199074074074</v>
      </c>
      <c r="J54" t="s">
        <v>45</v>
      </c>
      <c r="K54" t="s">
        <v>37</v>
      </c>
      <c r="L54" s="5">
        <f>44946 / 86400</f>
        <v>0.52020833333333338</v>
      </c>
      <c r="M54" s="5">
        <f>41450 / 86400</f>
        <v>0.47974537037037035</v>
      </c>
    </row>
    <row r="55" spans="1:13" x14ac:dyDescent="0.25">
      <c r="A55" t="s">
        <v>497</v>
      </c>
      <c r="B55" s="3">
        <v>45699</v>
      </c>
      <c r="C55" t="s">
        <v>94</v>
      </c>
      <c r="D55" s="3">
        <v>45699.99998842593</v>
      </c>
      <c r="E55" t="s">
        <v>95</v>
      </c>
      <c r="F55" s="4">
        <v>314.40099999999995</v>
      </c>
      <c r="G55" s="4">
        <v>103064.90700000001</v>
      </c>
      <c r="H55" s="4">
        <v>103379.308</v>
      </c>
      <c r="I55" s="5">
        <f>20102 / 86400</f>
        <v>0.23266203703703703</v>
      </c>
      <c r="J55" t="s">
        <v>96</v>
      </c>
      <c r="K55" t="s">
        <v>22</v>
      </c>
      <c r="L55" s="5">
        <f>58662 / 86400</f>
        <v>0.67895833333333333</v>
      </c>
      <c r="M55" s="5">
        <f>27737 / 86400</f>
        <v>0.32103009259259258</v>
      </c>
    </row>
    <row r="56" spans="1:13" x14ac:dyDescent="0.25">
      <c r="A56" t="s">
        <v>498</v>
      </c>
      <c r="B56" s="3">
        <v>45699.201631944445</v>
      </c>
      <c r="C56" t="s">
        <v>30</v>
      </c>
      <c r="D56" s="3">
        <v>45699.920590277776</v>
      </c>
      <c r="E56" t="s">
        <v>30</v>
      </c>
      <c r="F56" s="4">
        <v>260.72399999999999</v>
      </c>
      <c r="G56" s="4">
        <v>53746.482000000004</v>
      </c>
      <c r="H56" s="4">
        <v>54007.205999999998</v>
      </c>
      <c r="I56" s="5">
        <f>19653 / 86400</f>
        <v>0.22746527777777778</v>
      </c>
      <c r="J56" t="s">
        <v>74</v>
      </c>
      <c r="K56" t="s">
        <v>42</v>
      </c>
      <c r="L56" s="5">
        <f>55481 / 86400</f>
        <v>0.64214120370370376</v>
      </c>
      <c r="M56" s="5">
        <f>30918 / 86400</f>
        <v>0.35784722222222221</v>
      </c>
    </row>
    <row r="57" spans="1:13" x14ac:dyDescent="0.25">
      <c r="A57" t="s">
        <v>499</v>
      </c>
      <c r="B57" s="3">
        <v>45699.24936342593</v>
      </c>
      <c r="C57" t="s">
        <v>97</v>
      </c>
      <c r="D57" s="3">
        <v>45699.791145833333</v>
      </c>
      <c r="E57" t="s">
        <v>98</v>
      </c>
      <c r="F57" s="4">
        <v>99.367000000000004</v>
      </c>
      <c r="G57" s="4">
        <v>45605.777999999998</v>
      </c>
      <c r="H57" s="4">
        <v>45705.144999999997</v>
      </c>
      <c r="I57" s="5">
        <f>8706 / 86400</f>
        <v>0.10076388888888889</v>
      </c>
      <c r="J57" t="s">
        <v>50</v>
      </c>
      <c r="K57" t="s">
        <v>37</v>
      </c>
      <c r="L57" s="5">
        <f>22688 / 86400</f>
        <v>0.2625925925925926</v>
      </c>
      <c r="M57" s="5">
        <f>63711 / 86400</f>
        <v>0.73739583333333336</v>
      </c>
    </row>
    <row r="58" spans="1:13" x14ac:dyDescent="0.25">
      <c r="A58" t="s">
        <v>500</v>
      </c>
      <c r="B58" s="3">
        <v>45699.162233796298</v>
      </c>
      <c r="C58" t="s">
        <v>99</v>
      </c>
      <c r="D58" s="3">
        <v>45699.882013888884</v>
      </c>
      <c r="E58" t="s">
        <v>99</v>
      </c>
      <c r="F58" s="4">
        <v>298.84300000000002</v>
      </c>
      <c r="G58" s="4">
        <v>78190.534</v>
      </c>
      <c r="H58" s="4">
        <v>78489.376999999993</v>
      </c>
      <c r="I58" s="5">
        <f>18058 / 86400</f>
        <v>0.20900462962962962</v>
      </c>
      <c r="J58" t="s">
        <v>75</v>
      </c>
      <c r="K58" t="s">
        <v>22</v>
      </c>
      <c r="L58" s="5">
        <f>57815 / 86400</f>
        <v>0.66915509259259254</v>
      </c>
      <c r="M58" s="5">
        <f>28584 / 86400</f>
        <v>0.33083333333333331</v>
      </c>
    </row>
    <row r="59" spans="1:13" x14ac:dyDescent="0.25">
      <c r="A59" t="s">
        <v>501</v>
      </c>
      <c r="B59" s="3">
        <v>45699</v>
      </c>
      <c r="C59" t="s">
        <v>100</v>
      </c>
      <c r="D59" s="3">
        <v>45699.99998842593</v>
      </c>
      <c r="E59" t="s">
        <v>101</v>
      </c>
      <c r="F59" s="4">
        <v>360.99199999999996</v>
      </c>
      <c r="G59" s="4">
        <v>39677.938999999998</v>
      </c>
      <c r="H59" s="4">
        <v>40038.930999999997</v>
      </c>
      <c r="I59" s="5">
        <f>19918 / 86400</f>
        <v>0.23053240740740741</v>
      </c>
      <c r="J59" t="s">
        <v>92</v>
      </c>
      <c r="K59" t="s">
        <v>22</v>
      </c>
      <c r="L59" s="5">
        <f>66899 / 86400</f>
        <v>0.77429398148148143</v>
      </c>
      <c r="M59" s="5">
        <f>19500 / 86400</f>
        <v>0.22569444444444445</v>
      </c>
    </row>
    <row r="60" spans="1:13" x14ac:dyDescent="0.25">
      <c r="A60" t="s">
        <v>502</v>
      </c>
      <c r="B60" s="3">
        <v>45699</v>
      </c>
      <c r="C60" t="s">
        <v>102</v>
      </c>
      <c r="D60" s="3">
        <v>45699.746145833335</v>
      </c>
      <c r="E60" t="s">
        <v>103</v>
      </c>
      <c r="F60" s="4">
        <v>89.382000000000005</v>
      </c>
      <c r="G60" s="4">
        <v>191818.52600000001</v>
      </c>
      <c r="H60" s="4">
        <v>191907.908</v>
      </c>
      <c r="I60" s="5">
        <f>5100 / 86400</f>
        <v>5.9027777777777776E-2</v>
      </c>
      <c r="J60" t="s">
        <v>55</v>
      </c>
      <c r="K60" t="s">
        <v>26</v>
      </c>
      <c r="L60" s="5">
        <f>18214 / 86400</f>
        <v>0.21081018518518518</v>
      </c>
      <c r="M60" s="5">
        <f>68180 / 86400</f>
        <v>0.78912037037037042</v>
      </c>
    </row>
    <row r="61" spans="1:13" x14ac:dyDescent="0.25">
      <c r="A61" t="s">
        <v>503</v>
      </c>
      <c r="B61" s="3">
        <v>45699</v>
      </c>
      <c r="C61" t="s">
        <v>104</v>
      </c>
      <c r="D61" s="3">
        <v>45699.99998842593</v>
      </c>
      <c r="E61" t="s">
        <v>105</v>
      </c>
      <c r="F61" s="4">
        <v>305.68299999999999</v>
      </c>
      <c r="G61" s="4">
        <v>522235.821</v>
      </c>
      <c r="H61" s="4">
        <v>522541.50400000002</v>
      </c>
      <c r="I61" s="5">
        <f>22916 / 86400</f>
        <v>0.26523148148148146</v>
      </c>
      <c r="J61" t="s">
        <v>106</v>
      </c>
      <c r="K61" t="s">
        <v>42</v>
      </c>
      <c r="L61" s="5">
        <f>66152 / 86400</f>
        <v>0.76564814814814819</v>
      </c>
      <c r="M61" s="5">
        <f>20245 / 86400</f>
        <v>0.23431712962962964</v>
      </c>
    </row>
    <row r="62" spans="1:13" x14ac:dyDescent="0.25">
      <c r="A62" t="s">
        <v>504</v>
      </c>
      <c r="B62" s="3">
        <v>45699.267974537041</v>
      </c>
      <c r="C62" t="s">
        <v>94</v>
      </c>
      <c r="D62" s="3">
        <v>45699.889050925922</v>
      </c>
      <c r="E62" t="s">
        <v>94</v>
      </c>
      <c r="F62" s="4">
        <v>200.16400000000002</v>
      </c>
      <c r="G62" s="4">
        <v>22583.097000000002</v>
      </c>
      <c r="H62" s="4">
        <v>22783.260999999999</v>
      </c>
      <c r="I62" s="5">
        <f>16016 / 86400</f>
        <v>0.18537037037037038</v>
      </c>
      <c r="J62" t="s">
        <v>52</v>
      </c>
      <c r="K62" t="s">
        <v>19</v>
      </c>
      <c r="L62" s="5">
        <f>49487 / 86400</f>
        <v>0.57276620370370368</v>
      </c>
      <c r="M62" s="5">
        <f>36906 / 86400</f>
        <v>0.42715277777777777</v>
      </c>
    </row>
    <row r="63" spans="1:13" x14ac:dyDescent="0.25">
      <c r="A63" t="s">
        <v>505</v>
      </c>
      <c r="B63" s="3">
        <v>45699.327777777777</v>
      </c>
      <c r="C63" t="s">
        <v>35</v>
      </c>
      <c r="D63" s="3">
        <v>45699.620439814811</v>
      </c>
      <c r="E63" t="s">
        <v>35</v>
      </c>
      <c r="F63" s="4">
        <v>37.788000000000004</v>
      </c>
      <c r="G63" s="4">
        <v>63801.110999999997</v>
      </c>
      <c r="H63" s="4">
        <v>63838.898999999998</v>
      </c>
      <c r="I63" s="5">
        <f>2193 / 86400</f>
        <v>2.5381944444444443E-2</v>
      </c>
      <c r="J63" t="s">
        <v>107</v>
      </c>
      <c r="K63" t="s">
        <v>108</v>
      </c>
      <c r="L63" s="5">
        <f>6595 / 86400</f>
        <v>7.633101851851852E-2</v>
      </c>
      <c r="M63" s="5">
        <f>79802 / 86400</f>
        <v>0.92363425925925924</v>
      </c>
    </row>
    <row r="64" spans="1:13" x14ac:dyDescent="0.25">
      <c r="A64" t="s">
        <v>506</v>
      </c>
      <c r="B64" s="3">
        <v>45699.267233796301</v>
      </c>
      <c r="C64" t="s">
        <v>109</v>
      </c>
      <c r="D64" s="3">
        <v>45699.731145833328</v>
      </c>
      <c r="E64" t="s">
        <v>109</v>
      </c>
      <c r="F64" s="4">
        <v>173.67699999999999</v>
      </c>
      <c r="G64" s="4">
        <v>5097.8</v>
      </c>
      <c r="H64" s="4">
        <v>5271.4769999999999</v>
      </c>
      <c r="I64" s="5">
        <f>10015 / 86400</f>
        <v>0.11591435185185185</v>
      </c>
      <c r="J64" t="s">
        <v>110</v>
      </c>
      <c r="K64" t="s">
        <v>26</v>
      </c>
      <c r="L64" s="5">
        <f>34836 / 86400</f>
        <v>0.40319444444444447</v>
      </c>
      <c r="M64" s="5">
        <f>51560 / 86400</f>
        <v>0.59675925925925921</v>
      </c>
    </row>
    <row r="65" spans="1:13" x14ac:dyDescent="0.25">
      <c r="A65" t="s">
        <v>507</v>
      </c>
      <c r="B65" s="3">
        <v>45699.322210648148</v>
      </c>
      <c r="C65" t="s">
        <v>30</v>
      </c>
      <c r="D65" s="3">
        <v>45699.923726851848</v>
      </c>
      <c r="E65" t="s">
        <v>30</v>
      </c>
      <c r="F65" s="4">
        <v>13.404</v>
      </c>
      <c r="G65" s="4">
        <v>407790.19500000001</v>
      </c>
      <c r="H65" s="4">
        <v>407803.59899999999</v>
      </c>
      <c r="I65" s="5">
        <f>1723 / 86400</f>
        <v>1.9942129629629629E-2</v>
      </c>
      <c r="J65" t="s">
        <v>111</v>
      </c>
      <c r="K65" t="s">
        <v>112</v>
      </c>
      <c r="L65" s="5">
        <f>4754 / 86400</f>
        <v>5.5023148148148147E-2</v>
      </c>
      <c r="M65" s="5">
        <f>81642 / 86400</f>
        <v>0.94493055555555561</v>
      </c>
    </row>
    <row r="66" spans="1:13" x14ac:dyDescent="0.25">
      <c r="A66" t="s">
        <v>508</v>
      </c>
      <c r="B66" s="3">
        <v>45699</v>
      </c>
      <c r="C66" t="s">
        <v>87</v>
      </c>
      <c r="D66" s="3">
        <v>45699.99998842593</v>
      </c>
      <c r="E66" t="s">
        <v>113</v>
      </c>
      <c r="F66" s="4">
        <v>278.75400000000002</v>
      </c>
      <c r="G66" s="4">
        <v>549448.58100000001</v>
      </c>
      <c r="H66" s="4">
        <v>549727.33499999996</v>
      </c>
      <c r="I66" s="5">
        <f>21057 / 86400</f>
        <v>0.24371527777777777</v>
      </c>
      <c r="J66" t="s">
        <v>25</v>
      </c>
      <c r="K66" t="s">
        <v>37</v>
      </c>
      <c r="L66" s="5">
        <f>61162 / 86400</f>
        <v>0.70789351851851856</v>
      </c>
      <c r="M66" s="5">
        <f>25236 / 86400</f>
        <v>0.29208333333333331</v>
      </c>
    </row>
    <row r="67" spans="1:13" x14ac:dyDescent="0.25">
      <c r="A67" t="s">
        <v>509</v>
      </c>
      <c r="B67" s="3">
        <v>45699.562696759254</v>
      </c>
      <c r="C67" t="s">
        <v>114</v>
      </c>
      <c r="D67" s="3">
        <v>45699.994988425926</v>
      </c>
      <c r="E67" t="s">
        <v>115</v>
      </c>
      <c r="F67" s="4">
        <v>834.875</v>
      </c>
      <c r="G67" s="4">
        <v>49623.270000000004</v>
      </c>
      <c r="H67" s="4">
        <v>50458.145000000004</v>
      </c>
      <c r="I67" s="5">
        <f>11695 / 86400</f>
        <v>0.1353587962962963</v>
      </c>
      <c r="J67" t="s">
        <v>25</v>
      </c>
      <c r="K67" t="s">
        <v>21</v>
      </c>
      <c r="L67" s="5">
        <f>36102 / 86400</f>
        <v>0.4178472222222222</v>
      </c>
      <c r="M67" s="5">
        <f>50293 / 86400</f>
        <v>0.58209490740740744</v>
      </c>
    </row>
    <row r="68" spans="1:13" x14ac:dyDescent="0.25">
      <c r="A68" t="s">
        <v>510</v>
      </c>
      <c r="B68" s="3">
        <v>45699</v>
      </c>
      <c r="C68" t="s">
        <v>116</v>
      </c>
      <c r="D68" s="3">
        <v>45699.664479166662</v>
      </c>
      <c r="E68" t="s">
        <v>117</v>
      </c>
      <c r="F68" s="4">
        <v>237.91699999999997</v>
      </c>
      <c r="G68" s="4">
        <v>58874.728999999999</v>
      </c>
      <c r="H68" s="4">
        <v>59112.646999999997</v>
      </c>
      <c r="I68" s="5">
        <f>12151 / 86400</f>
        <v>0.14063657407407407</v>
      </c>
      <c r="J68" t="s">
        <v>118</v>
      </c>
      <c r="K68" t="s">
        <v>108</v>
      </c>
      <c r="L68" s="5">
        <f>40335 / 86400</f>
        <v>0.46684027777777776</v>
      </c>
      <c r="M68" s="5">
        <f>46054 / 86400</f>
        <v>0.53303240740740743</v>
      </c>
    </row>
    <row r="69" spans="1:13" x14ac:dyDescent="0.25">
      <c r="A69" t="s">
        <v>511</v>
      </c>
      <c r="B69" s="3">
        <v>45699</v>
      </c>
      <c r="C69" t="s">
        <v>119</v>
      </c>
      <c r="D69" s="3">
        <v>45699.990254629629</v>
      </c>
      <c r="E69" t="s">
        <v>85</v>
      </c>
      <c r="F69" s="4">
        <v>237.239</v>
      </c>
      <c r="G69" s="4">
        <v>62319.125999999997</v>
      </c>
      <c r="H69" s="4">
        <v>62556.364999999998</v>
      </c>
      <c r="I69" s="5">
        <f>17952 / 86400</f>
        <v>0.20777777777777778</v>
      </c>
      <c r="J69" t="s">
        <v>72</v>
      </c>
      <c r="K69" t="s">
        <v>26</v>
      </c>
      <c r="L69" s="5">
        <f>48707 / 86400</f>
        <v>0.56373842592592593</v>
      </c>
      <c r="M69" s="5">
        <f>37688 / 86400</f>
        <v>0.4362037037037037</v>
      </c>
    </row>
    <row r="70" spans="1:13" x14ac:dyDescent="0.25">
      <c r="A70" t="s">
        <v>512</v>
      </c>
      <c r="B70" s="3">
        <v>45699</v>
      </c>
      <c r="C70" t="s">
        <v>120</v>
      </c>
      <c r="D70" s="3">
        <v>45699.99998842593</v>
      </c>
      <c r="E70" t="s">
        <v>116</v>
      </c>
      <c r="F70" s="4">
        <v>257.06299999999999</v>
      </c>
      <c r="G70" s="4">
        <v>291362.33600000001</v>
      </c>
      <c r="H70" s="4">
        <v>291619.39899999998</v>
      </c>
      <c r="I70" s="5">
        <f>34940 / 86400</f>
        <v>0.40439814814814817</v>
      </c>
      <c r="J70" t="s">
        <v>47</v>
      </c>
      <c r="K70" t="s">
        <v>56</v>
      </c>
      <c r="L70" s="5">
        <f>71379 / 86400</f>
        <v>0.82614583333333336</v>
      </c>
      <c r="M70" s="5">
        <f>15020 / 86400</f>
        <v>0.1738425925925926</v>
      </c>
    </row>
    <row r="71" spans="1:13" x14ac:dyDescent="0.25">
      <c r="A71" s="6" t="s">
        <v>121</v>
      </c>
      <c r="B71" s="6" t="s">
        <v>122</v>
      </c>
      <c r="C71" s="6" t="s">
        <v>122</v>
      </c>
      <c r="D71" s="6" t="s">
        <v>122</v>
      </c>
      <c r="E71" s="6" t="s">
        <v>122</v>
      </c>
      <c r="F71" s="7">
        <v>12158.906394450962</v>
      </c>
      <c r="G71" s="6" t="s">
        <v>122</v>
      </c>
      <c r="H71" s="6" t="s">
        <v>122</v>
      </c>
      <c r="I71" s="8">
        <f>895482 / 86400</f>
        <v>10.364375000000001</v>
      </c>
      <c r="J71" s="6" t="s">
        <v>122</v>
      </c>
      <c r="K71" s="6" t="s">
        <v>122</v>
      </c>
      <c r="L71" s="8">
        <f>2534086 / 86400</f>
        <v>29.329699074074075</v>
      </c>
      <c r="M71" s="8">
        <f>2908841 / 86400</f>
        <v>33.667141203703707</v>
      </c>
    </row>
    <row r="72" spans="1:13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</row>
    <row r="73" spans="1:13" s="9" customFormat="1" x14ac:dyDescent="0.25">
      <c r="A73" s="15" t="s">
        <v>123</v>
      </c>
      <c r="B73" s="15"/>
      <c r="C73" s="15"/>
      <c r="D73" s="15"/>
      <c r="E73" s="15"/>
      <c r="F73" s="15"/>
      <c r="G73" s="15"/>
      <c r="H73" s="15"/>
      <c r="I73" s="15"/>
      <c r="J73" s="15"/>
    </row>
    <row r="74" spans="1:13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</row>
    <row r="75" spans="1:13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</row>
    <row r="76" spans="1:13" s="10" customFormat="1" ht="20.100000000000001" customHeight="1" x14ac:dyDescent="0.35">
      <c r="A76" s="12" t="s">
        <v>450</v>
      </c>
      <c r="B76" s="12"/>
      <c r="C76" s="12"/>
      <c r="D76" s="12"/>
      <c r="E76" s="12"/>
      <c r="F76" s="12"/>
      <c r="G76" s="12"/>
      <c r="H76" s="12"/>
      <c r="I76" s="12"/>
      <c r="J76" s="12"/>
    </row>
    <row r="77" spans="1:13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</row>
    <row r="78" spans="1:13" ht="30" x14ac:dyDescent="0.25">
      <c r="A78" s="2" t="s">
        <v>5</v>
      </c>
      <c r="B78" s="2" t="s">
        <v>6</v>
      </c>
      <c r="C78" s="2" t="s">
        <v>7</v>
      </c>
      <c r="D78" s="2" t="s">
        <v>8</v>
      </c>
      <c r="E78" s="2" t="s">
        <v>9</v>
      </c>
      <c r="F78" s="2" t="s">
        <v>10</v>
      </c>
      <c r="G78" s="2" t="s">
        <v>11</v>
      </c>
      <c r="H78" s="2" t="s">
        <v>12</v>
      </c>
      <c r="I78" s="2" t="s">
        <v>13</v>
      </c>
      <c r="J78" s="2" t="s">
        <v>14</v>
      </c>
      <c r="K78" s="2" t="s">
        <v>15</v>
      </c>
      <c r="L78" s="2" t="s">
        <v>16</v>
      </c>
    </row>
    <row r="79" spans="1:13" x14ac:dyDescent="0.25">
      <c r="A79" s="3">
        <v>45699.284907407404</v>
      </c>
      <c r="B79" t="s">
        <v>17</v>
      </c>
      <c r="C79" s="3">
        <v>45699.30086805555</v>
      </c>
      <c r="D79" t="s">
        <v>17</v>
      </c>
      <c r="E79" s="4">
        <v>3.2109999999999999</v>
      </c>
      <c r="F79" s="4">
        <v>513786.31300000002</v>
      </c>
      <c r="G79" s="4">
        <v>513789.52399999998</v>
      </c>
      <c r="H79" s="5">
        <f>599 / 86400</f>
        <v>6.9328703703703705E-3</v>
      </c>
      <c r="I79" t="s">
        <v>124</v>
      </c>
      <c r="J79" t="s">
        <v>125</v>
      </c>
      <c r="K79" s="5">
        <f>1378 / 86400</f>
        <v>1.5949074074074074E-2</v>
      </c>
      <c r="L79" s="5">
        <f>24646 / 86400</f>
        <v>0.28525462962962961</v>
      </c>
    </row>
    <row r="80" spans="1:13" x14ac:dyDescent="0.25">
      <c r="A80" s="3">
        <v>45699.301215277781</v>
      </c>
      <c r="B80" t="s">
        <v>17</v>
      </c>
      <c r="C80" s="3">
        <v>45699.301469907412</v>
      </c>
      <c r="D80" t="s">
        <v>17</v>
      </c>
      <c r="E80" s="4">
        <v>0</v>
      </c>
      <c r="F80" s="4">
        <v>513789.52399999998</v>
      </c>
      <c r="G80" s="4">
        <v>513789.52399999998</v>
      </c>
      <c r="H80" s="5">
        <f>19 / 86400</f>
        <v>2.199074074074074E-4</v>
      </c>
      <c r="I80" t="s">
        <v>88</v>
      </c>
      <c r="J80" t="s">
        <v>88</v>
      </c>
      <c r="K80" s="5">
        <f>21 / 86400</f>
        <v>2.4305555555555555E-4</v>
      </c>
      <c r="L80" s="5">
        <f>4138 / 86400</f>
        <v>4.7893518518518516E-2</v>
      </c>
    </row>
    <row r="81" spans="1:12" x14ac:dyDescent="0.25">
      <c r="A81" s="3">
        <v>45699.349363425921</v>
      </c>
      <c r="B81" t="s">
        <v>17</v>
      </c>
      <c r="C81" s="3">
        <v>45699.352465277778</v>
      </c>
      <c r="D81" t="s">
        <v>126</v>
      </c>
      <c r="E81" s="4">
        <v>0.64800000000000002</v>
      </c>
      <c r="F81" s="4">
        <v>513789.52399999998</v>
      </c>
      <c r="G81" s="4">
        <v>513790.17200000002</v>
      </c>
      <c r="H81" s="5">
        <f>19 / 86400</f>
        <v>2.199074074074074E-4</v>
      </c>
      <c r="I81" t="s">
        <v>56</v>
      </c>
      <c r="J81" t="s">
        <v>127</v>
      </c>
      <c r="K81" s="5">
        <f>268 / 86400</f>
        <v>3.1018518518518517E-3</v>
      </c>
      <c r="L81" s="5">
        <f>15 / 86400</f>
        <v>1.7361111111111112E-4</v>
      </c>
    </row>
    <row r="82" spans="1:12" x14ac:dyDescent="0.25">
      <c r="A82" s="3">
        <v>45699.352638888886</v>
      </c>
      <c r="B82" t="s">
        <v>126</v>
      </c>
      <c r="C82" s="3">
        <v>45699.352650462963</v>
      </c>
      <c r="D82" t="s">
        <v>126</v>
      </c>
      <c r="E82" s="4">
        <v>0</v>
      </c>
      <c r="F82" s="4">
        <v>513790.17200000002</v>
      </c>
      <c r="G82" s="4">
        <v>513790.17200000002</v>
      </c>
      <c r="H82" s="5">
        <f>0 / 86400</f>
        <v>0</v>
      </c>
      <c r="I82" t="s">
        <v>88</v>
      </c>
      <c r="J82" t="s">
        <v>88</v>
      </c>
      <c r="K82" s="5">
        <f>1 / 86400</f>
        <v>1.1574074074074073E-5</v>
      </c>
      <c r="L82" s="5">
        <f>8 / 86400</f>
        <v>9.2592592592592588E-5</v>
      </c>
    </row>
    <row r="83" spans="1:12" x14ac:dyDescent="0.25">
      <c r="A83" s="3">
        <v>45699.352743055555</v>
      </c>
      <c r="B83" t="s">
        <v>126</v>
      </c>
      <c r="C83" s="3">
        <v>45699.352997685186</v>
      </c>
      <c r="D83" t="s">
        <v>126</v>
      </c>
      <c r="E83" s="4">
        <v>2E-3</v>
      </c>
      <c r="F83" s="4">
        <v>513790.17200000002</v>
      </c>
      <c r="G83" s="4">
        <v>513790.174</v>
      </c>
      <c r="H83" s="5">
        <f>10 / 86400</f>
        <v>1.1574074074074075E-4</v>
      </c>
      <c r="I83" t="s">
        <v>88</v>
      </c>
      <c r="J83" t="s">
        <v>88</v>
      </c>
      <c r="K83" s="5">
        <f>22 / 86400</f>
        <v>2.5462962962962961E-4</v>
      </c>
      <c r="L83" s="5">
        <f>663 / 86400</f>
        <v>7.6736111111111111E-3</v>
      </c>
    </row>
    <row r="84" spans="1:12" x14ac:dyDescent="0.25">
      <c r="A84" s="3">
        <v>45699.360671296294</v>
      </c>
      <c r="B84" t="s">
        <v>126</v>
      </c>
      <c r="C84" s="3">
        <v>45699.360833333332</v>
      </c>
      <c r="D84" t="s">
        <v>126</v>
      </c>
      <c r="E84" s="4">
        <v>1E-3</v>
      </c>
      <c r="F84" s="4">
        <v>513790.174</v>
      </c>
      <c r="G84" s="4">
        <v>513790.17499999999</v>
      </c>
      <c r="H84" s="5">
        <f>0 / 86400</f>
        <v>0</v>
      </c>
      <c r="I84" t="s">
        <v>88</v>
      </c>
      <c r="J84" t="s">
        <v>88</v>
      </c>
      <c r="K84" s="5">
        <f>13 / 86400</f>
        <v>1.5046296296296297E-4</v>
      </c>
      <c r="L84" s="5">
        <f>63 / 86400</f>
        <v>7.291666666666667E-4</v>
      </c>
    </row>
    <row r="85" spans="1:12" x14ac:dyDescent="0.25">
      <c r="A85" s="3">
        <v>45699.361562499995</v>
      </c>
      <c r="B85" t="s">
        <v>126</v>
      </c>
      <c r="C85" s="3">
        <v>45699.362407407403</v>
      </c>
      <c r="D85" t="s">
        <v>126</v>
      </c>
      <c r="E85" s="4">
        <v>0.11700000000000001</v>
      </c>
      <c r="F85" s="4">
        <v>513790.17499999999</v>
      </c>
      <c r="G85" s="4">
        <v>513790.29200000002</v>
      </c>
      <c r="H85" s="5">
        <f>0 / 86400</f>
        <v>0</v>
      </c>
      <c r="I85" t="s">
        <v>112</v>
      </c>
      <c r="J85" t="s">
        <v>128</v>
      </c>
      <c r="K85" s="5">
        <f>73 / 86400</f>
        <v>8.4490740740740739E-4</v>
      </c>
      <c r="L85" s="5">
        <f>467 / 86400</f>
        <v>5.4050925925925924E-3</v>
      </c>
    </row>
    <row r="86" spans="1:12" x14ac:dyDescent="0.25">
      <c r="A86" s="3">
        <v>45699.367812500001</v>
      </c>
      <c r="B86" t="s">
        <v>126</v>
      </c>
      <c r="C86" s="3">
        <v>45699.374699074076</v>
      </c>
      <c r="D86" t="s">
        <v>129</v>
      </c>
      <c r="E86" s="4">
        <v>1.9339999999999999</v>
      </c>
      <c r="F86" s="4">
        <v>513790.29200000002</v>
      </c>
      <c r="G86" s="4">
        <v>513792.22600000002</v>
      </c>
      <c r="H86" s="5">
        <f>39 / 86400</f>
        <v>4.5138888888888887E-4</v>
      </c>
      <c r="I86" t="s">
        <v>130</v>
      </c>
      <c r="J86" t="s">
        <v>131</v>
      </c>
      <c r="K86" s="5">
        <f>595 / 86400</f>
        <v>6.8865740740740745E-3</v>
      </c>
      <c r="L86" s="5">
        <f>117 / 86400</f>
        <v>1.3541666666666667E-3</v>
      </c>
    </row>
    <row r="87" spans="1:12" x14ac:dyDescent="0.25">
      <c r="A87" s="3">
        <v>45699.37605324074</v>
      </c>
      <c r="B87" t="s">
        <v>129</v>
      </c>
      <c r="C87" s="3">
        <v>45699.445243055554</v>
      </c>
      <c r="D87" t="s">
        <v>132</v>
      </c>
      <c r="E87" s="4">
        <v>18.452000000000002</v>
      </c>
      <c r="F87" s="4">
        <v>513792.22600000002</v>
      </c>
      <c r="G87" s="4">
        <v>513810.67800000001</v>
      </c>
      <c r="H87" s="5">
        <f>2440 / 86400</f>
        <v>2.824074074074074E-2</v>
      </c>
      <c r="I87" t="s">
        <v>133</v>
      </c>
      <c r="J87" t="s">
        <v>134</v>
      </c>
      <c r="K87" s="5">
        <f>5977 / 86400</f>
        <v>6.9178240740740735E-2</v>
      </c>
      <c r="L87" s="5">
        <f>740 / 86400</f>
        <v>8.564814814814815E-3</v>
      </c>
    </row>
    <row r="88" spans="1:12" x14ac:dyDescent="0.25">
      <c r="A88" s="3">
        <v>45699.45380787037</v>
      </c>
      <c r="B88" t="s">
        <v>135</v>
      </c>
      <c r="C88" s="3">
        <v>45699.458136574074</v>
      </c>
      <c r="D88" t="s">
        <v>136</v>
      </c>
      <c r="E88" s="4">
        <v>1.17</v>
      </c>
      <c r="F88" s="4">
        <v>513810.67800000001</v>
      </c>
      <c r="G88" s="4">
        <v>513811.848</v>
      </c>
      <c r="H88" s="5">
        <f>60 / 86400</f>
        <v>6.9444444444444447E-4</v>
      </c>
      <c r="I88" t="s">
        <v>137</v>
      </c>
      <c r="J88" t="s">
        <v>134</v>
      </c>
      <c r="K88" s="5">
        <f>373 / 86400</f>
        <v>4.31712962962963E-3</v>
      </c>
      <c r="L88" s="5">
        <f>2860 / 86400</f>
        <v>3.3101851851851855E-2</v>
      </c>
    </row>
    <row r="89" spans="1:12" x14ac:dyDescent="0.25">
      <c r="A89" s="3">
        <v>45699.491238425922</v>
      </c>
      <c r="B89" t="s">
        <v>138</v>
      </c>
      <c r="C89" s="3">
        <v>45699.555497685185</v>
      </c>
      <c r="D89" t="s">
        <v>126</v>
      </c>
      <c r="E89" s="4">
        <v>19.402999999999999</v>
      </c>
      <c r="F89" s="4">
        <v>513811.848</v>
      </c>
      <c r="G89" s="4">
        <v>513831.25099999999</v>
      </c>
      <c r="H89" s="5">
        <f>1560 / 86400</f>
        <v>1.8055555555555554E-2</v>
      </c>
      <c r="I89" t="s">
        <v>139</v>
      </c>
      <c r="J89" t="s">
        <v>56</v>
      </c>
      <c r="K89" s="5">
        <f>5552 / 86400</f>
        <v>6.4259259259259266E-2</v>
      </c>
      <c r="L89" s="5">
        <f>9150 / 86400</f>
        <v>0.10590277777777778</v>
      </c>
    </row>
    <row r="90" spans="1:12" x14ac:dyDescent="0.25">
      <c r="A90" s="3">
        <v>45699.661400462966</v>
      </c>
      <c r="B90" t="s">
        <v>126</v>
      </c>
      <c r="C90" s="3">
        <v>45699.754965277782</v>
      </c>
      <c r="D90" t="s">
        <v>105</v>
      </c>
      <c r="E90" s="4">
        <v>39.831000000000003</v>
      </c>
      <c r="F90" s="4">
        <v>513831.25099999999</v>
      </c>
      <c r="G90" s="4">
        <v>513871.08199999999</v>
      </c>
      <c r="H90" s="5">
        <f>2480 / 86400</f>
        <v>2.8703703703703703E-2</v>
      </c>
      <c r="I90" t="s">
        <v>36</v>
      </c>
      <c r="J90" t="s">
        <v>26</v>
      </c>
      <c r="K90" s="5">
        <f>8083 / 86400</f>
        <v>9.3553240740740742E-2</v>
      </c>
      <c r="L90" s="5">
        <f>219 / 86400</f>
        <v>2.5347222222222221E-3</v>
      </c>
    </row>
    <row r="91" spans="1:12" x14ac:dyDescent="0.25">
      <c r="A91" s="3">
        <v>45699.7575</v>
      </c>
      <c r="B91" t="s">
        <v>105</v>
      </c>
      <c r="C91" s="3">
        <v>45699.932546296295</v>
      </c>
      <c r="D91" t="s">
        <v>140</v>
      </c>
      <c r="E91" s="4">
        <v>71.912000000000006</v>
      </c>
      <c r="F91" s="4">
        <v>513871.08199999999</v>
      </c>
      <c r="G91" s="4">
        <v>513942.99400000001</v>
      </c>
      <c r="H91" s="5">
        <f>4299 / 86400</f>
        <v>4.9756944444444444E-2</v>
      </c>
      <c r="I91" t="s">
        <v>18</v>
      </c>
      <c r="J91" t="s">
        <v>42</v>
      </c>
      <c r="K91" s="5">
        <f>15123 / 86400</f>
        <v>0.17503472222222222</v>
      </c>
      <c r="L91" s="5">
        <f>449 / 86400</f>
        <v>5.1967592592592595E-3</v>
      </c>
    </row>
    <row r="92" spans="1:12" x14ac:dyDescent="0.25">
      <c r="A92" s="3">
        <v>45699.937743055554</v>
      </c>
      <c r="B92" t="s">
        <v>140</v>
      </c>
      <c r="C92" s="3">
        <v>45699.941851851851</v>
      </c>
      <c r="D92" t="s">
        <v>17</v>
      </c>
      <c r="E92" s="4">
        <v>0.56999999999999995</v>
      </c>
      <c r="F92" s="4">
        <v>513942.99400000001</v>
      </c>
      <c r="G92" s="4">
        <v>513943.56400000001</v>
      </c>
      <c r="H92" s="5">
        <f>159 / 86400</f>
        <v>1.8402777777777777E-3</v>
      </c>
      <c r="I92" t="s">
        <v>141</v>
      </c>
      <c r="J92" t="s">
        <v>128</v>
      </c>
      <c r="K92" s="5">
        <f>354 / 86400</f>
        <v>4.0972222222222226E-3</v>
      </c>
      <c r="L92" s="5">
        <f>5023 / 86400</f>
        <v>5.8136574074074077E-2</v>
      </c>
    </row>
    <row r="93" spans="1:12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</row>
    <row r="94" spans="1:12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</row>
    <row r="95" spans="1:12" s="10" customFormat="1" ht="20.100000000000001" customHeight="1" x14ac:dyDescent="0.35">
      <c r="A95" s="12" t="s">
        <v>451</v>
      </c>
      <c r="B95" s="12"/>
      <c r="C95" s="12"/>
      <c r="D95" s="12"/>
      <c r="E95" s="12"/>
      <c r="F95" s="12"/>
      <c r="G95" s="12"/>
      <c r="H95" s="12"/>
      <c r="I95" s="12"/>
      <c r="J95" s="12"/>
    </row>
    <row r="96" spans="1:12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</row>
    <row r="97" spans="1:12" ht="30" x14ac:dyDescent="0.25">
      <c r="A97" s="2" t="s">
        <v>5</v>
      </c>
      <c r="B97" s="2" t="s">
        <v>6</v>
      </c>
      <c r="C97" s="2" t="s">
        <v>7</v>
      </c>
      <c r="D97" s="2" t="s">
        <v>8</v>
      </c>
      <c r="E97" s="2" t="s">
        <v>9</v>
      </c>
      <c r="F97" s="2" t="s">
        <v>10</v>
      </c>
      <c r="G97" s="2" t="s">
        <v>11</v>
      </c>
      <c r="H97" s="2" t="s">
        <v>12</v>
      </c>
      <c r="I97" s="2" t="s">
        <v>13</v>
      </c>
      <c r="J97" s="2" t="s">
        <v>14</v>
      </c>
      <c r="K97" s="2" t="s">
        <v>15</v>
      </c>
      <c r="L97" s="2" t="s">
        <v>16</v>
      </c>
    </row>
    <row r="98" spans="1:12" x14ac:dyDescent="0.25">
      <c r="A98" s="3">
        <v>45699.097638888888</v>
      </c>
      <c r="B98" t="s">
        <v>20</v>
      </c>
      <c r="C98" s="3">
        <v>45699.176226851851</v>
      </c>
      <c r="D98" t="s">
        <v>142</v>
      </c>
      <c r="E98" s="4">
        <v>51.243000000000002</v>
      </c>
      <c r="F98" s="4">
        <v>18726.831999999999</v>
      </c>
      <c r="G98" s="4">
        <v>18778.075000000001</v>
      </c>
      <c r="H98" s="5">
        <f>1400 / 86400</f>
        <v>1.6203703703703703E-2</v>
      </c>
      <c r="I98" t="s">
        <v>92</v>
      </c>
      <c r="J98" t="s">
        <v>143</v>
      </c>
      <c r="K98" s="5">
        <f>6789 / 86400</f>
        <v>7.857638888888889E-2</v>
      </c>
      <c r="L98" s="5">
        <f>8998 / 86400</f>
        <v>0.10414351851851852</v>
      </c>
    </row>
    <row r="99" spans="1:12" x14ac:dyDescent="0.25">
      <c r="A99" s="3">
        <v>45699.18273148148</v>
      </c>
      <c r="B99" t="s">
        <v>142</v>
      </c>
      <c r="C99" s="3">
        <v>45699.289027777777</v>
      </c>
      <c r="D99" t="s">
        <v>144</v>
      </c>
      <c r="E99" s="4">
        <v>52.762999999999998</v>
      </c>
      <c r="F99" s="4">
        <v>18778.075000000001</v>
      </c>
      <c r="G99" s="4">
        <v>18830.838</v>
      </c>
      <c r="H99" s="5">
        <f>2140 / 86400</f>
        <v>2.476851851851852E-2</v>
      </c>
      <c r="I99" t="s">
        <v>145</v>
      </c>
      <c r="J99" t="s">
        <v>108</v>
      </c>
      <c r="K99" s="5">
        <f>9183 / 86400</f>
        <v>0.10628472222222222</v>
      </c>
      <c r="L99" s="5">
        <f>1430 / 86400</f>
        <v>1.6550925925925927E-2</v>
      </c>
    </row>
    <row r="100" spans="1:12" x14ac:dyDescent="0.25">
      <c r="A100" s="3">
        <v>45699.305578703701</v>
      </c>
      <c r="B100" t="s">
        <v>144</v>
      </c>
      <c r="C100" s="3">
        <v>45699.547592592593</v>
      </c>
      <c r="D100" t="s">
        <v>146</v>
      </c>
      <c r="E100" s="4">
        <v>97.725999999999999</v>
      </c>
      <c r="F100" s="4">
        <v>18830.838</v>
      </c>
      <c r="G100" s="4">
        <v>18928.563999999998</v>
      </c>
      <c r="H100" s="5">
        <f>6359 / 86400</f>
        <v>7.3599537037037033E-2</v>
      </c>
      <c r="I100" t="s">
        <v>21</v>
      </c>
      <c r="J100" t="s">
        <v>42</v>
      </c>
      <c r="K100" s="5">
        <f>20910 / 86400</f>
        <v>0.24201388888888889</v>
      </c>
      <c r="L100" s="5">
        <f>577 / 86400</f>
        <v>6.6782407407407407E-3</v>
      </c>
    </row>
    <row r="101" spans="1:12" x14ac:dyDescent="0.25">
      <c r="A101" s="3">
        <v>45699.554270833338</v>
      </c>
      <c r="B101" t="s">
        <v>146</v>
      </c>
      <c r="C101" s="3">
        <v>45699.562604166669</v>
      </c>
      <c r="D101" t="s">
        <v>38</v>
      </c>
      <c r="E101" s="4">
        <v>2.6120000000000001</v>
      </c>
      <c r="F101" s="4">
        <v>18928.563999999998</v>
      </c>
      <c r="G101" s="4">
        <v>18931.175999999999</v>
      </c>
      <c r="H101" s="5">
        <f>80 / 86400</f>
        <v>9.2592592592592596E-4</v>
      </c>
      <c r="I101" t="s">
        <v>147</v>
      </c>
      <c r="J101" t="s">
        <v>56</v>
      </c>
      <c r="K101" s="5">
        <f>720 / 86400</f>
        <v>8.3333333333333332E-3</v>
      </c>
      <c r="L101" s="5">
        <f>9179 / 86400</f>
        <v>0.10623842592592593</v>
      </c>
    </row>
    <row r="102" spans="1:12" x14ac:dyDescent="0.25">
      <c r="A102" s="3">
        <v>45699.668842592597</v>
      </c>
      <c r="B102" t="s">
        <v>38</v>
      </c>
      <c r="C102" s="3">
        <v>45699.669328703705</v>
      </c>
      <c r="D102" t="s">
        <v>38</v>
      </c>
      <c r="E102" s="4">
        <v>8.9999999999999993E-3</v>
      </c>
      <c r="F102" s="4">
        <v>18931.175999999999</v>
      </c>
      <c r="G102" s="4">
        <v>18931.185000000001</v>
      </c>
      <c r="H102" s="5">
        <f>19 / 86400</f>
        <v>2.199074074074074E-4</v>
      </c>
      <c r="I102" t="s">
        <v>148</v>
      </c>
      <c r="J102" t="s">
        <v>29</v>
      </c>
      <c r="K102" s="5">
        <f>42 / 86400</f>
        <v>4.861111111111111E-4</v>
      </c>
      <c r="L102" s="5">
        <f>6322 / 86400</f>
        <v>7.317129629629629E-2</v>
      </c>
    </row>
    <row r="103" spans="1:12" x14ac:dyDescent="0.25">
      <c r="A103" s="3">
        <v>45699.7425</v>
      </c>
      <c r="B103" t="s">
        <v>38</v>
      </c>
      <c r="C103" s="3">
        <v>45699.766550925924</v>
      </c>
      <c r="D103" t="s">
        <v>20</v>
      </c>
      <c r="E103" s="4">
        <v>6.4450000000000003</v>
      </c>
      <c r="F103" s="4">
        <v>18931.185000000001</v>
      </c>
      <c r="G103" s="4">
        <v>18937.63</v>
      </c>
      <c r="H103" s="5">
        <f>420 / 86400</f>
        <v>4.8611111111111112E-3</v>
      </c>
      <c r="I103" t="s">
        <v>149</v>
      </c>
      <c r="J103" t="s">
        <v>134</v>
      </c>
      <c r="K103" s="5">
        <f>2078 / 86400</f>
        <v>2.4050925925925927E-2</v>
      </c>
      <c r="L103" s="5">
        <f>16790 / 86400</f>
        <v>0.1943287037037037</v>
      </c>
    </row>
    <row r="104" spans="1:12" x14ac:dyDescent="0.25">
      <c r="A104" s="3">
        <v>45699.960879629631</v>
      </c>
      <c r="B104" t="s">
        <v>20</v>
      </c>
      <c r="C104" s="3">
        <v>45699.964918981481</v>
      </c>
      <c r="D104" t="s">
        <v>20</v>
      </c>
      <c r="E104" s="4">
        <v>5.1999999999999998E-2</v>
      </c>
      <c r="F104" s="4">
        <v>18937.63</v>
      </c>
      <c r="G104" s="4">
        <v>18937.682000000001</v>
      </c>
      <c r="H104" s="5">
        <f>259 / 86400</f>
        <v>2.9976851851851853E-3</v>
      </c>
      <c r="I104" t="s">
        <v>57</v>
      </c>
      <c r="J104" t="s">
        <v>29</v>
      </c>
      <c r="K104" s="5">
        <f>348 / 86400</f>
        <v>4.0277777777777777E-3</v>
      </c>
      <c r="L104" s="5">
        <f>3030 / 86400</f>
        <v>3.5069444444444445E-2</v>
      </c>
    </row>
    <row r="105" spans="1:12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2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2" s="10" customFormat="1" ht="20.100000000000001" customHeight="1" x14ac:dyDescent="0.35">
      <c r="A107" s="12" t="s">
        <v>452</v>
      </c>
      <c r="B107" s="12"/>
      <c r="C107" s="12"/>
      <c r="D107" s="12"/>
      <c r="E107" s="12"/>
      <c r="F107" s="12"/>
      <c r="G107" s="12"/>
      <c r="H107" s="12"/>
      <c r="I107" s="12"/>
      <c r="J107" s="12"/>
    </row>
    <row r="108" spans="1:12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2" ht="30" x14ac:dyDescent="0.25">
      <c r="A109" s="2" t="s">
        <v>5</v>
      </c>
      <c r="B109" s="2" t="s">
        <v>6</v>
      </c>
      <c r="C109" s="2" t="s">
        <v>7</v>
      </c>
      <c r="D109" s="2" t="s">
        <v>8</v>
      </c>
      <c r="E109" s="2" t="s">
        <v>9</v>
      </c>
      <c r="F109" s="2" t="s">
        <v>10</v>
      </c>
      <c r="G109" s="2" t="s">
        <v>11</v>
      </c>
      <c r="H109" s="2" t="s">
        <v>12</v>
      </c>
      <c r="I109" s="2" t="s">
        <v>13</v>
      </c>
      <c r="J109" s="2" t="s">
        <v>14</v>
      </c>
      <c r="K109" s="2" t="s">
        <v>15</v>
      </c>
      <c r="L109" s="2" t="s">
        <v>16</v>
      </c>
    </row>
    <row r="110" spans="1:12" x14ac:dyDescent="0.25">
      <c r="A110" s="3">
        <v>45699.186921296292</v>
      </c>
      <c r="B110" t="s">
        <v>23</v>
      </c>
      <c r="C110" s="3">
        <v>45699.188275462962</v>
      </c>
      <c r="D110" t="s">
        <v>24</v>
      </c>
      <c r="E110" s="4">
        <v>2.7E-2</v>
      </c>
      <c r="F110" s="4">
        <v>328275.72399999999</v>
      </c>
      <c r="G110" s="4">
        <v>328275.75099999999</v>
      </c>
      <c r="H110" s="5">
        <f>60 / 86400</f>
        <v>6.9444444444444447E-4</v>
      </c>
      <c r="I110" t="s">
        <v>57</v>
      </c>
      <c r="J110" t="s">
        <v>29</v>
      </c>
      <c r="K110" s="5">
        <f>117 / 86400</f>
        <v>1.3541666666666667E-3</v>
      </c>
      <c r="L110" s="5">
        <f>19004 / 86400</f>
        <v>0.21995370370370371</v>
      </c>
    </row>
    <row r="111" spans="1:12" x14ac:dyDescent="0.25">
      <c r="A111" s="3">
        <v>45699.221307870372</v>
      </c>
      <c r="B111" t="s">
        <v>24</v>
      </c>
      <c r="C111" s="3">
        <v>45699.222407407404</v>
      </c>
      <c r="D111" t="s">
        <v>23</v>
      </c>
      <c r="E111" s="4">
        <v>2.4E-2</v>
      </c>
      <c r="F111" s="4">
        <v>328275.75099999999</v>
      </c>
      <c r="G111" s="4">
        <v>328275.77500000002</v>
      </c>
      <c r="H111" s="5">
        <f>59 / 86400</f>
        <v>6.8287037037037036E-4</v>
      </c>
      <c r="I111" t="s">
        <v>29</v>
      </c>
      <c r="J111" t="s">
        <v>29</v>
      </c>
      <c r="K111" s="5">
        <f>94 / 86400</f>
        <v>1.0879629629629629E-3</v>
      </c>
      <c r="L111" s="5">
        <f>2534 / 86400</f>
        <v>2.9328703703703704E-2</v>
      </c>
    </row>
    <row r="112" spans="1:12" x14ac:dyDescent="0.25">
      <c r="A112" s="3">
        <v>45699.251736111109</v>
      </c>
      <c r="B112" t="s">
        <v>23</v>
      </c>
      <c r="C112" s="3">
        <v>45699.31585648148</v>
      </c>
      <c r="D112" t="s">
        <v>150</v>
      </c>
      <c r="E112" s="4">
        <v>25.52</v>
      </c>
      <c r="F112" s="4">
        <v>328275.77500000002</v>
      </c>
      <c r="G112" s="4">
        <v>328301.29499999998</v>
      </c>
      <c r="H112" s="5">
        <f>1999 / 86400</f>
        <v>2.3136574074074073E-2</v>
      </c>
      <c r="I112" t="s">
        <v>39</v>
      </c>
      <c r="J112" t="s">
        <v>42</v>
      </c>
      <c r="K112" s="5">
        <f>5540 / 86400</f>
        <v>6.4120370370370369E-2</v>
      </c>
      <c r="L112" s="5">
        <f>579 / 86400</f>
        <v>6.7013888888888887E-3</v>
      </c>
    </row>
    <row r="113" spans="1:12" x14ac:dyDescent="0.25">
      <c r="A113" s="3">
        <v>45699.322557870371</v>
      </c>
      <c r="B113" t="s">
        <v>150</v>
      </c>
      <c r="C113" s="3">
        <v>45699.410011574073</v>
      </c>
      <c r="D113" t="s">
        <v>151</v>
      </c>
      <c r="E113" s="4">
        <v>41.371000000000002</v>
      </c>
      <c r="F113" s="4">
        <v>328301.29499999998</v>
      </c>
      <c r="G113" s="4">
        <v>328342.66600000003</v>
      </c>
      <c r="H113" s="5">
        <f>2200 / 86400</f>
        <v>2.5462962962962962E-2</v>
      </c>
      <c r="I113" t="s">
        <v>55</v>
      </c>
      <c r="J113" t="s">
        <v>152</v>
      </c>
      <c r="K113" s="5">
        <f>7556 / 86400</f>
        <v>8.74537037037037E-2</v>
      </c>
      <c r="L113" s="5">
        <f>326 / 86400</f>
        <v>3.7731481481481483E-3</v>
      </c>
    </row>
    <row r="114" spans="1:12" x14ac:dyDescent="0.25">
      <c r="A114" s="3">
        <v>45699.413784722223</v>
      </c>
      <c r="B114" t="s">
        <v>151</v>
      </c>
      <c r="C114" s="3">
        <v>45699.416180555556</v>
      </c>
      <c r="D114" t="s">
        <v>153</v>
      </c>
      <c r="E114" s="4">
        <v>0.84</v>
      </c>
      <c r="F114" s="4">
        <v>328342.66600000003</v>
      </c>
      <c r="G114" s="4">
        <v>328343.50599999999</v>
      </c>
      <c r="H114" s="5">
        <f>20 / 86400</f>
        <v>2.3148148148148149E-4</v>
      </c>
      <c r="I114" t="s">
        <v>154</v>
      </c>
      <c r="J114" t="s">
        <v>19</v>
      </c>
      <c r="K114" s="5">
        <f>207 / 86400</f>
        <v>2.3958333333333331E-3</v>
      </c>
      <c r="L114" s="5">
        <f>141 / 86400</f>
        <v>1.6319444444444445E-3</v>
      </c>
    </row>
    <row r="115" spans="1:12" x14ac:dyDescent="0.25">
      <c r="A115" s="3">
        <v>45699.417812500003</v>
      </c>
      <c r="B115" t="s">
        <v>153</v>
      </c>
      <c r="C115" s="3">
        <v>45699.418113425927</v>
      </c>
      <c r="D115" t="s">
        <v>153</v>
      </c>
      <c r="E115" s="4">
        <v>1.0999999999999999E-2</v>
      </c>
      <c r="F115" s="4">
        <v>328343.50599999999</v>
      </c>
      <c r="G115" s="4">
        <v>328343.51699999999</v>
      </c>
      <c r="H115" s="5">
        <f>0 / 86400</f>
        <v>0</v>
      </c>
      <c r="I115" t="s">
        <v>57</v>
      </c>
      <c r="J115" t="s">
        <v>57</v>
      </c>
      <c r="K115" s="5">
        <f>26 / 86400</f>
        <v>3.0092592592592595E-4</v>
      </c>
      <c r="L115" s="5">
        <f>9 / 86400</f>
        <v>1.0416666666666667E-4</v>
      </c>
    </row>
    <row r="116" spans="1:12" x14ac:dyDescent="0.25">
      <c r="A116" s="3">
        <v>45699.418217592596</v>
      </c>
      <c r="B116" t="s">
        <v>153</v>
      </c>
      <c r="C116" s="3">
        <v>45699.418460648143</v>
      </c>
      <c r="D116" t="s">
        <v>155</v>
      </c>
      <c r="E116" s="4">
        <v>2E-3</v>
      </c>
      <c r="F116" s="4">
        <v>328343.51699999999</v>
      </c>
      <c r="G116" s="4">
        <v>328343.51899999997</v>
      </c>
      <c r="H116" s="5">
        <f>4 / 86400</f>
        <v>4.6296296296296294E-5</v>
      </c>
      <c r="I116" t="s">
        <v>88</v>
      </c>
      <c r="J116" t="s">
        <v>88</v>
      </c>
      <c r="K116" s="5">
        <f>21 / 86400</f>
        <v>2.4305555555555555E-4</v>
      </c>
      <c r="L116" s="5">
        <f>162 / 86400</f>
        <v>1.8749999999999999E-3</v>
      </c>
    </row>
    <row r="117" spans="1:12" x14ac:dyDescent="0.25">
      <c r="A117" s="3">
        <v>45699.420335648145</v>
      </c>
      <c r="B117" t="s">
        <v>155</v>
      </c>
      <c r="C117" s="3">
        <v>45699.421678240746</v>
      </c>
      <c r="D117" t="s">
        <v>153</v>
      </c>
      <c r="E117" s="4">
        <v>8.0000000000000002E-3</v>
      </c>
      <c r="F117" s="4">
        <v>328343.51899999997</v>
      </c>
      <c r="G117" s="4">
        <v>328343.527</v>
      </c>
      <c r="H117" s="5">
        <f>81 / 86400</f>
        <v>9.3749999999999997E-4</v>
      </c>
      <c r="I117" t="s">
        <v>57</v>
      </c>
      <c r="J117" t="s">
        <v>88</v>
      </c>
      <c r="K117" s="5">
        <f>116 / 86400</f>
        <v>1.3425925925925925E-3</v>
      </c>
      <c r="L117" s="5">
        <f>24049 / 86400</f>
        <v>0.27834490740740742</v>
      </c>
    </row>
    <row r="118" spans="1:12" x14ac:dyDescent="0.25">
      <c r="A118" s="3">
        <v>45699.700023148151</v>
      </c>
      <c r="B118" t="s">
        <v>153</v>
      </c>
      <c r="C118" s="3">
        <v>45699.7027662037</v>
      </c>
      <c r="D118" t="s">
        <v>153</v>
      </c>
      <c r="E118" s="4">
        <v>3.5999999999999997E-2</v>
      </c>
      <c r="F118" s="4">
        <v>328343.527</v>
      </c>
      <c r="G118" s="4">
        <v>328343.56300000002</v>
      </c>
      <c r="H118" s="5">
        <f>200 / 86400</f>
        <v>2.3148148148148147E-3</v>
      </c>
      <c r="I118" t="s">
        <v>148</v>
      </c>
      <c r="J118" t="s">
        <v>29</v>
      </c>
      <c r="K118" s="5">
        <f>237 / 86400</f>
        <v>2.7430555555555554E-3</v>
      </c>
      <c r="L118" s="5">
        <f>95 / 86400</f>
        <v>1.0995370370370371E-3</v>
      </c>
    </row>
    <row r="119" spans="1:12" x14ac:dyDescent="0.25">
      <c r="A119" s="3">
        <v>45699.703865740739</v>
      </c>
      <c r="B119" t="s">
        <v>153</v>
      </c>
      <c r="C119" s="3">
        <v>45699.705069444448</v>
      </c>
      <c r="D119" t="s">
        <v>153</v>
      </c>
      <c r="E119" s="4">
        <v>0</v>
      </c>
      <c r="F119" s="4">
        <v>328343.56300000002</v>
      </c>
      <c r="G119" s="4">
        <v>328343.56300000002</v>
      </c>
      <c r="H119" s="5">
        <f>99 / 86400</f>
        <v>1.1458333333333333E-3</v>
      </c>
      <c r="I119" t="s">
        <v>88</v>
      </c>
      <c r="J119" t="s">
        <v>88</v>
      </c>
      <c r="K119" s="5">
        <f>104 / 86400</f>
        <v>1.2037037037037038E-3</v>
      </c>
      <c r="L119" s="5">
        <f>1289 / 86400</f>
        <v>1.4918981481481481E-2</v>
      </c>
    </row>
    <row r="120" spans="1:12" x14ac:dyDescent="0.25">
      <c r="A120" s="3">
        <v>45699.719988425924</v>
      </c>
      <c r="B120" t="s">
        <v>153</v>
      </c>
      <c r="C120" s="3">
        <v>45699.767372685186</v>
      </c>
      <c r="D120" t="s">
        <v>76</v>
      </c>
      <c r="E120" s="4">
        <v>22.887</v>
      </c>
      <c r="F120" s="4">
        <v>328343.56300000002</v>
      </c>
      <c r="G120" s="4">
        <v>328366.45</v>
      </c>
      <c r="H120" s="5">
        <f>1458 / 86400</f>
        <v>1.6875000000000001E-2</v>
      </c>
      <c r="I120" t="s">
        <v>25</v>
      </c>
      <c r="J120" t="s">
        <v>152</v>
      </c>
      <c r="K120" s="5">
        <f>4093 / 86400</f>
        <v>4.7372685185185184E-2</v>
      </c>
      <c r="L120" s="5">
        <f>338 / 86400</f>
        <v>3.9120370370370368E-3</v>
      </c>
    </row>
    <row r="121" spans="1:12" x14ac:dyDescent="0.25">
      <c r="A121" s="3">
        <v>45699.771284722221</v>
      </c>
      <c r="B121" t="s">
        <v>76</v>
      </c>
      <c r="C121" s="3">
        <v>45699.775462962964</v>
      </c>
      <c r="D121" t="s">
        <v>23</v>
      </c>
      <c r="E121" s="4">
        <v>1.365</v>
      </c>
      <c r="F121" s="4">
        <v>328366.45</v>
      </c>
      <c r="G121" s="4">
        <v>328367.815</v>
      </c>
      <c r="H121" s="5">
        <f>100 / 86400</f>
        <v>1.1574074074074073E-3</v>
      </c>
      <c r="I121" t="s">
        <v>156</v>
      </c>
      <c r="J121" t="s">
        <v>31</v>
      </c>
      <c r="K121" s="5">
        <f>361 / 86400</f>
        <v>4.178240740740741E-3</v>
      </c>
      <c r="L121" s="5">
        <f>42 / 86400</f>
        <v>4.861111111111111E-4</v>
      </c>
    </row>
    <row r="122" spans="1:12" x14ac:dyDescent="0.25">
      <c r="A122" s="3">
        <v>45699.775949074072</v>
      </c>
      <c r="B122" t="s">
        <v>23</v>
      </c>
      <c r="C122" s="3">
        <v>45699.776608796295</v>
      </c>
      <c r="D122" t="s">
        <v>24</v>
      </c>
      <c r="E122" s="4">
        <v>5.5E-2</v>
      </c>
      <c r="F122" s="4">
        <v>328367.815</v>
      </c>
      <c r="G122" s="4">
        <v>328367.87</v>
      </c>
      <c r="H122" s="5">
        <f>0 / 86400</f>
        <v>0</v>
      </c>
      <c r="I122" t="s">
        <v>134</v>
      </c>
      <c r="J122" t="s">
        <v>157</v>
      </c>
      <c r="K122" s="5">
        <f>57 / 86400</f>
        <v>6.5972222222222224E-4</v>
      </c>
      <c r="L122" s="5">
        <f>19300 / 86400</f>
        <v>0.22337962962962962</v>
      </c>
    </row>
    <row r="123" spans="1:12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2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2" s="10" customFormat="1" ht="20.100000000000001" customHeight="1" x14ac:dyDescent="0.35">
      <c r="A125" s="12" t="s">
        <v>453</v>
      </c>
      <c r="B125" s="12"/>
      <c r="C125" s="12"/>
      <c r="D125" s="12"/>
      <c r="E125" s="12"/>
      <c r="F125" s="12"/>
      <c r="G125" s="12"/>
      <c r="H125" s="12"/>
      <c r="I125" s="12"/>
      <c r="J125" s="12"/>
    </row>
    <row r="126" spans="1:12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</row>
    <row r="127" spans="1:12" ht="30" x14ac:dyDescent="0.25">
      <c r="A127" s="2" t="s">
        <v>5</v>
      </c>
      <c r="B127" s="2" t="s">
        <v>6</v>
      </c>
      <c r="C127" s="2" t="s">
        <v>7</v>
      </c>
      <c r="D127" s="2" t="s">
        <v>8</v>
      </c>
      <c r="E127" s="2" t="s">
        <v>9</v>
      </c>
      <c r="F127" s="2" t="s">
        <v>10</v>
      </c>
      <c r="G127" s="2" t="s">
        <v>11</v>
      </c>
      <c r="H127" s="2" t="s">
        <v>12</v>
      </c>
      <c r="I127" s="2" t="s">
        <v>13</v>
      </c>
      <c r="J127" s="2" t="s">
        <v>14</v>
      </c>
      <c r="K127" s="2" t="s">
        <v>15</v>
      </c>
      <c r="L127" s="2" t="s">
        <v>16</v>
      </c>
    </row>
    <row r="128" spans="1:12" x14ac:dyDescent="0.25">
      <c r="A128" s="3">
        <v>45699.799745370372</v>
      </c>
      <c r="B128" t="s">
        <v>27</v>
      </c>
      <c r="C128" s="3">
        <v>45699.802870370375</v>
      </c>
      <c r="D128" t="s">
        <v>27</v>
      </c>
      <c r="E128" s="4">
        <v>4.9000000000000002E-2</v>
      </c>
      <c r="F128" s="4">
        <v>513023.342</v>
      </c>
      <c r="G128" s="4">
        <v>513023.391</v>
      </c>
      <c r="H128" s="5">
        <f>199 / 86400</f>
        <v>2.3032407407407407E-3</v>
      </c>
      <c r="I128" t="s">
        <v>28</v>
      </c>
      <c r="J128" t="s">
        <v>29</v>
      </c>
      <c r="K128" s="5">
        <f>269 / 86400</f>
        <v>3.1134259259259257E-3</v>
      </c>
      <c r="L128" s="5">
        <f>69197 / 86400</f>
        <v>0.8008912037037037</v>
      </c>
    </row>
    <row r="129" spans="1:12" x14ac:dyDescent="0.25">
      <c r="A129" s="3">
        <v>45699.804016203707</v>
      </c>
      <c r="B129" t="s">
        <v>27</v>
      </c>
      <c r="C129" s="3">
        <v>45699.804224537038</v>
      </c>
      <c r="D129" t="s">
        <v>27</v>
      </c>
      <c r="E129" s="4">
        <v>0</v>
      </c>
      <c r="F129" s="4">
        <v>513023.391</v>
      </c>
      <c r="G129" s="4">
        <v>513023.391</v>
      </c>
      <c r="H129" s="5">
        <f>0 / 86400</f>
        <v>0</v>
      </c>
      <c r="I129" t="s">
        <v>88</v>
      </c>
      <c r="J129" t="s">
        <v>88</v>
      </c>
      <c r="K129" s="5">
        <f>18 / 86400</f>
        <v>2.0833333333333335E-4</v>
      </c>
      <c r="L129" s="5">
        <f>16914 / 86400</f>
        <v>0.19576388888888888</v>
      </c>
    </row>
    <row r="130" spans="1:12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</row>
    <row r="131" spans="1:12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</row>
    <row r="132" spans="1:12" s="10" customFormat="1" ht="20.100000000000001" customHeight="1" x14ac:dyDescent="0.35">
      <c r="A132" s="12" t="s">
        <v>454</v>
      </c>
      <c r="B132" s="12"/>
      <c r="C132" s="12"/>
      <c r="D132" s="12"/>
      <c r="E132" s="12"/>
      <c r="F132" s="12"/>
      <c r="G132" s="12"/>
      <c r="H132" s="12"/>
      <c r="I132" s="12"/>
      <c r="J132" s="12"/>
    </row>
    <row r="133" spans="1:12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2" ht="30" x14ac:dyDescent="0.25">
      <c r="A134" s="2" t="s">
        <v>5</v>
      </c>
      <c r="B134" s="2" t="s">
        <v>6</v>
      </c>
      <c r="C134" s="2" t="s">
        <v>7</v>
      </c>
      <c r="D134" s="2" t="s">
        <v>8</v>
      </c>
      <c r="E134" s="2" t="s">
        <v>9</v>
      </c>
      <c r="F134" s="2" t="s">
        <v>10</v>
      </c>
      <c r="G134" s="2" t="s">
        <v>11</v>
      </c>
      <c r="H134" s="2" t="s">
        <v>12</v>
      </c>
      <c r="I134" s="2" t="s">
        <v>13</v>
      </c>
      <c r="J134" s="2" t="s">
        <v>14</v>
      </c>
      <c r="K134" s="2" t="s">
        <v>15</v>
      </c>
      <c r="L134" s="2" t="s">
        <v>16</v>
      </c>
    </row>
    <row r="135" spans="1:12" x14ac:dyDescent="0.25">
      <c r="A135" s="3">
        <v>45699.22493055556</v>
      </c>
      <c r="B135" t="s">
        <v>30</v>
      </c>
      <c r="C135" s="3">
        <v>45699.234039351853</v>
      </c>
      <c r="D135" t="s">
        <v>30</v>
      </c>
      <c r="E135" s="4">
        <v>0</v>
      </c>
      <c r="F135" s="4">
        <v>92003.987999999998</v>
      </c>
      <c r="G135" s="4">
        <v>92003.987999999998</v>
      </c>
      <c r="H135" s="5">
        <f>779 / 86400</f>
        <v>9.0162037037037034E-3</v>
      </c>
      <c r="I135" t="s">
        <v>88</v>
      </c>
      <c r="J135" t="s">
        <v>88</v>
      </c>
      <c r="K135" s="5">
        <f>787 / 86400</f>
        <v>9.1087962962962971E-3</v>
      </c>
      <c r="L135" s="5">
        <f>19473 / 86400</f>
        <v>0.22538194444444445</v>
      </c>
    </row>
    <row r="136" spans="1:12" x14ac:dyDescent="0.25">
      <c r="A136" s="3">
        <v>45699.234490740739</v>
      </c>
      <c r="B136" t="s">
        <v>30</v>
      </c>
      <c r="C136" s="3">
        <v>45699.469143518523</v>
      </c>
      <c r="D136" t="s">
        <v>105</v>
      </c>
      <c r="E136" s="4">
        <v>83.549000000000007</v>
      </c>
      <c r="F136" s="4">
        <v>92003.987999999998</v>
      </c>
      <c r="G136" s="4">
        <v>92087.536999999997</v>
      </c>
      <c r="H136" s="5">
        <f>6657 / 86400</f>
        <v>7.7048611111111109E-2</v>
      </c>
      <c r="I136" t="s">
        <v>25</v>
      </c>
      <c r="J136" t="s">
        <v>19</v>
      </c>
      <c r="K136" s="5">
        <f>20274 / 86400</f>
        <v>0.23465277777777777</v>
      </c>
      <c r="L136" s="5">
        <f>460 / 86400</f>
        <v>5.324074074074074E-3</v>
      </c>
    </row>
    <row r="137" spans="1:12" x14ac:dyDescent="0.25">
      <c r="A137" s="3">
        <v>45699.47446759259</v>
      </c>
      <c r="B137" t="s">
        <v>105</v>
      </c>
      <c r="C137" s="3">
        <v>45699.476967592593</v>
      </c>
      <c r="D137" t="s">
        <v>158</v>
      </c>
      <c r="E137" s="4">
        <v>0.64600000000000002</v>
      </c>
      <c r="F137" s="4">
        <v>92087.536999999997</v>
      </c>
      <c r="G137" s="4">
        <v>92088.183000000005</v>
      </c>
      <c r="H137" s="5">
        <f>20 / 86400</f>
        <v>2.3148148148148149E-4</v>
      </c>
      <c r="I137" t="s">
        <v>141</v>
      </c>
      <c r="J137" t="s">
        <v>134</v>
      </c>
      <c r="K137" s="5">
        <f>215 / 86400</f>
        <v>2.488425925925926E-3</v>
      </c>
      <c r="L137" s="5">
        <f>2129 / 86400</f>
        <v>2.4641203703703703E-2</v>
      </c>
    </row>
    <row r="138" spans="1:12" x14ac:dyDescent="0.25">
      <c r="A138" s="3">
        <v>45699.501608796301</v>
      </c>
      <c r="B138" t="s">
        <v>158</v>
      </c>
      <c r="C138" s="3">
        <v>45699.504409722227</v>
      </c>
      <c r="D138" t="s">
        <v>159</v>
      </c>
      <c r="E138" s="4">
        <v>0.72799999999999998</v>
      </c>
      <c r="F138" s="4">
        <v>92088.183000000005</v>
      </c>
      <c r="G138" s="4">
        <v>92088.910999999993</v>
      </c>
      <c r="H138" s="5">
        <f>0 / 86400</f>
        <v>0</v>
      </c>
      <c r="I138" t="s">
        <v>108</v>
      </c>
      <c r="J138" t="s">
        <v>134</v>
      </c>
      <c r="K138" s="5">
        <f>241 / 86400</f>
        <v>2.7893518518518519E-3</v>
      </c>
      <c r="L138" s="5">
        <f>804 / 86400</f>
        <v>9.3055555555555548E-3</v>
      </c>
    </row>
    <row r="139" spans="1:12" x14ac:dyDescent="0.25">
      <c r="A139" s="3">
        <v>45699.513715277775</v>
      </c>
      <c r="B139" t="s">
        <v>159</v>
      </c>
      <c r="C139" s="3">
        <v>45699.627951388888</v>
      </c>
      <c r="D139" t="s">
        <v>138</v>
      </c>
      <c r="E139" s="4">
        <v>50.628999999999998</v>
      </c>
      <c r="F139" s="4">
        <v>92088.910999999993</v>
      </c>
      <c r="G139" s="4">
        <v>92139.54</v>
      </c>
      <c r="H139" s="5">
        <f>2600 / 86400</f>
        <v>3.0092592592592591E-2</v>
      </c>
      <c r="I139" t="s">
        <v>66</v>
      </c>
      <c r="J139" t="s">
        <v>26</v>
      </c>
      <c r="K139" s="5">
        <f>9870 / 86400</f>
        <v>0.11423611111111111</v>
      </c>
      <c r="L139" s="5">
        <f>1338 / 86400</f>
        <v>1.5486111111111112E-2</v>
      </c>
    </row>
    <row r="140" spans="1:12" x14ac:dyDescent="0.25">
      <c r="A140" s="3">
        <v>45699.643437499995</v>
      </c>
      <c r="B140" t="s">
        <v>138</v>
      </c>
      <c r="C140" s="3">
        <v>45699.769166666665</v>
      </c>
      <c r="D140" t="s">
        <v>82</v>
      </c>
      <c r="E140" s="4">
        <v>33.273000000000003</v>
      </c>
      <c r="F140" s="4">
        <v>92139.54</v>
      </c>
      <c r="G140" s="4">
        <v>92172.812999999995</v>
      </c>
      <c r="H140" s="5">
        <f>4340 / 86400</f>
        <v>5.0231481481481481E-2</v>
      </c>
      <c r="I140" t="s">
        <v>62</v>
      </c>
      <c r="J140" t="s">
        <v>134</v>
      </c>
      <c r="K140" s="5">
        <f>10862 / 86400</f>
        <v>0.1257175925925926</v>
      </c>
      <c r="L140" s="5">
        <f>65 / 86400</f>
        <v>7.5231481481481482E-4</v>
      </c>
    </row>
    <row r="141" spans="1:12" x14ac:dyDescent="0.25">
      <c r="A141" s="3">
        <v>45699.769918981481</v>
      </c>
      <c r="B141" t="s">
        <v>82</v>
      </c>
      <c r="C141" s="3">
        <v>45699.770567129628</v>
      </c>
      <c r="D141" t="s">
        <v>82</v>
      </c>
      <c r="E141" s="4">
        <v>0.151</v>
      </c>
      <c r="F141" s="4">
        <v>92172.812999999995</v>
      </c>
      <c r="G141" s="4">
        <v>92172.964000000007</v>
      </c>
      <c r="H141" s="5">
        <f>0 / 86400</f>
        <v>0</v>
      </c>
      <c r="I141" t="s">
        <v>19</v>
      </c>
      <c r="J141" t="s">
        <v>112</v>
      </c>
      <c r="K141" s="5">
        <f>56 / 86400</f>
        <v>6.4814814814814813E-4</v>
      </c>
      <c r="L141" s="5">
        <f>521 / 86400</f>
        <v>6.030092592592593E-3</v>
      </c>
    </row>
    <row r="142" spans="1:12" x14ac:dyDescent="0.25">
      <c r="A142" s="3">
        <v>45699.776597222226</v>
      </c>
      <c r="B142" t="s">
        <v>82</v>
      </c>
      <c r="C142" s="3">
        <v>45699.780624999999</v>
      </c>
      <c r="D142" t="s">
        <v>30</v>
      </c>
      <c r="E142" s="4">
        <v>0.45200000000000001</v>
      </c>
      <c r="F142" s="4">
        <v>92172.964000000007</v>
      </c>
      <c r="G142" s="4">
        <v>92173.415999999997</v>
      </c>
      <c r="H142" s="5">
        <f>154 / 86400</f>
        <v>1.7824074074074075E-3</v>
      </c>
      <c r="I142" t="s">
        <v>160</v>
      </c>
      <c r="J142" t="s">
        <v>148</v>
      </c>
      <c r="K142" s="5">
        <f>348 / 86400</f>
        <v>4.0277777777777777E-3</v>
      </c>
      <c r="L142" s="5">
        <f>18953 / 86400</f>
        <v>0.21936342592592592</v>
      </c>
    </row>
    <row r="143" spans="1:12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2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2" s="10" customFormat="1" ht="20.100000000000001" customHeight="1" x14ac:dyDescent="0.35">
      <c r="A145" s="12" t="s">
        <v>455</v>
      </c>
      <c r="B145" s="12"/>
      <c r="C145" s="12"/>
      <c r="D145" s="12"/>
      <c r="E145" s="12"/>
      <c r="F145" s="12"/>
      <c r="G145" s="12"/>
      <c r="H145" s="12"/>
      <c r="I145" s="12"/>
      <c r="J145" s="12"/>
    </row>
    <row r="146" spans="1:12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2" ht="30" x14ac:dyDescent="0.25">
      <c r="A147" s="2" t="s">
        <v>5</v>
      </c>
      <c r="B147" s="2" t="s">
        <v>6</v>
      </c>
      <c r="C147" s="2" t="s">
        <v>7</v>
      </c>
      <c r="D147" s="2" t="s">
        <v>8</v>
      </c>
      <c r="E147" s="2" t="s">
        <v>9</v>
      </c>
      <c r="F147" s="2" t="s">
        <v>10</v>
      </c>
      <c r="G147" s="2" t="s">
        <v>11</v>
      </c>
      <c r="H147" s="2" t="s">
        <v>12</v>
      </c>
      <c r="I147" s="2" t="s">
        <v>13</v>
      </c>
      <c r="J147" s="2" t="s">
        <v>14</v>
      </c>
      <c r="K147" s="2" t="s">
        <v>15</v>
      </c>
      <c r="L147" s="2" t="s">
        <v>16</v>
      </c>
    </row>
    <row r="148" spans="1:12" x14ac:dyDescent="0.25">
      <c r="A148" s="3">
        <v>45699.171990740739</v>
      </c>
      <c r="B148" t="s">
        <v>17</v>
      </c>
      <c r="C148" s="3">
        <v>45699.266377314816</v>
      </c>
      <c r="D148" t="s">
        <v>161</v>
      </c>
      <c r="E148" s="4">
        <v>49.536999999999999</v>
      </c>
      <c r="F148" s="4">
        <v>137336.15599999999</v>
      </c>
      <c r="G148" s="4">
        <v>137385.693</v>
      </c>
      <c r="H148" s="5">
        <f>2139 / 86400</f>
        <v>2.4756944444444446E-2</v>
      </c>
      <c r="I148" t="s">
        <v>162</v>
      </c>
      <c r="J148" t="s">
        <v>34</v>
      </c>
      <c r="K148" s="5">
        <f>8155 / 86400</f>
        <v>9.4386574074074067E-2</v>
      </c>
      <c r="L148" s="5">
        <f>15163 / 86400</f>
        <v>0.17549768518518519</v>
      </c>
    </row>
    <row r="149" spans="1:12" x14ac:dyDescent="0.25">
      <c r="A149" s="3">
        <v>45699.269884259258</v>
      </c>
      <c r="B149" t="s">
        <v>161</v>
      </c>
      <c r="C149" s="3">
        <v>45699.271423611106</v>
      </c>
      <c r="D149" t="s">
        <v>159</v>
      </c>
      <c r="E149" s="4">
        <v>0.44500000000000001</v>
      </c>
      <c r="F149" s="4">
        <v>137385.693</v>
      </c>
      <c r="G149" s="4">
        <v>137386.13800000001</v>
      </c>
      <c r="H149" s="5">
        <f>0 / 86400</f>
        <v>0</v>
      </c>
      <c r="I149" t="s">
        <v>108</v>
      </c>
      <c r="J149" t="s">
        <v>131</v>
      </c>
      <c r="K149" s="5">
        <f>133 / 86400</f>
        <v>1.5393518518518519E-3</v>
      </c>
      <c r="L149" s="5">
        <f>532 / 86400</f>
        <v>6.1574074074074074E-3</v>
      </c>
    </row>
    <row r="150" spans="1:12" x14ac:dyDescent="0.25">
      <c r="A150" s="3">
        <v>45699.277581018519</v>
      </c>
      <c r="B150" t="s">
        <v>159</v>
      </c>
      <c r="C150" s="3">
        <v>45699.364548611113</v>
      </c>
      <c r="D150" t="s">
        <v>163</v>
      </c>
      <c r="E150" s="4">
        <v>40.158000000000001</v>
      </c>
      <c r="F150" s="4">
        <v>137386.13800000001</v>
      </c>
      <c r="G150" s="4">
        <v>137426.296</v>
      </c>
      <c r="H150" s="5">
        <f>2421 / 86400</f>
        <v>2.8020833333333332E-2</v>
      </c>
      <c r="I150" t="s">
        <v>32</v>
      </c>
      <c r="J150" t="s">
        <v>22</v>
      </c>
      <c r="K150" s="5">
        <f>7514 / 86400</f>
        <v>8.6967592592592596E-2</v>
      </c>
      <c r="L150" s="5">
        <f>326 / 86400</f>
        <v>3.7731481481481483E-3</v>
      </c>
    </row>
    <row r="151" spans="1:12" x14ac:dyDescent="0.25">
      <c r="A151" s="3">
        <v>45699.368321759262</v>
      </c>
      <c r="B151" t="s">
        <v>163</v>
      </c>
      <c r="C151" s="3">
        <v>45699.459791666668</v>
      </c>
      <c r="D151" t="s">
        <v>105</v>
      </c>
      <c r="E151" s="4">
        <v>39.298000000000002</v>
      </c>
      <c r="F151" s="4">
        <v>137426.296</v>
      </c>
      <c r="G151" s="4">
        <v>137465.59400000001</v>
      </c>
      <c r="H151" s="5">
        <f>2560 / 86400</f>
        <v>2.9629629629629631E-2</v>
      </c>
      <c r="I151" t="s">
        <v>133</v>
      </c>
      <c r="J151" t="s">
        <v>26</v>
      </c>
      <c r="K151" s="5">
        <f>7902 / 86400</f>
        <v>9.1458333333333336E-2</v>
      </c>
      <c r="L151" s="5">
        <f>250 / 86400</f>
        <v>2.8935185185185184E-3</v>
      </c>
    </row>
    <row r="152" spans="1:12" x14ac:dyDescent="0.25">
      <c r="A152" s="3">
        <v>45699.462685185186</v>
      </c>
      <c r="B152" t="s">
        <v>105</v>
      </c>
      <c r="C152" s="3">
        <v>45699.463136574079</v>
      </c>
      <c r="D152" t="s">
        <v>105</v>
      </c>
      <c r="E152" s="4">
        <v>0.01</v>
      </c>
      <c r="F152" s="4">
        <v>137465.59400000001</v>
      </c>
      <c r="G152" s="4">
        <v>137465.60399999999</v>
      </c>
      <c r="H152" s="5">
        <f>0 / 86400</f>
        <v>0</v>
      </c>
      <c r="I152" t="s">
        <v>29</v>
      </c>
      <c r="J152" t="s">
        <v>29</v>
      </c>
      <c r="K152" s="5">
        <f>39 / 86400</f>
        <v>4.5138888888888887E-4</v>
      </c>
      <c r="L152" s="5">
        <f>1662 / 86400</f>
        <v>1.923611111111111E-2</v>
      </c>
    </row>
    <row r="153" spans="1:12" x14ac:dyDescent="0.25">
      <c r="A153" s="3">
        <v>45699.48237268519</v>
      </c>
      <c r="B153" t="s">
        <v>105</v>
      </c>
      <c r="C153" s="3">
        <v>45699.764710648145</v>
      </c>
      <c r="D153" t="s">
        <v>164</v>
      </c>
      <c r="E153" s="4">
        <v>118.565</v>
      </c>
      <c r="F153" s="4">
        <v>137465.60399999999</v>
      </c>
      <c r="G153" s="4">
        <v>137584.16899999999</v>
      </c>
      <c r="H153" s="5">
        <f>8017 / 86400</f>
        <v>9.2789351851851845E-2</v>
      </c>
      <c r="I153" t="s">
        <v>55</v>
      </c>
      <c r="J153" t="s">
        <v>42</v>
      </c>
      <c r="K153" s="5">
        <f>24394 / 86400</f>
        <v>0.28233796296296299</v>
      </c>
      <c r="L153" s="5">
        <f>326 / 86400</f>
        <v>3.7731481481481483E-3</v>
      </c>
    </row>
    <row r="154" spans="1:12" x14ac:dyDescent="0.25">
      <c r="A154" s="3">
        <v>45699.768483796295</v>
      </c>
      <c r="B154" t="s">
        <v>164</v>
      </c>
      <c r="C154" s="3">
        <v>45699.770150462966</v>
      </c>
      <c r="D154" t="s">
        <v>165</v>
      </c>
      <c r="E154" s="4">
        <v>0.63200000000000001</v>
      </c>
      <c r="F154" s="4">
        <v>137584.16899999999</v>
      </c>
      <c r="G154" s="4">
        <v>137584.80100000001</v>
      </c>
      <c r="H154" s="5">
        <f>0 / 86400</f>
        <v>0</v>
      </c>
      <c r="I154" t="s">
        <v>166</v>
      </c>
      <c r="J154" t="s">
        <v>37</v>
      </c>
      <c r="K154" s="5">
        <f>144 / 86400</f>
        <v>1.6666666666666668E-3</v>
      </c>
      <c r="L154" s="5">
        <f>159 / 86400</f>
        <v>1.8402777777777777E-3</v>
      </c>
    </row>
    <row r="155" spans="1:12" x14ac:dyDescent="0.25">
      <c r="A155" s="3">
        <v>45699.771990740745</v>
      </c>
      <c r="B155" t="s">
        <v>140</v>
      </c>
      <c r="C155" s="3">
        <v>45699.774768518517</v>
      </c>
      <c r="D155" t="s">
        <v>17</v>
      </c>
      <c r="E155" s="4">
        <v>0.57199999999999995</v>
      </c>
      <c r="F155" s="4">
        <v>137584.80100000001</v>
      </c>
      <c r="G155" s="4">
        <v>137585.37299999999</v>
      </c>
      <c r="H155" s="5">
        <f>60 / 86400</f>
        <v>6.9444444444444447E-4</v>
      </c>
      <c r="I155" t="s">
        <v>160</v>
      </c>
      <c r="J155" t="s">
        <v>127</v>
      </c>
      <c r="K155" s="5">
        <f>239 / 86400</f>
        <v>2.7662037037037039E-3</v>
      </c>
      <c r="L155" s="5">
        <f>19459 / 86400</f>
        <v>0.22521990740740741</v>
      </c>
    </row>
    <row r="156" spans="1:12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2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2" s="10" customFormat="1" ht="20.100000000000001" customHeight="1" x14ac:dyDescent="0.35">
      <c r="A158" s="12" t="s">
        <v>456</v>
      </c>
      <c r="B158" s="12"/>
      <c r="C158" s="12"/>
      <c r="D158" s="12"/>
      <c r="E158" s="12"/>
      <c r="F158" s="12"/>
      <c r="G158" s="12"/>
      <c r="H158" s="12"/>
      <c r="I158" s="12"/>
      <c r="J158" s="12"/>
    </row>
    <row r="159" spans="1:12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2" ht="30" x14ac:dyDescent="0.25">
      <c r="A160" s="2" t="s">
        <v>5</v>
      </c>
      <c r="B160" s="2" t="s">
        <v>6</v>
      </c>
      <c r="C160" s="2" t="s">
        <v>7</v>
      </c>
      <c r="D160" s="2" t="s">
        <v>8</v>
      </c>
      <c r="E160" s="2" t="s">
        <v>9</v>
      </c>
      <c r="F160" s="2" t="s">
        <v>10</v>
      </c>
      <c r="G160" s="2" t="s">
        <v>11</v>
      </c>
      <c r="H160" s="2" t="s">
        <v>12</v>
      </c>
      <c r="I160" s="2" t="s">
        <v>13</v>
      </c>
      <c r="J160" s="2" t="s">
        <v>14</v>
      </c>
      <c r="K160" s="2" t="s">
        <v>15</v>
      </c>
      <c r="L160" s="2" t="s">
        <v>16</v>
      </c>
    </row>
    <row r="161" spans="1:12" x14ac:dyDescent="0.25">
      <c r="A161" s="3">
        <v>45699.199432870373</v>
      </c>
      <c r="B161" t="s">
        <v>30</v>
      </c>
      <c r="C161" s="3">
        <v>45699.203009259261</v>
      </c>
      <c r="D161" t="s">
        <v>167</v>
      </c>
      <c r="E161" s="4">
        <v>1.8629256449341773</v>
      </c>
      <c r="F161" s="4">
        <v>347633.186978104</v>
      </c>
      <c r="G161" s="4">
        <v>347635.04990374891</v>
      </c>
      <c r="H161" s="5">
        <f t="shared" ref="H161:H224" si="0">0 / 86400</f>
        <v>0</v>
      </c>
      <c r="I161" t="s">
        <v>168</v>
      </c>
      <c r="J161" t="s">
        <v>34</v>
      </c>
      <c r="K161" s="5">
        <f>309 / 86400</f>
        <v>3.5763888888888889E-3</v>
      </c>
      <c r="L161" s="5">
        <f>17271 / 86400</f>
        <v>0.19989583333333333</v>
      </c>
    </row>
    <row r="162" spans="1:12" x14ac:dyDescent="0.25">
      <c r="A162" s="3">
        <v>45699.203472222223</v>
      </c>
      <c r="B162" t="s">
        <v>101</v>
      </c>
      <c r="C162" s="3">
        <v>45699.204166666663</v>
      </c>
      <c r="D162" t="s">
        <v>169</v>
      </c>
      <c r="E162" s="4">
        <v>0.63938759237527842</v>
      </c>
      <c r="F162" s="4">
        <v>347635.20577256894</v>
      </c>
      <c r="G162" s="4">
        <v>347635.84516016132</v>
      </c>
      <c r="H162" s="5">
        <f t="shared" si="0"/>
        <v>0</v>
      </c>
      <c r="I162" t="s">
        <v>107</v>
      </c>
      <c r="J162" t="s">
        <v>154</v>
      </c>
      <c r="K162" s="5">
        <f>60 / 86400</f>
        <v>6.9444444444444447E-4</v>
      </c>
      <c r="L162" s="5">
        <f>20 / 86400</f>
        <v>2.3148148148148149E-4</v>
      </c>
    </row>
    <row r="163" spans="1:12" x14ac:dyDescent="0.25">
      <c r="A163" s="3">
        <v>45699.204398148147</v>
      </c>
      <c r="B163" t="s">
        <v>101</v>
      </c>
      <c r="C163" s="3">
        <v>45699.207615740743</v>
      </c>
      <c r="D163" t="s">
        <v>170</v>
      </c>
      <c r="E163" s="4">
        <v>3.1503469218015669</v>
      </c>
      <c r="F163" s="4">
        <v>347635.94749309856</v>
      </c>
      <c r="G163" s="4">
        <v>347639.09784002037</v>
      </c>
      <c r="H163" s="5">
        <f t="shared" si="0"/>
        <v>0</v>
      </c>
      <c r="I163" t="s">
        <v>62</v>
      </c>
      <c r="J163" t="s">
        <v>171</v>
      </c>
      <c r="K163" s="5">
        <f>278 / 86400</f>
        <v>3.2175925925925926E-3</v>
      </c>
      <c r="L163" s="5">
        <f>20 / 86400</f>
        <v>2.3148148148148149E-4</v>
      </c>
    </row>
    <row r="164" spans="1:12" x14ac:dyDescent="0.25">
      <c r="A164" s="3">
        <v>45699.20784722222</v>
      </c>
      <c r="B164" t="s">
        <v>170</v>
      </c>
      <c r="C164" s="3">
        <v>45699.208078703705</v>
      </c>
      <c r="D164" t="s">
        <v>172</v>
      </c>
      <c r="E164" s="4">
        <v>2.8552824139595031E-2</v>
      </c>
      <c r="F164" s="4">
        <v>347639.1041773106</v>
      </c>
      <c r="G164" s="4">
        <v>347639.1327301347</v>
      </c>
      <c r="H164" s="5">
        <f t="shared" si="0"/>
        <v>0</v>
      </c>
      <c r="I164" t="s">
        <v>148</v>
      </c>
      <c r="J164" t="s">
        <v>148</v>
      </c>
      <c r="K164" s="5">
        <f>20 / 86400</f>
        <v>2.3148148148148149E-4</v>
      </c>
      <c r="L164" s="5">
        <f>380 / 86400</f>
        <v>4.3981481481481484E-3</v>
      </c>
    </row>
    <row r="165" spans="1:12" x14ac:dyDescent="0.25">
      <c r="A165" s="3">
        <v>45699.212476851855</v>
      </c>
      <c r="B165" t="s">
        <v>172</v>
      </c>
      <c r="C165" s="3">
        <v>45699.212708333333</v>
      </c>
      <c r="D165" t="s">
        <v>172</v>
      </c>
      <c r="E165" s="4">
        <v>4.2733873724937442E-3</v>
      </c>
      <c r="F165" s="4">
        <v>347639.17614641855</v>
      </c>
      <c r="G165" s="4">
        <v>347639.18041980593</v>
      </c>
      <c r="H165" s="5">
        <f t="shared" si="0"/>
        <v>0</v>
      </c>
      <c r="I165" t="s">
        <v>157</v>
      </c>
      <c r="J165" t="s">
        <v>29</v>
      </c>
      <c r="K165" s="5">
        <f>20 / 86400</f>
        <v>2.3148148148148149E-4</v>
      </c>
      <c r="L165" s="5">
        <f>70 / 86400</f>
        <v>8.1018518518518516E-4</v>
      </c>
    </row>
    <row r="166" spans="1:12" x14ac:dyDescent="0.25">
      <c r="A166" s="3">
        <v>45699.213518518518</v>
      </c>
      <c r="B166" t="s">
        <v>172</v>
      </c>
      <c r="C166" s="3">
        <v>45699.213749999995</v>
      </c>
      <c r="D166" t="s">
        <v>172</v>
      </c>
      <c r="E166" s="4">
        <v>1.4148833632469177E-2</v>
      </c>
      <c r="F166" s="4">
        <v>347639.18817791081</v>
      </c>
      <c r="G166" s="4">
        <v>347639.20232674445</v>
      </c>
      <c r="H166" s="5">
        <f t="shared" si="0"/>
        <v>0</v>
      </c>
      <c r="I166" t="s">
        <v>128</v>
      </c>
      <c r="J166" t="s">
        <v>157</v>
      </c>
      <c r="K166" s="5">
        <f>20 / 86400</f>
        <v>2.3148148148148149E-4</v>
      </c>
      <c r="L166" s="5">
        <f>100 / 86400</f>
        <v>1.1574074074074073E-3</v>
      </c>
    </row>
    <row r="167" spans="1:12" x14ac:dyDescent="0.25">
      <c r="A167" s="3">
        <v>45699.214907407411</v>
      </c>
      <c r="B167" t="s">
        <v>172</v>
      </c>
      <c r="C167" s="3">
        <v>45699.215138888889</v>
      </c>
      <c r="D167" t="s">
        <v>172</v>
      </c>
      <c r="E167" s="4">
        <v>2.3822678327560425E-3</v>
      </c>
      <c r="F167" s="4">
        <v>347639.21317827853</v>
      </c>
      <c r="G167" s="4">
        <v>347639.21556054632</v>
      </c>
      <c r="H167" s="5">
        <f t="shared" si="0"/>
        <v>0</v>
      </c>
      <c r="I167" t="s">
        <v>57</v>
      </c>
      <c r="J167" t="s">
        <v>88</v>
      </c>
      <c r="K167" s="5">
        <f>20 / 86400</f>
        <v>2.3148148148148149E-4</v>
      </c>
      <c r="L167" s="5">
        <f>20 / 86400</f>
        <v>2.3148148148148149E-4</v>
      </c>
    </row>
    <row r="168" spans="1:12" x14ac:dyDescent="0.25">
      <c r="A168" s="3">
        <v>45699.215370370366</v>
      </c>
      <c r="B168" t="s">
        <v>170</v>
      </c>
      <c r="C168" s="3">
        <v>45699.218611111108</v>
      </c>
      <c r="D168" t="s">
        <v>101</v>
      </c>
      <c r="E168" s="4">
        <v>3.1491528884172442</v>
      </c>
      <c r="F168" s="4">
        <v>347639.33297644189</v>
      </c>
      <c r="G168" s="4">
        <v>347642.48212933028</v>
      </c>
      <c r="H168" s="5">
        <f t="shared" si="0"/>
        <v>0</v>
      </c>
      <c r="I168" t="s">
        <v>173</v>
      </c>
      <c r="J168" t="s">
        <v>174</v>
      </c>
      <c r="K168" s="5">
        <f>280 / 86400</f>
        <v>3.2407407407407406E-3</v>
      </c>
      <c r="L168" s="5">
        <f>40 / 86400</f>
        <v>4.6296296296296298E-4</v>
      </c>
    </row>
    <row r="169" spans="1:12" x14ac:dyDescent="0.25">
      <c r="A169" s="3">
        <v>45699.219074074077</v>
      </c>
      <c r="B169" t="s">
        <v>101</v>
      </c>
      <c r="C169" s="3">
        <v>45699.219537037032</v>
      </c>
      <c r="D169" t="s">
        <v>101</v>
      </c>
      <c r="E169" s="4">
        <v>1.7135424315929414E-2</v>
      </c>
      <c r="F169" s="4">
        <v>347642.49530324456</v>
      </c>
      <c r="G169" s="4">
        <v>347642.51243866893</v>
      </c>
      <c r="H169" s="5">
        <f t="shared" si="0"/>
        <v>0</v>
      </c>
      <c r="I169" t="s">
        <v>157</v>
      </c>
      <c r="J169" t="s">
        <v>57</v>
      </c>
      <c r="K169" s="5">
        <f>40 / 86400</f>
        <v>4.6296296296296298E-4</v>
      </c>
      <c r="L169" s="5">
        <f>40 / 86400</f>
        <v>4.6296296296296298E-4</v>
      </c>
    </row>
    <row r="170" spans="1:12" x14ac:dyDescent="0.25">
      <c r="A170" s="3">
        <v>45699.22</v>
      </c>
      <c r="B170" t="s">
        <v>101</v>
      </c>
      <c r="C170" s="3">
        <v>45699.221157407403</v>
      </c>
      <c r="D170" t="s">
        <v>101</v>
      </c>
      <c r="E170" s="4">
        <v>0.93629662996530538</v>
      </c>
      <c r="F170" s="4">
        <v>347642.51951958606</v>
      </c>
      <c r="G170" s="4">
        <v>347643.45581621607</v>
      </c>
      <c r="H170" s="5">
        <f t="shared" si="0"/>
        <v>0</v>
      </c>
      <c r="I170" t="s">
        <v>175</v>
      </c>
      <c r="J170" t="s">
        <v>166</v>
      </c>
      <c r="K170" s="5">
        <f>100 / 86400</f>
        <v>1.1574074074074073E-3</v>
      </c>
      <c r="L170" s="5">
        <f>29 / 86400</f>
        <v>3.3564814814814812E-4</v>
      </c>
    </row>
    <row r="171" spans="1:12" x14ac:dyDescent="0.25">
      <c r="A171" s="3">
        <v>45699.221493055556</v>
      </c>
      <c r="B171" t="s">
        <v>101</v>
      </c>
      <c r="C171" s="3">
        <v>45699.222650462965</v>
      </c>
      <c r="D171" t="s">
        <v>116</v>
      </c>
      <c r="E171" s="4">
        <v>1.2634839824438096</v>
      </c>
      <c r="F171" s="4">
        <v>347643.4623470729</v>
      </c>
      <c r="G171" s="4">
        <v>347644.72583105532</v>
      </c>
      <c r="H171" s="5">
        <f t="shared" si="0"/>
        <v>0</v>
      </c>
      <c r="I171" t="s">
        <v>110</v>
      </c>
      <c r="J171" t="s">
        <v>176</v>
      </c>
      <c r="K171" s="5">
        <f>100 / 86400</f>
        <v>1.1574074074074073E-3</v>
      </c>
      <c r="L171" s="5">
        <f>16 / 86400</f>
        <v>1.8518518518518518E-4</v>
      </c>
    </row>
    <row r="172" spans="1:12" x14ac:dyDescent="0.25">
      <c r="A172" s="3">
        <v>45699.22283564815</v>
      </c>
      <c r="B172" t="s">
        <v>116</v>
      </c>
      <c r="C172" s="3">
        <v>45699.223773148144</v>
      </c>
      <c r="D172" t="s">
        <v>116</v>
      </c>
      <c r="E172" s="4">
        <v>0.62339458400011061</v>
      </c>
      <c r="F172" s="4">
        <v>347644.73654244206</v>
      </c>
      <c r="G172" s="4">
        <v>347645.35993702611</v>
      </c>
      <c r="H172" s="5">
        <f t="shared" si="0"/>
        <v>0</v>
      </c>
      <c r="I172" t="s">
        <v>177</v>
      </c>
      <c r="J172" t="s">
        <v>178</v>
      </c>
      <c r="K172" s="5">
        <f>81 / 86400</f>
        <v>9.3749999999999997E-4</v>
      </c>
      <c r="L172" s="5">
        <f>17 / 86400</f>
        <v>1.9675925925925926E-4</v>
      </c>
    </row>
    <row r="173" spans="1:12" x14ac:dyDescent="0.25">
      <c r="A173" s="3">
        <v>45699.223969907413</v>
      </c>
      <c r="B173" t="s">
        <v>116</v>
      </c>
      <c r="C173" s="3">
        <v>45699.224652777775</v>
      </c>
      <c r="D173" t="s">
        <v>179</v>
      </c>
      <c r="E173" s="4">
        <v>0.79917446923255919</v>
      </c>
      <c r="F173" s="4">
        <v>347645.36345102638</v>
      </c>
      <c r="G173" s="4">
        <v>347646.16262549564</v>
      </c>
      <c r="H173" s="5">
        <f t="shared" si="0"/>
        <v>0</v>
      </c>
      <c r="I173" t="s">
        <v>36</v>
      </c>
      <c r="J173" t="s">
        <v>180</v>
      </c>
      <c r="K173" s="5">
        <f>59 / 86400</f>
        <v>6.8287037037037036E-4</v>
      </c>
      <c r="L173" s="5">
        <f>20 / 86400</f>
        <v>2.3148148148148149E-4</v>
      </c>
    </row>
    <row r="174" spans="1:12" x14ac:dyDescent="0.25">
      <c r="A174" s="3">
        <v>45699.22488425926</v>
      </c>
      <c r="B174" t="s">
        <v>116</v>
      </c>
      <c r="C174" s="3">
        <v>45699.225347222222</v>
      </c>
      <c r="D174" t="s">
        <v>116</v>
      </c>
      <c r="E174" s="4">
        <v>0.42293068641424181</v>
      </c>
      <c r="F174" s="4">
        <v>347646.17329590966</v>
      </c>
      <c r="G174" s="4">
        <v>347646.59622659604</v>
      </c>
      <c r="H174" s="5">
        <f t="shared" si="0"/>
        <v>0</v>
      </c>
      <c r="I174" t="s">
        <v>175</v>
      </c>
      <c r="J174" t="s">
        <v>154</v>
      </c>
      <c r="K174" s="5">
        <f>40 / 86400</f>
        <v>4.6296296296296298E-4</v>
      </c>
      <c r="L174" s="5">
        <f>20 / 86400</f>
        <v>2.3148148148148149E-4</v>
      </c>
    </row>
    <row r="175" spans="1:12" x14ac:dyDescent="0.25">
      <c r="A175" s="3">
        <v>45699.225578703699</v>
      </c>
      <c r="B175" t="s">
        <v>116</v>
      </c>
      <c r="C175" s="3">
        <v>45699.226273148146</v>
      </c>
      <c r="D175" t="s">
        <v>181</v>
      </c>
      <c r="E175" s="4">
        <v>0.33065716826915742</v>
      </c>
      <c r="F175" s="4">
        <v>347646.70811064937</v>
      </c>
      <c r="G175" s="4">
        <v>347647.0387678176</v>
      </c>
      <c r="H175" s="5">
        <f t="shared" si="0"/>
        <v>0</v>
      </c>
      <c r="I175" t="s">
        <v>182</v>
      </c>
      <c r="J175" t="s">
        <v>152</v>
      </c>
      <c r="K175" s="5">
        <f>60 / 86400</f>
        <v>6.9444444444444447E-4</v>
      </c>
      <c r="L175" s="5">
        <f>16 / 86400</f>
        <v>1.8518518518518518E-4</v>
      </c>
    </row>
    <row r="176" spans="1:12" x14ac:dyDescent="0.25">
      <c r="A176" s="3">
        <v>45699.226458333331</v>
      </c>
      <c r="B176" t="s">
        <v>181</v>
      </c>
      <c r="C176" s="3">
        <v>45699.227847222224</v>
      </c>
      <c r="D176" t="s">
        <v>181</v>
      </c>
      <c r="E176" s="4">
        <v>4.8675929725170139E-2</v>
      </c>
      <c r="F176" s="4">
        <v>347647.04181689379</v>
      </c>
      <c r="G176" s="4">
        <v>347647.09049282357</v>
      </c>
      <c r="H176" s="5">
        <f t="shared" si="0"/>
        <v>0</v>
      </c>
      <c r="I176" t="s">
        <v>148</v>
      </c>
      <c r="J176" t="s">
        <v>29</v>
      </c>
      <c r="K176" s="5">
        <f>120 / 86400</f>
        <v>1.3888888888888889E-3</v>
      </c>
      <c r="L176" s="5">
        <f>20 / 86400</f>
        <v>2.3148148148148149E-4</v>
      </c>
    </row>
    <row r="177" spans="1:12" x14ac:dyDescent="0.25">
      <c r="A177" s="3">
        <v>45699.228078703702</v>
      </c>
      <c r="B177" t="s">
        <v>181</v>
      </c>
      <c r="C177" s="3">
        <v>45699.230925925927</v>
      </c>
      <c r="D177" t="s">
        <v>87</v>
      </c>
      <c r="E177" s="4">
        <v>2.5125280160307883</v>
      </c>
      <c r="F177" s="4">
        <v>347647.09616993484</v>
      </c>
      <c r="G177" s="4">
        <v>347649.6086979509</v>
      </c>
      <c r="H177" s="5">
        <f t="shared" si="0"/>
        <v>0</v>
      </c>
      <c r="I177" t="s">
        <v>36</v>
      </c>
      <c r="J177" t="s">
        <v>147</v>
      </c>
      <c r="K177" s="5">
        <f>246 / 86400</f>
        <v>2.8472222222222223E-3</v>
      </c>
      <c r="L177" s="5">
        <f>10 / 86400</f>
        <v>1.1574074074074075E-4</v>
      </c>
    </row>
    <row r="178" spans="1:12" x14ac:dyDescent="0.25">
      <c r="A178" s="3">
        <v>45699.231041666666</v>
      </c>
      <c r="B178" t="s">
        <v>87</v>
      </c>
      <c r="C178" s="3">
        <v>45699.231967592597</v>
      </c>
      <c r="D178" t="s">
        <v>87</v>
      </c>
      <c r="E178" s="4">
        <v>0.7216498867273331</v>
      </c>
      <c r="F178" s="4">
        <v>347649.61315572157</v>
      </c>
      <c r="G178" s="4">
        <v>347650.33480560826</v>
      </c>
      <c r="H178" s="5">
        <f t="shared" si="0"/>
        <v>0</v>
      </c>
      <c r="I178" t="s">
        <v>183</v>
      </c>
      <c r="J178" t="s">
        <v>184</v>
      </c>
      <c r="K178" s="5">
        <f>80 / 86400</f>
        <v>9.2592592592592596E-4</v>
      </c>
      <c r="L178" s="5">
        <f>20 / 86400</f>
        <v>2.3148148148148149E-4</v>
      </c>
    </row>
    <row r="179" spans="1:12" x14ac:dyDescent="0.25">
      <c r="A179" s="3">
        <v>45699.232199074075</v>
      </c>
      <c r="B179" t="s">
        <v>87</v>
      </c>
      <c r="C179" s="3">
        <v>45699.232893518521</v>
      </c>
      <c r="D179" t="s">
        <v>185</v>
      </c>
      <c r="E179" s="4">
        <v>0.4471304638385773</v>
      </c>
      <c r="F179" s="4">
        <v>347650.35009096458</v>
      </c>
      <c r="G179" s="4">
        <v>347650.79722142837</v>
      </c>
      <c r="H179" s="5">
        <f t="shared" si="0"/>
        <v>0</v>
      </c>
      <c r="I179" t="s">
        <v>186</v>
      </c>
      <c r="J179" t="s">
        <v>143</v>
      </c>
      <c r="K179" s="5">
        <f>60 / 86400</f>
        <v>6.9444444444444447E-4</v>
      </c>
      <c r="L179" s="5">
        <f>20 / 86400</f>
        <v>2.3148148148148149E-4</v>
      </c>
    </row>
    <row r="180" spans="1:12" x14ac:dyDescent="0.25">
      <c r="A180" s="3">
        <v>45699.233124999999</v>
      </c>
      <c r="B180" t="s">
        <v>187</v>
      </c>
      <c r="C180" s="3">
        <v>45699.23474537037</v>
      </c>
      <c r="D180" t="s">
        <v>188</v>
      </c>
      <c r="E180" s="4">
        <v>0.60099674034118655</v>
      </c>
      <c r="F180" s="4">
        <v>347650.96731023426</v>
      </c>
      <c r="G180" s="4">
        <v>347651.5683069746</v>
      </c>
      <c r="H180" s="5">
        <f t="shared" si="0"/>
        <v>0</v>
      </c>
      <c r="I180" t="s">
        <v>184</v>
      </c>
      <c r="J180" t="s">
        <v>19</v>
      </c>
      <c r="K180" s="5">
        <f>140 / 86400</f>
        <v>1.6203703703703703E-3</v>
      </c>
      <c r="L180" s="5">
        <f>20 / 86400</f>
        <v>2.3148148148148149E-4</v>
      </c>
    </row>
    <row r="181" spans="1:12" x14ac:dyDescent="0.25">
      <c r="A181" s="3">
        <v>45699.234976851847</v>
      </c>
      <c r="B181" t="s">
        <v>188</v>
      </c>
      <c r="C181" s="3">
        <v>45699.235358796301</v>
      </c>
      <c r="D181" t="s">
        <v>189</v>
      </c>
      <c r="E181" s="4">
        <v>6.0646952033042906E-2</v>
      </c>
      <c r="F181" s="4">
        <v>347651.57316785801</v>
      </c>
      <c r="G181" s="4">
        <v>347651.63381481002</v>
      </c>
      <c r="H181" s="5">
        <f t="shared" si="0"/>
        <v>0</v>
      </c>
      <c r="I181" t="s">
        <v>148</v>
      </c>
      <c r="J181" t="s">
        <v>28</v>
      </c>
      <c r="K181" s="5">
        <f>33 / 86400</f>
        <v>3.8194444444444446E-4</v>
      </c>
      <c r="L181" s="5">
        <f>45 / 86400</f>
        <v>5.2083333333333333E-4</v>
      </c>
    </row>
    <row r="182" spans="1:12" x14ac:dyDescent="0.25">
      <c r="A182" s="3">
        <v>45699.235879629632</v>
      </c>
      <c r="B182" t="s">
        <v>190</v>
      </c>
      <c r="C182" s="3">
        <v>45699.236111111109</v>
      </c>
      <c r="D182" t="s">
        <v>191</v>
      </c>
      <c r="E182" s="4">
        <v>3.4849005937576297E-2</v>
      </c>
      <c r="F182" s="4">
        <v>347651.64747192437</v>
      </c>
      <c r="G182" s="4">
        <v>347651.6823209303</v>
      </c>
      <c r="H182" s="5">
        <f t="shared" si="0"/>
        <v>0</v>
      </c>
      <c r="I182" t="s">
        <v>148</v>
      </c>
      <c r="J182" t="s">
        <v>128</v>
      </c>
      <c r="K182" s="5">
        <f>20 / 86400</f>
        <v>2.3148148148148149E-4</v>
      </c>
      <c r="L182" s="5">
        <f>20 / 86400</f>
        <v>2.3148148148148149E-4</v>
      </c>
    </row>
    <row r="183" spans="1:12" x14ac:dyDescent="0.25">
      <c r="A183" s="3">
        <v>45699.236342592594</v>
      </c>
      <c r="B183" t="s">
        <v>190</v>
      </c>
      <c r="C183" s="3">
        <v>45699.238275462965</v>
      </c>
      <c r="D183" t="s">
        <v>190</v>
      </c>
      <c r="E183" s="4">
        <v>1.1310431212186813</v>
      </c>
      <c r="F183" s="4">
        <v>347651.81128828169</v>
      </c>
      <c r="G183" s="4">
        <v>347652.94233140291</v>
      </c>
      <c r="H183" s="5">
        <f t="shared" si="0"/>
        <v>0</v>
      </c>
      <c r="I183" t="s">
        <v>110</v>
      </c>
      <c r="J183" t="s">
        <v>130</v>
      </c>
      <c r="K183" s="5">
        <f>167 / 86400</f>
        <v>1.9328703703703704E-3</v>
      </c>
      <c r="L183" s="5">
        <f>53 / 86400</f>
        <v>6.134259259259259E-4</v>
      </c>
    </row>
    <row r="184" spans="1:12" x14ac:dyDescent="0.25">
      <c r="A184" s="3">
        <v>45699.238888888889</v>
      </c>
      <c r="B184" t="s">
        <v>190</v>
      </c>
      <c r="C184" s="3">
        <v>45699.239432870367</v>
      </c>
      <c r="D184" t="s">
        <v>190</v>
      </c>
      <c r="E184" s="4">
        <v>0.19359130793809889</v>
      </c>
      <c r="F184" s="4">
        <v>347652.95450700866</v>
      </c>
      <c r="G184" s="4">
        <v>347653.14809831663</v>
      </c>
      <c r="H184" s="5">
        <f t="shared" si="0"/>
        <v>0</v>
      </c>
      <c r="I184" t="s">
        <v>127</v>
      </c>
      <c r="J184" t="s">
        <v>19</v>
      </c>
      <c r="K184" s="5">
        <f>47 / 86400</f>
        <v>5.4398148148148144E-4</v>
      </c>
      <c r="L184" s="5">
        <f>33 / 86400</f>
        <v>3.8194444444444446E-4</v>
      </c>
    </row>
    <row r="185" spans="1:12" x14ac:dyDescent="0.25">
      <c r="A185" s="3">
        <v>45699.239814814813</v>
      </c>
      <c r="B185" t="s">
        <v>190</v>
      </c>
      <c r="C185" s="3">
        <v>45699.24282407407</v>
      </c>
      <c r="D185" t="s">
        <v>192</v>
      </c>
      <c r="E185" s="4">
        <v>2.3568022724986077</v>
      </c>
      <c r="F185" s="4">
        <v>347653.15487814462</v>
      </c>
      <c r="G185" s="4">
        <v>347655.51168041711</v>
      </c>
      <c r="H185" s="5">
        <f t="shared" si="0"/>
        <v>0</v>
      </c>
      <c r="I185" t="s">
        <v>177</v>
      </c>
      <c r="J185" t="s">
        <v>193</v>
      </c>
      <c r="K185" s="5">
        <f>260 / 86400</f>
        <v>3.0092592592592593E-3</v>
      </c>
      <c r="L185" s="5">
        <f>20 / 86400</f>
        <v>2.3148148148148149E-4</v>
      </c>
    </row>
    <row r="186" spans="1:12" x14ac:dyDescent="0.25">
      <c r="A186" s="3">
        <v>45699.243055555555</v>
      </c>
      <c r="B186" t="s">
        <v>192</v>
      </c>
      <c r="C186" s="3">
        <v>45699.245243055557</v>
      </c>
      <c r="D186" t="s">
        <v>194</v>
      </c>
      <c r="E186" s="4">
        <v>1.4950247040987015</v>
      </c>
      <c r="F186" s="4">
        <v>347655.53822835203</v>
      </c>
      <c r="G186" s="4">
        <v>347657.03325305611</v>
      </c>
      <c r="H186" s="5">
        <f t="shared" si="0"/>
        <v>0</v>
      </c>
      <c r="I186" t="s">
        <v>111</v>
      </c>
      <c r="J186" t="s">
        <v>178</v>
      </c>
      <c r="K186" s="5">
        <f>189 / 86400</f>
        <v>2.1875000000000002E-3</v>
      </c>
      <c r="L186" s="5">
        <f>20 / 86400</f>
        <v>2.3148148148148149E-4</v>
      </c>
    </row>
    <row r="187" spans="1:12" x14ac:dyDescent="0.25">
      <c r="A187" s="3">
        <v>45699.245474537034</v>
      </c>
      <c r="B187" t="s">
        <v>195</v>
      </c>
      <c r="C187" s="3">
        <v>45699.246400462958</v>
      </c>
      <c r="D187" t="s">
        <v>195</v>
      </c>
      <c r="E187" s="4">
        <v>0.47374653291702268</v>
      </c>
      <c r="F187" s="4">
        <v>347657.12304866983</v>
      </c>
      <c r="G187" s="4">
        <v>347657.59679520276</v>
      </c>
      <c r="H187" s="5">
        <f t="shared" si="0"/>
        <v>0</v>
      </c>
      <c r="I187" t="s">
        <v>180</v>
      </c>
      <c r="J187" t="s">
        <v>108</v>
      </c>
      <c r="K187" s="5">
        <f>80 / 86400</f>
        <v>9.2592592592592596E-4</v>
      </c>
      <c r="L187" s="5">
        <f>20 / 86400</f>
        <v>2.3148148148148149E-4</v>
      </c>
    </row>
    <row r="188" spans="1:12" x14ac:dyDescent="0.25">
      <c r="A188" s="3">
        <v>45699.246631944443</v>
      </c>
      <c r="B188" t="s">
        <v>195</v>
      </c>
      <c r="C188" s="3">
        <v>45699.24732638889</v>
      </c>
      <c r="D188" t="s">
        <v>196</v>
      </c>
      <c r="E188" s="4">
        <v>0.60529466444253921</v>
      </c>
      <c r="F188" s="4">
        <v>347657.60225310334</v>
      </c>
      <c r="G188" s="4">
        <v>347658.20754776779</v>
      </c>
      <c r="H188" s="5">
        <f t="shared" si="0"/>
        <v>0</v>
      </c>
      <c r="I188" t="s">
        <v>197</v>
      </c>
      <c r="J188" t="s">
        <v>198</v>
      </c>
      <c r="K188" s="5">
        <f>60 / 86400</f>
        <v>6.9444444444444447E-4</v>
      </c>
      <c r="L188" s="5">
        <f>60 / 86400</f>
        <v>6.9444444444444447E-4</v>
      </c>
    </row>
    <row r="189" spans="1:12" x14ac:dyDescent="0.25">
      <c r="A189" s="3">
        <v>45699.248020833329</v>
      </c>
      <c r="B189" t="s">
        <v>196</v>
      </c>
      <c r="C189" s="3">
        <v>45699.249166666668</v>
      </c>
      <c r="D189" t="s">
        <v>199</v>
      </c>
      <c r="E189" s="4">
        <v>0.53443538796901702</v>
      </c>
      <c r="F189" s="4">
        <v>347658.21342962584</v>
      </c>
      <c r="G189" s="4">
        <v>347658.74786501384</v>
      </c>
      <c r="H189" s="5">
        <f t="shared" si="0"/>
        <v>0</v>
      </c>
      <c r="I189" t="s">
        <v>200</v>
      </c>
      <c r="J189" t="s">
        <v>22</v>
      </c>
      <c r="K189" s="5">
        <f>99 / 86400</f>
        <v>1.1458333333333333E-3</v>
      </c>
      <c r="L189" s="5">
        <f>17 / 86400</f>
        <v>1.9675925925925926E-4</v>
      </c>
    </row>
    <row r="190" spans="1:12" x14ac:dyDescent="0.25">
      <c r="A190" s="3">
        <v>45699.24936342593</v>
      </c>
      <c r="B190" t="s">
        <v>199</v>
      </c>
      <c r="C190" s="3">
        <v>45699.250173611115</v>
      </c>
      <c r="D190" t="s">
        <v>201</v>
      </c>
      <c r="E190" s="4">
        <v>0.55868138873577122</v>
      </c>
      <c r="F190" s="4">
        <v>347658.74971956492</v>
      </c>
      <c r="G190" s="4">
        <v>347659.30840095365</v>
      </c>
      <c r="H190" s="5">
        <f t="shared" si="0"/>
        <v>0</v>
      </c>
      <c r="I190" t="s">
        <v>202</v>
      </c>
      <c r="J190" t="s">
        <v>203</v>
      </c>
      <c r="K190" s="5">
        <f>70 / 86400</f>
        <v>8.1018518518518516E-4</v>
      </c>
      <c r="L190" s="5">
        <f>5 / 86400</f>
        <v>5.7870370370370373E-5</v>
      </c>
    </row>
    <row r="191" spans="1:12" x14ac:dyDescent="0.25">
      <c r="A191" s="3">
        <v>45699.250231481477</v>
      </c>
      <c r="B191" t="s">
        <v>201</v>
      </c>
      <c r="C191" s="3">
        <v>45699.252708333333</v>
      </c>
      <c r="D191" t="s">
        <v>150</v>
      </c>
      <c r="E191" s="4">
        <v>1.3272240129113198</v>
      </c>
      <c r="F191" s="4">
        <v>347659.31131042185</v>
      </c>
      <c r="G191" s="4">
        <v>347660.63853443472</v>
      </c>
      <c r="H191" s="5">
        <f t="shared" si="0"/>
        <v>0</v>
      </c>
      <c r="I191" t="s">
        <v>182</v>
      </c>
      <c r="J191" t="s">
        <v>34</v>
      </c>
      <c r="K191" s="5">
        <f>214 / 86400</f>
        <v>2.476851851851852E-3</v>
      </c>
      <c r="L191" s="5">
        <f>69 / 86400</f>
        <v>7.9861111111111116E-4</v>
      </c>
    </row>
    <row r="192" spans="1:12" x14ac:dyDescent="0.25">
      <c r="A192" s="3">
        <v>45699.253506944442</v>
      </c>
      <c r="B192" t="s">
        <v>150</v>
      </c>
      <c r="C192" s="3">
        <v>45699.262291666666</v>
      </c>
      <c r="D192" t="s">
        <v>204</v>
      </c>
      <c r="E192" s="4">
        <v>3.4331153754591943</v>
      </c>
      <c r="F192" s="4">
        <v>347660.65077351558</v>
      </c>
      <c r="G192" s="4">
        <v>347664.08388889104</v>
      </c>
      <c r="H192" s="5">
        <f t="shared" si="0"/>
        <v>0</v>
      </c>
      <c r="I192" t="s">
        <v>156</v>
      </c>
      <c r="J192" t="s">
        <v>37</v>
      </c>
      <c r="K192" s="5">
        <f>759 / 86400</f>
        <v>8.7847222222222215E-3</v>
      </c>
      <c r="L192" s="5">
        <f>18 / 86400</f>
        <v>2.0833333333333335E-4</v>
      </c>
    </row>
    <row r="193" spans="1:12" x14ac:dyDescent="0.25">
      <c r="A193" s="3">
        <v>45699.262499999997</v>
      </c>
      <c r="B193" t="s">
        <v>205</v>
      </c>
      <c r="C193" s="3">
        <v>45699.262962962966</v>
      </c>
      <c r="D193" t="s">
        <v>205</v>
      </c>
      <c r="E193" s="4">
        <v>7.3338310658931732E-2</v>
      </c>
      <c r="F193" s="4">
        <v>347664.11623026506</v>
      </c>
      <c r="G193" s="4">
        <v>347664.18956857576</v>
      </c>
      <c r="H193" s="5">
        <f t="shared" si="0"/>
        <v>0</v>
      </c>
      <c r="I193" t="s">
        <v>134</v>
      </c>
      <c r="J193" t="s">
        <v>28</v>
      </c>
      <c r="K193" s="5">
        <f>40 / 86400</f>
        <v>4.6296296296296298E-4</v>
      </c>
      <c r="L193" s="5">
        <f>20 / 86400</f>
        <v>2.3148148148148149E-4</v>
      </c>
    </row>
    <row r="194" spans="1:12" x14ac:dyDescent="0.25">
      <c r="A194" s="3">
        <v>45699.263194444444</v>
      </c>
      <c r="B194" t="s">
        <v>205</v>
      </c>
      <c r="C194" s="3">
        <v>45699.264907407407</v>
      </c>
      <c r="D194" t="s">
        <v>206</v>
      </c>
      <c r="E194" s="4">
        <v>0.67174105787277216</v>
      </c>
      <c r="F194" s="4">
        <v>347664.19139544928</v>
      </c>
      <c r="G194" s="4">
        <v>347664.86313650716</v>
      </c>
      <c r="H194" s="5">
        <f t="shared" si="0"/>
        <v>0</v>
      </c>
      <c r="I194" t="s">
        <v>200</v>
      </c>
      <c r="J194" t="s">
        <v>37</v>
      </c>
      <c r="K194" s="5">
        <f>148 / 86400</f>
        <v>1.712962962962963E-3</v>
      </c>
      <c r="L194" s="5">
        <f>79 / 86400</f>
        <v>9.1435185185185185E-4</v>
      </c>
    </row>
    <row r="195" spans="1:12" x14ac:dyDescent="0.25">
      <c r="A195" s="3">
        <v>45699.265821759254</v>
      </c>
      <c r="B195" t="s">
        <v>206</v>
      </c>
      <c r="C195" s="3">
        <v>45699.267245370371</v>
      </c>
      <c r="D195" t="s">
        <v>207</v>
      </c>
      <c r="E195" s="4">
        <v>0.52623310762643816</v>
      </c>
      <c r="F195" s="4">
        <v>347664.88140061952</v>
      </c>
      <c r="G195" s="4">
        <v>347665.40763372713</v>
      </c>
      <c r="H195" s="5">
        <f t="shared" si="0"/>
        <v>0</v>
      </c>
      <c r="I195" t="s">
        <v>174</v>
      </c>
      <c r="J195" t="s">
        <v>19</v>
      </c>
      <c r="K195" s="5">
        <f>123 / 86400</f>
        <v>1.4236111111111112E-3</v>
      </c>
      <c r="L195" s="5">
        <f>45 / 86400</f>
        <v>5.2083333333333333E-4</v>
      </c>
    </row>
    <row r="196" spans="1:12" x14ac:dyDescent="0.25">
      <c r="A196" s="3">
        <v>45699.267766203702</v>
      </c>
      <c r="B196" t="s">
        <v>207</v>
      </c>
      <c r="C196" s="3">
        <v>45699.270069444443</v>
      </c>
      <c r="D196" t="s">
        <v>70</v>
      </c>
      <c r="E196" s="4">
        <v>1.6917445414066314</v>
      </c>
      <c r="F196" s="4">
        <v>347665.41131350177</v>
      </c>
      <c r="G196" s="4">
        <v>347667.10305804317</v>
      </c>
      <c r="H196" s="5">
        <f t="shared" si="0"/>
        <v>0</v>
      </c>
      <c r="I196" t="s">
        <v>139</v>
      </c>
      <c r="J196" t="s">
        <v>124</v>
      </c>
      <c r="K196" s="5">
        <f>199 / 86400</f>
        <v>2.3032407407407407E-3</v>
      </c>
      <c r="L196" s="5">
        <f>15 / 86400</f>
        <v>1.7361111111111112E-4</v>
      </c>
    </row>
    <row r="197" spans="1:12" x14ac:dyDescent="0.25">
      <c r="A197" s="3">
        <v>45699.270243055551</v>
      </c>
      <c r="B197" t="s">
        <v>208</v>
      </c>
      <c r="C197" s="3">
        <v>45699.271481481483</v>
      </c>
      <c r="D197" t="s">
        <v>209</v>
      </c>
      <c r="E197" s="4">
        <v>0.72837196463346476</v>
      </c>
      <c r="F197" s="4">
        <v>347667.43333240144</v>
      </c>
      <c r="G197" s="4">
        <v>347668.1617043661</v>
      </c>
      <c r="H197" s="5">
        <f t="shared" si="0"/>
        <v>0</v>
      </c>
      <c r="I197" t="s">
        <v>210</v>
      </c>
      <c r="J197" t="s">
        <v>141</v>
      </c>
      <c r="K197" s="5">
        <f>107 / 86400</f>
        <v>1.238425925925926E-3</v>
      </c>
      <c r="L197" s="5">
        <f>36 / 86400</f>
        <v>4.1666666666666669E-4</v>
      </c>
    </row>
    <row r="198" spans="1:12" x14ac:dyDescent="0.25">
      <c r="A198" s="3">
        <v>45699.271898148145</v>
      </c>
      <c r="B198" t="s">
        <v>211</v>
      </c>
      <c r="C198" s="3">
        <v>45699.272361111114</v>
      </c>
      <c r="D198" t="s">
        <v>212</v>
      </c>
      <c r="E198" s="4">
        <v>0.23250419855117799</v>
      </c>
      <c r="F198" s="4">
        <v>347668.17791541817</v>
      </c>
      <c r="G198" s="4">
        <v>347668.41041961667</v>
      </c>
      <c r="H198" s="5">
        <f t="shared" si="0"/>
        <v>0</v>
      </c>
      <c r="I198" t="s">
        <v>166</v>
      </c>
      <c r="J198" t="s">
        <v>108</v>
      </c>
      <c r="K198" s="5">
        <f>40 / 86400</f>
        <v>4.6296296296296298E-4</v>
      </c>
      <c r="L198" s="5">
        <f>40 / 86400</f>
        <v>4.6296296296296298E-4</v>
      </c>
    </row>
    <row r="199" spans="1:12" x14ac:dyDescent="0.25">
      <c r="A199" s="3">
        <v>45699.272824074069</v>
      </c>
      <c r="B199" t="s">
        <v>213</v>
      </c>
      <c r="C199" s="3">
        <v>45699.274259259255</v>
      </c>
      <c r="D199" t="s">
        <v>214</v>
      </c>
      <c r="E199" s="4">
        <v>0.72477746558189393</v>
      </c>
      <c r="F199" s="4">
        <v>347668.50986667443</v>
      </c>
      <c r="G199" s="4">
        <v>347669.23464414</v>
      </c>
      <c r="H199" s="5">
        <f t="shared" si="0"/>
        <v>0</v>
      </c>
      <c r="I199" t="s">
        <v>215</v>
      </c>
      <c r="J199" t="s">
        <v>108</v>
      </c>
      <c r="K199" s="5">
        <f>124 / 86400</f>
        <v>1.4351851851851852E-3</v>
      </c>
      <c r="L199" s="5">
        <f>80 / 86400</f>
        <v>9.2592592592592596E-4</v>
      </c>
    </row>
    <row r="200" spans="1:12" x14ac:dyDescent="0.25">
      <c r="A200" s="3">
        <v>45699.275185185186</v>
      </c>
      <c r="B200" t="s">
        <v>214</v>
      </c>
      <c r="C200" s="3">
        <v>45699.278831018513</v>
      </c>
      <c r="D200" t="s">
        <v>216</v>
      </c>
      <c r="E200" s="4">
        <v>1.1862385106682778</v>
      </c>
      <c r="F200" s="4">
        <v>347669.24399204284</v>
      </c>
      <c r="G200" s="4">
        <v>347670.43023055349</v>
      </c>
      <c r="H200" s="5">
        <f t="shared" si="0"/>
        <v>0</v>
      </c>
      <c r="I200" t="s">
        <v>162</v>
      </c>
      <c r="J200" t="s">
        <v>31</v>
      </c>
      <c r="K200" s="5">
        <f>315 / 86400</f>
        <v>3.6458333333333334E-3</v>
      </c>
      <c r="L200" s="5">
        <f>9 / 86400</f>
        <v>1.0416666666666667E-4</v>
      </c>
    </row>
    <row r="201" spans="1:12" x14ac:dyDescent="0.25">
      <c r="A201" s="3">
        <v>45699.278935185182</v>
      </c>
      <c r="B201" t="s">
        <v>216</v>
      </c>
      <c r="C201" s="3">
        <v>45699.279456018514</v>
      </c>
      <c r="D201" t="s">
        <v>217</v>
      </c>
      <c r="E201" s="4">
        <v>0.17928893971443177</v>
      </c>
      <c r="F201" s="4">
        <v>347670.43215650023</v>
      </c>
      <c r="G201" s="4">
        <v>347670.61144543992</v>
      </c>
      <c r="H201" s="5">
        <f t="shared" si="0"/>
        <v>0</v>
      </c>
      <c r="I201" t="s">
        <v>202</v>
      </c>
      <c r="J201" t="s">
        <v>31</v>
      </c>
      <c r="K201" s="5">
        <f>45 / 86400</f>
        <v>5.2083333333333333E-4</v>
      </c>
      <c r="L201" s="5">
        <f>9 / 86400</f>
        <v>1.0416666666666667E-4</v>
      </c>
    </row>
    <row r="202" spans="1:12" x14ac:dyDescent="0.25">
      <c r="A202" s="3">
        <v>45699.279560185183</v>
      </c>
      <c r="B202" t="s">
        <v>217</v>
      </c>
      <c r="C202" s="3">
        <v>45699.280081018514</v>
      </c>
      <c r="D202" t="s">
        <v>218</v>
      </c>
      <c r="E202" s="4">
        <v>0.14386666017770766</v>
      </c>
      <c r="F202" s="4">
        <v>347670.61754824448</v>
      </c>
      <c r="G202" s="4">
        <v>347670.76141490467</v>
      </c>
      <c r="H202" s="5">
        <f t="shared" si="0"/>
        <v>0</v>
      </c>
      <c r="I202" t="s">
        <v>56</v>
      </c>
      <c r="J202" t="s">
        <v>131</v>
      </c>
      <c r="K202" s="5">
        <f>45 / 86400</f>
        <v>5.2083333333333333E-4</v>
      </c>
      <c r="L202" s="5">
        <f>20 / 86400</f>
        <v>2.3148148148148149E-4</v>
      </c>
    </row>
    <row r="203" spans="1:12" x14ac:dyDescent="0.25">
      <c r="A203" s="3">
        <v>45699.280312499999</v>
      </c>
      <c r="B203" t="s">
        <v>218</v>
      </c>
      <c r="C203" s="3">
        <v>45699.280648148153</v>
      </c>
      <c r="D203" t="s">
        <v>219</v>
      </c>
      <c r="E203" s="4">
        <v>5.0485907196998595E-2</v>
      </c>
      <c r="F203" s="4">
        <v>347670.76696025714</v>
      </c>
      <c r="G203" s="4">
        <v>347670.81744616432</v>
      </c>
      <c r="H203" s="5">
        <f t="shared" si="0"/>
        <v>0</v>
      </c>
      <c r="I203" t="s">
        <v>134</v>
      </c>
      <c r="J203" t="s">
        <v>128</v>
      </c>
      <c r="K203" s="5">
        <f>29 / 86400</f>
        <v>3.3564814814814812E-4</v>
      </c>
      <c r="L203" s="5">
        <f>160 / 86400</f>
        <v>1.8518518518518519E-3</v>
      </c>
    </row>
    <row r="204" spans="1:12" x14ac:dyDescent="0.25">
      <c r="A204" s="3">
        <v>45699.282500000001</v>
      </c>
      <c r="B204" t="s">
        <v>219</v>
      </c>
      <c r="C204" s="3">
        <v>45699.282731481479</v>
      </c>
      <c r="D204" t="s">
        <v>218</v>
      </c>
      <c r="E204" s="4">
        <v>1.0680638432502746E-2</v>
      </c>
      <c r="F204" s="4">
        <v>347670.85550312587</v>
      </c>
      <c r="G204" s="4">
        <v>347670.8661837643</v>
      </c>
      <c r="H204" s="5">
        <f t="shared" si="0"/>
        <v>0</v>
      </c>
      <c r="I204" t="s">
        <v>57</v>
      </c>
      <c r="J204" t="s">
        <v>57</v>
      </c>
      <c r="K204" s="5">
        <f>20 / 86400</f>
        <v>2.3148148148148149E-4</v>
      </c>
      <c r="L204" s="5">
        <f>20 / 86400</f>
        <v>2.3148148148148149E-4</v>
      </c>
    </row>
    <row r="205" spans="1:12" x14ac:dyDescent="0.25">
      <c r="A205" s="3">
        <v>45699.282962962963</v>
      </c>
      <c r="B205" t="s">
        <v>218</v>
      </c>
      <c r="C205" s="3">
        <v>45699.284467592588</v>
      </c>
      <c r="D205" t="s">
        <v>220</v>
      </c>
      <c r="E205" s="4">
        <v>0.23498291128873824</v>
      </c>
      <c r="F205" s="4">
        <v>347670.86761221709</v>
      </c>
      <c r="G205" s="4">
        <v>347671.10259512835</v>
      </c>
      <c r="H205" s="5">
        <f t="shared" si="0"/>
        <v>0</v>
      </c>
      <c r="I205" t="s">
        <v>152</v>
      </c>
      <c r="J205" t="s">
        <v>28</v>
      </c>
      <c r="K205" s="5">
        <f>130 / 86400</f>
        <v>1.5046296296296296E-3</v>
      </c>
      <c r="L205" s="5">
        <f>20 / 86400</f>
        <v>2.3148148148148149E-4</v>
      </c>
    </row>
    <row r="206" spans="1:12" x14ac:dyDescent="0.25">
      <c r="A206" s="3">
        <v>45699.284699074073</v>
      </c>
      <c r="B206" t="s">
        <v>220</v>
      </c>
      <c r="C206" s="3">
        <v>45699.285393518519</v>
      </c>
      <c r="D206" t="s">
        <v>216</v>
      </c>
      <c r="E206" s="4">
        <v>0.23948016655445098</v>
      </c>
      <c r="F206" s="4">
        <v>347671.11122171028</v>
      </c>
      <c r="G206" s="4">
        <v>347671.3507018768</v>
      </c>
      <c r="H206" s="5">
        <f t="shared" si="0"/>
        <v>0</v>
      </c>
      <c r="I206" t="s">
        <v>193</v>
      </c>
      <c r="J206" t="s">
        <v>31</v>
      </c>
      <c r="K206" s="5">
        <f>60 / 86400</f>
        <v>6.9444444444444447E-4</v>
      </c>
      <c r="L206" s="5">
        <f>20 / 86400</f>
        <v>2.3148148148148149E-4</v>
      </c>
    </row>
    <row r="207" spans="1:12" x14ac:dyDescent="0.25">
      <c r="A207" s="3">
        <v>45699.285625000004</v>
      </c>
      <c r="B207" t="s">
        <v>216</v>
      </c>
      <c r="C207" s="3">
        <v>45699.286423611113</v>
      </c>
      <c r="D207" t="s">
        <v>221</v>
      </c>
      <c r="E207" s="4">
        <v>6.2112718045711515E-2</v>
      </c>
      <c r="F207" s="4">
        <v>347671.37312822259</v>
      </c>
      <c r="G207" s="4">
        <v>347671.43524094066</v>
      </c>
      <c r="H207" s="5">
        <f t="shared" si="0"/>
        <v>0</v>
      </c>
      <c r="I207" t="s">
        <v>148</v>
      </c>
      <c r="J207" t="s">
        <v>157</v>
      </c>
      <c r="K207" s="5">
        <f>69 / 86400</f>
        <v>7.9861111111111116E-4</v>
      </c>
      <c r="L207" s="5">
        <f>8 / 86400</f>
        <v>9.2592592592592588E-5</v>
      </c>
    </row>
    <row r="208" spans="1:12" x14ac:dyDescent="0.25">
      <c r="A208" s="3">
        <v>45699.286516203705</v>
      </c>
      <c r="B208" t="s">
        <v>221</v>
      </c>
      <c r="C208" s="3">
        <v>45699.287210648152</v>
      </c>
      <c r="D208" t="s">
        <v>222</v>
      </c>
      <c r="E208" s="4">
        <v>0.3685321364402771</v>
      </c>
      <c r="F208" s="4">
        <v>347671.43886131869</v>
      </c>
      <c r="G208" s="4">
        <v>347671.80739345512</v>
      </c>
      <c r="H208" s="5">
        <f t="shared" si="0"/>
        <v>0</v>
      </c>
      <c r="I208" t="s">
        <v>223</v>
      </c>
      <c r="J208" t="s">
        <v>34</v>
      </c>
      <c r="K208" s="5">
        <f>60 / 86400</f>
        <v>6.9444444444444447E-4</v>
      </c>
      <c r="L208" s="5">
        <f>20 / 86400</f>
        <v>2.3148148148148149E-4</v>
      </c>
    </row>
    <row r="209" spans="1:12" x14ac:dyDescent="0.25">
      <c r="A209" s="3">
        <v>45699.287442129629</v>
      </c>
      <c r="B209" t="s">
        <v>224</v>
      </c>
      <c r="C209" s="3">
        <v>45699.288136574076</v>
      </c>
      <c r="D209" t="s">
        <v>225</v>
      </c>
      <c r="E209" s="4">
        <v>0.1954333842396736</v>
      </c>
      <c r="F209" s="4">
        <v>347671.81990439922</v>
      </c>
      <c r="G209" s="4">
        <v>347672.01533778344</v>
      </c>
      <c r="H209" s="5">
        <f t="shared" si="0"/>
        <v>0</v>
      </c>
      <c r="I209" t="s">
        <v>147</v>
      </c>
      <c r="J209" t="s">
        <v>131</v>
      </c>
      <c r="K209" s="5">
        <f>60 / 86400</f>
        <v>6.9444444444444447E-4</v>
      </c>
      <c r="L209" s="5">
        <f>20 / 86400</f>
        <v>2.3148148148148149E-4</v>
      </c>
    </row>
    <row r="210" spans="1:12" x14ac:dyDescent="0.25">
      <c r="A210" s="3">
        <v>45699.288368055553</v>
      </c>
      <c r="B210" t="s">
        <v>225</v>
      </c>
      <c r="C210" s="3">
        <v>45699.289525462962</v>
      </c>
      <c r="D210" t="s">
        <v>226</v>
      </c>
      <c r="E210" s="4">
        <v>0.36082509392499923</v>
      </c>
      <c r="F210" s="4">
        <v>347672.02727880771</v>
      </c>
      <c r="G210" s="4">
        <v>347672.38810390164</v>
      </c>
      <c r="H210" s="5">
        <f t="shared" si="0"/>
        <v>0</v>
      </c>
      <c r="I210" t="s">
        <v>141</v>
      </c>
      <c r="J210" t="s">
        <v>56</v>
      </c>
      <c r="K210" s="5">
        <f>100 / 86400</f>
        <v>1.1574074074074073E-3</v>
      </c>
      <c r="L210" s="5">
        <f>26 / 86400</f>
        <v>3.0092592592592595E-4</v>
      </c>
    </row>
    <row r="211" spans="1:12" x14ac:dyDescent="0.25">
      <c r="A211" s="3">
        <v>45699.289826388893</v>
      </c>
      <c r="B211" t="s">
        <v>226</v>
      </c>
      <c r="C211" s="3">
        <v>45699.290601851855</v>
      </c>
      <c r="D211" t="s">
        <v>227</v>
      </c>
      <c r="E211" s="4">
        <v>0.27557002776861189</v>
      </c>
      <c r="F211" s="4">
        <v>347672.39988354937</v>
      </c>
      <c r="G211" s="4">
        <v>347672.67545357713</v>
      </c>
      <c r="H211" s="5">
        <f t="shared" si="0"/>
        <v>0</v>
      </c>
      <c r="I211" t="s">
        <v>143</v>
      </c>
      <c r="J211" t="s">
        <v>19</v>
      </c>
      <c r="K211" s="5">
        <f>67 / 86400</f>
        <v>7.7546296296296293E-4</v>
      </c>
      <c r="L211" s="5">
        <f>20 / 86400</f>
        <v>2.3148148148148149E-4</v>
      </c>
    </row>
    <row r="212" spans="1:12" x14ac:dyDescent="0.25">
      <c r="A212" s="3">
        <v>45699.290833333333</v>
      </c>
      <c r="B212" t="s">
        <v>228</v>
      </c>
      <c r="C212" s="3">
        <v>45699.291527777779</v>
      </c>
      <c r="D212" t="s">
        <v>229</v>
      </c>
      <c r="E212" s="4">
        <v>0.32112627559900286</v>
      </c>
      <c r="F212" s="4">
        <v>347672.68090072565</v>
      </c>
      <c r="G212" s="4">
        <v>347673.00202700129</v>
      </c>
      <c r="H212" s="5">
        <f t="shared" si="0"/>
        <v>0</v>
      </c>
      <c r="I212" t="s">
        <v>171</v>
      </c>
      <c r="J212" t="s">
        <v>22</v>
      </c>
      <c r="K212" s="5">
        <f>60 / 86400</f>
        <v>6.9444444444444447E-4</v>
      </c>
      <c r="L212" s="5">
        <f>20 / 86400</f>
        <v>2.3148148148148149E-4</v>
      </c>
    </row>
    <row r="213" spans="1:12" x14ac:dyDescent="0.25">
      <c r="A213" s="3">
        <v>45699.291759259257</v>
      </c>
      <c r="B213" t="s">
        <v>229</v>
      </c>
      <c r="C213" s="3">
        <v>45699.292349537034</v>
      </c>
      <c r="D213" t="s">
        <v>230</v>
      </c>
      <c r="E213" s="4">
        <v>4.0945100545883177E-2</v>
      </c>
      <c r="F213" s="4">
        <v>347673.00900713057</v>
      </c>
      <c r="G213" s="4">
        <v>347673.04995223111</v>
      </c>
      <c r="H213" s="5">
        <f t="shared" si="0"/>
        <v>0</v>
      </c>
      <c r="I213" t="s">
        <v>148</v>
      </c>
      <c r="J213" t="s">
        <v>157</v>
      </c>
      <c r="K213" s="5">
        <f>51 / 86400</f>
        <v>5.9027777777777778E-4</v>
      </c>
      <c r="L213" s="5">
        <f>40 / 86400</f>
        <v>4.6296296296296298E-4</v>
      </c>
    </row>
    <row r="214" spans="1:12" x14ac:dyDescent="0.25">
      <c r="A214" s="3">
        <v>45699.292812500003</v>
      </c>
      <c r="B214" t="s">
        <v>230</v>
      </c>
      <c r="C214" s="3">
        <v>45699.293506944443</v>
      </c>
      <c r="D214" t="s">
        <v>231</v>
      </c>
      <c r="E214" s="4">
        <v>0.18476042616367341</v>
      </c>
      <c r="F214" s="4">
        <v>347673.06216528034</v>
      </c>
      <c r="G214" s="4">
        <v>347673.24692570651</v>
      </c>
      <c r="H214" s="5">
        <f t="shared" si="0"/>
        <v>0</v>
      </c>
      <c r="I214" t="s">
        <v>137</v>
      </c>
      <c r="J214" t="s">
        <v>134</v>
      </c>
      <c r="K214" s="5">
        <f>60 / 86400</f>
        <v>6.9444444444444447E-4</v>
      </c>
      <c r="L214" s="5">
        <f>20 / 86400</f>
        <v>2.3148148148148149E-4</v>
      </c>
    </row>
    <row r="215" spans="1:12" x14ac:dyDescent="0.25">
      <c r="A215" s="3">
        <v>45699.293738425928</v>
      </c>
      <c r="B215" t="s">
        <v>231</v>
      </c>
      <c r="C215" s="3">
        <v>45699.293969907405</v>
      </c>
      <c r="D215" t="s">
        <v>231</v>
      </c>
      <c r="E215" s="4">
        <v>2.0785372078418733E-2</v>
      </c>
      <c r="F215" s="4">
        <v>347673.26330593438</v>
      </c>
      <c r="G215" s="4">
        <v>347673.28409130644</v>
      </c>
      <c r="H215" s="5">
        <f t="shared" si="0"/>
        <v>0</v>
      </c>
      <c r="I215" t="s">
        <v>31</v>
      </c>
      <c r="J215" t="s">
        <v>232</v>
      </c>
      <c r="K215" s="5">
        <f>20 / 86400</f>
        <v>2.3148148148148149E-4</v>
      </c>
      <c r="L215" s="5">
        <f>20 / 86400</f>
        <v>2.3148148148148149E-4</v>
      </c>
    </row>
    <row r="216" spans="1:12" x14ac:dyDescent="0.25">
      <c r="A216" s="3">
        <v>45699.29420138889</v>
      </c>
      <c r="B216" t="s">
        <v>231</v>
      </c>
      <c r="C216" s="3">
        <v>45699.296412037038</v>
      </c>
      <c r="D216" t="s">
        <v>233</v>
      </c>
      <c r="E216" s="4">
        <v>0.89725484263896937</v>
      </c>
      <c r="F216" s="4">
        <v>347673.28812083631</v>
      </c>
      <c r="G216" s="4">
        <v>347674.18537567894</v>
      </c>
      <c r="H216" s="5">
        <f t="shared" si="0"/>
        <v>0</v>
      </c>
      <c r="I216" t="s">
        <v>182</v>
      </c>
      <c r="J216" t="s">
        <v>42</v>
      </c>
      <c r="K216" s="5">
        <f>191 / 86400</f>
        <v>2.2106481481481482E-3</v>
      </c>
      <c r="L216" s="5">
        <f>15 / 86400</f>
        <v>1.7361111111111112E-4</v>
      </c>
    </row>
    <row r="217" spans="1:12" x14ac:dyDescent="0.25">
      <c r="A217" s="3">
        <v>45699.296585648146</v>
      </c>
      <c r="B217" t="s">
        <v>234</v>
      </c>
      <c r="C217" s="3">
        <v>45699.297858796301</v>
      </c>
      <c r="D217" t="s">
        <v>235</v>
      </c>
      <c r="E217" s="4">
        <v>0.82342490261793133</v>
      </c>
      <c r="F217" s="4">
        <v>347674.38622047869</v>
      </c>
      <c r="G217" s="4">
        <v>347675.20964538131</v>
      </c>
      <c r="H217" s="5">
        <f t="shared" si="0"/>
        <v>0</v>
      </c>
      <c r="I217" t="s">
        <v>156</v>
      </c>
      <c r="J217" t="s">
        <v>143</v>
      </c>
      <c r="K217" s="5">
        <f>110 / 86400</f>
        <v>1.2731481481481483E-3</v>
      </c>
      <c r="L217" s="5">
        <f>20 / 86400</f>
        <v>2.3148148148148149E-4</v>
      </c>
    </row>
    <row r="218" spans="1:12" x14ac:dyDescent="0.25">
      <c r="A218" s="3">
        <v>45699.298090277778</v>
      </c>
      <c r="B218" t="s">
        <v>236</v>
      </c>
      <c r="C218" s="3">
        <v>45699.298321759255</v>
      </c>
      <c r="D218" t="s">
        <v>237</v>
      </c>
      <c r="E218" s="4">
        <v>0.21425365275144578</v>
      </c>
      <c r="F218" s="4">
        <v>347675.32594887819</v>
      </c>
      <c r="G218" s="4">
        <v>347675.54020253092</v>
      </c>
      <c r="H218" s="5">
        <f t="shared" si="0"/>
        <v>0</v>
      </c>
      <c r="I218" t="s">
        <v>186</v>
      </c>
      <c r="J218" t="s">
        <v>149</v>
      </c>
      <c r="K218" s="5">
        <f>20 / 86400</f>
        <v>2.3148148148148149E-4</v>
      </c>
      <c r="L218" s="5">
        <f>2 / 86400</f>
        <v>2.3148148148148147E-5</v>
      </c>
    </row>
    <row r="219" spans="1:12" x14ac:dyDescent="0.25">
      <c r="A219" s="3">
        <v>45699.298344907409</v>
      </c>
      <c r="B219" t="s">
        <v>237</v>
      </c>
      <c r="C219" s="3">
        <v>45699.299097222218</v>
      </c>
      <c r="D219" t="s">
        <v>238</v>
      </c>
      <c r="E219" s="4">
        <v>0.63001696360111237</v>
      </c>
      <c r="F219" s="4">
        <v>347675.54207612027</v>
      </c>
      <c r="G219" s="4">
        <v>347676.17209308385</v>
      </c>
      <c r="H219" s="5">
        <f t="shared" si="0"/>
        <v>0</v>
      </c>
      <c r="I219" t="s">
        <v>239</v>
      </c>
      <c r="J219" t="s">
        <v>240</v>
      </c>
      <c r="K219" s="5">
        <f>65 / 86400</f>
        <v>7.5231481481481482E-4</v>
      </c>
      <c r="L219" s="5">
        <f>40 / 86400</f>
        <v>4.6296296296296298E-4</v>
      </c>
    </row>
    <row r="220" spans="1:12" x14ac:dyDescent="0.25">
      <c r="A220" s="3">
        <v>45699.299560185187</v>
      </c>
      <c r="B220" t="s">
        <v>241</v>
      </c>
      <c r="C220" s="3">
        <v>45699.300636574073</v>
      </c>
      <c r="D220" t="s">
        <v>242</v>
      </c>
      <c r="E220" s="4">
        <v>0.11928999710083008</v>
      </c>
      <c r="F220" s="4">
        <v>347676.42448873888</v>
      </c>
      <c r="G220" s="4">
        <v>347676.54377873597</v>
      </c>
      <c r="H220" s="5">
        <f t="shared" si="0"/>
        <v>0</v>
      </c>
      <c r="I220" t="s">
        <v>34</v>
      </c>
      <c r="J220" t="s">
        <v>148</v>
      </c>
      <c r="K220" s="5">
        <f>93 / 86400</f>
        <v>1.0763888888888889E-3</v>
      </c>
      <c r="L220" s="5">
        <f>20 / 86400</f>
        <v>2.3148148148148149E-4</v>
      </c>
    </row>
    <row r="221" spans="1:12" x14ac:dyDescent="0.25">
      <c r="A221" s="3">
        <v>45699.30086805555</v>
      </c>
      <c r="B221" t="s">
        <v>243</v>
      </c>
      <c r="C221" s="3">
        <v>45699.301099537042</v>
      </c>
      <c r="D221" t="s">
        <v>243</v>
      </c>
      <c r="E221" s="4">
        <v>1.1479252219200134E-2</v>
      </c>
      <c r="F221" s="4">
        <v>347676.68976897362</v>
      </c>
      <c r="G221" s="4">
        <v>347676.70124822587</v>
      </c>
      <c r="H221" s="5">
        <f t="shared" si="0"/>
        <v>0</v>
      </c>
      <c r="I221" t="s">
        <v>232</v>
      </c>
      <c r="J221" t="s">
        <v>57</v>
      </c>
      <c r="K221" s="5">
        <f>20 / 86400</f>
        <v>2.3148148148148149E-4</v>
      </c>
      <c r="L221" s="5">
        <f>35 / 86400</f>
        <v>4.0509259259259258E-4</v>
      </c>
    </row>
    <row r="222" spans="1:12" x14ac:dyDescent="0.25">
      <c r="A222" s="3">
        <v>45699.301504629635</v>
      </c>
      <c r="B222" t="s">
        <v>244</v>
      </c>
      <c r="C222" s="3">
        <v>45699.303124999999</v>
      </c>
      <c r="D222" t="s">
        <v>244</v>
      </c>
      <c r="E222" s="4">
        <v>0.18703747898340226</v>
      </c>
      <c r="F222" s="4">
        <v>347676.71277965989</v>
      </c>
      <c r="G222" s="4">
        <v>347676.89981713885</v>
      </c>
      <c r="H222" s="5">
        <f t="shared" si="0"/>
        <v>0</v>
      </c>
      <c r="I222" t="s">
        <v>112</v>
      </c>
      <c r="J222" t="s">
        <v>148</v>
      </c>
      <c r="K222" s="5">
        <f>140 / 86400</f>
        <v>1.6203703703703703E-3</v>
      </c>
      <c r="L222" s="5">
        <f>12 / 86400</f>
        <v>1.3888888888888889E-4</v>
      </c>
    </row>
    <row r="223" spans="1:12" x14ac:dyDescent="0.25">
      <c r="A223" s="3">
        <v>45699.303263888884</v>
      </c>
      <c r="B223" t="s">
        <v>244</v>
      </c>
      <c r="C223" s="3">
        <v>45699.305659722224</v>
      </c>
      <c r="D223" t="s">
        <v>204</v>
      </c>
      <c r="E223" s="4">
        <v>0.59776223284006114</v>
      </c>
      <c r="F223" s="4">
        <v>347676.95792953705</v>
      </c>
      <c r="G223" s="4">
        <v>347677.55569176987</v>
      </c>
      <c r="H223" s="5">
        <f t="shared" si="0"/>
        <v>0</v>
      </c>
      <c r="I223" t="s">
        <v>202</v>
      </c>
      <c r="J223" t="s">
        <v>112</v>
      </c>
      <c r="K223" s="5">
        <f>207 / 86400</f>
        <v>2.3958333333333331E-3</v>
      </c>
      <c r="L223" s="5">
        <f>29 / 86400</f>
        <v>3.3564814814814812E-4</v>
      </c>
    </row>
    <row r="224" spans="1:12" x14ac:dyDescent="0.25">
      <c r="A224" s="3">
        <v>45699.305995370371</v>
      </c>
      <c r="B224" t="s">
        <v>204</v>
      </c>
      <c r="C224" s="3">
        <v>45699.307013888887</v>
      </c>
      <c r="D224" t="s">
        <v>245</v>
      </c>
      <c r="E224" s="4">
        <v>8.3898907721042637E-2</v>
      </c>
      <c r="F224" s="4">
        <v>347677.56432225107</v>
      </c>
      <c r="G224" s="4">
        <v>347677.64822115883</v>
      </c>
      <c r="H224" s="5">
        <f t="shared" si="0"/>
        <v>0</v>
      </c>
      <c r="I224" t="s">
        <v>128</v>
      </c>
      <c r="J224" t="s">
        <v>157</v>
      </c>
      <c r="K224" s="5">
        <f>88 / 86400</f>
        <v>1.0185185185185184E-3</v>
      </c>
      <c r="L224" s="5">
        <f>37 / 86400</f>
        <v>4.2824074074074075E-4</v>
      </c>
    </row>
    <row r="225" spans="1:12" x14ac:dyDescent="0.25">
      <c r="A225" s="3">
        <v>45699.307442129633</v>
      </c>
      <c r="B225" t="s">
        <v>245</v>
      </c>
      <c r="C225" s="3">
        <v>45699.311574074076</v>
      </c>
      <c r="D225" t="s">
        <v>246</v>
      </c>
      <c r="E225" s="4">
        <v>1.0281819347739221</v>
      </c>
      <c r="F225" s="4">
        <v>347677.66552485782</v>
      </c>
      <c r="G225" s="4">
        <v>347678.6937067926</v>
      </c>
      <c r="H225" s="5">
        <f t="shared" ref="H225:H288" si="1">0 / 86400</f>
        <v>0</v>
      </c>
      <c r="I225" t="s">
        <v>141</v>
      </c>
      <c r="J225" t="s">
        <v>112</v>
      </c>
      <c r="K225" s="5">
        <f>357 / 86400</f>
        <v>4.1319444444444442E-3</v>
      </c>
      <c r="L225" s="5">
        <f>36 / 86400</f>
        <v>4.1666666666666669E-4</v>
      </c>
    </row>
    <row r="226" spans="1:12" x14ac:dyDescent="0.25">
      <c r="A226" s="3">
        <v>45699.311990740738</v>
      </c>
      <c r="B226" t="s">
        <v>246</v>
      </c>
      <c r="C226" s="3">
        <v>45699.312430555554</v>
      </c>
      <c r="D226" t="s">
        <v>247</v>
      </c>
      <c r="E226" s="4">
        <v>3.8167856812477113E-2</v>
      </c>
      <c r="F226" s="4">
        <v>347678.6983506481</v>
      </c>
      <c r="G226" s="4">
        <v>347678.73651850491</v>
      </c>
      <c r="H226" s="5">
        <f t="shared" si="1"/>
        <v>0</v>
      </c>
      <c r="I226" t="s">
        <v>125</v>
      </c>
      <c r="J226" t="s">
        <v>232</v>
      </c>
      <c r="K226" s="5">
        <f>38 / 86400</f>
        <v>4.3981481481481481E-4</v>
      </c>
      <c r="L226" s="5">
        <f>16 / 86400</f>
        <v>1.8518518518518518E-4</v>
      </c>
    </row>
    <row r="227" spans="1:12" x14ac:dyDescent="0.25">
      <c r="A227" s="3">
        <v>45699.312615740739</v>
      </c>
      <c r="B227" t="s">
        <v>247</v>
      </c>
      <c r="C227" s="3">
        <v>45699.313402777778</v>
      </c>
      <c r="D227" t="s">
        <v>248</v>
      </c>
      <c r="E227" s="4">
        <v>0.49821262270212174</v>
      </c>
      <c r="F227" s="4">
        <v>347678.74187304941</v>
      </c>
      <c r="G227" s="4">
        <v>347679.24008567212</v>
      </c>
      <c r="H227" s="5">
        <f t="shared" si="1"/>
        <v>0</v>
      </c>
      <c r="I227" t="s">
        <v>111</v>
      </c>
      <c r="J227" t="s">
        <v>137</v>
      </c>
      <c r="K227" s="5">
        <f>68 / 86400</f>
        <v>7.8703703703703705E-4</v>
      </c>
      <c r="L227" s="5">
        <f>52 / 86400</f>
        <v>6.018518518518519E-4</v>
      </c>
    </row>
    <row r="228" spans="1:12" x14ac:dyDescent="0.25">
      <c r="A228" s="3">
        <v>45699.314004629632</v>
      </c>
      <c r="B228" t="s">
        <v>249</v>
      </c>
      <c r="C228" s="3">
        <v>45699.318240740744</v>
      </c>
      <c r="D228" t="s">
        <v>250</v>
      </c>
      <c r="E228" s="4">
        <v>2.6311004175543786</v>
      </c>
      <c r="F228" s="4">
        <v>347679.24983023305</v>
      </c>
      <c r="G228" s="4">
        <v>347681.88093065057</v>
      </c>
      <c r="H228" s="5">
        <f t="shared" si="1"/>
        <v>0</v>
      </c>
      <c r="I228" t="s">
        <v>133</v>
      </c>
      <c r="J228" t="s">
        <v>137</v>
      </c>
      <c r="K228" s="5">
        <f>366 / 86400</f>
        <v>4.2361111111111115E-3</v>
      </c>
      <c r="L228" s="5">
        <f>60 / 86400</f>
        <v>6.9444444444444447E-4</v>
      </c>
    </row>
    <row r="229" spans="1:12" x14ac:dyDescent="0.25">
      <c r="A229" s="3">
        <v>45699.318935185191</v>
      </c>
      <c r="B229" t="s">
        <v>250</v>
      </c>
      <c r="C229" s="3">
        <v>45699.31962962963</v>
      </c>
      <c r="D229" t="s">
        <v>251</v>
      </c>
      <c r="E229" s="4">
        <v>0.32002998757362366</v>
      </c>
      <c r="F229" s="4">
        <v>347681.9074446478</v>
      </c>
      <c r="G229" s="4">
        <v>347682.22747463535</v>
      </c>
      <c r="H229" s="5">
        <f t="shared" si="1"/>
        <v>0</v>
      </c>
      <c r="I229" t="s">
        <v>252</v>
      </c>
      <c r="J229" t="s">
        <v>22</v>
      </c>
      <c r="K229" s="5">
        <f>60 / 86400</f>
        <v>6.9444444444444447E-4</v>
      </c>
      <c r="L229" s="5">
        <f>20 / 86400</f>
        <v>2.3148148148148149E-4</v>
      </c>
    </row>
    <row r="230" spans="1:12" x14ac:dyDescent="0.25">
      <c r="A230" s="3">
        <v>45699.319861111115</v>
      </c>
      <c r="B230" t="s">
        <v>253</v>
      </c>
      <c r="C230" s="3">
        <v>45699.320555555554</v>
      </c>
      <c r="D230" t="s">
        <v>253</v>
      </c>
      <c r="E230" s="4">
        <v>0.15974353462457658</v>
      </c>
      <c r="F230" s="4">
        <v>347682.46182581311</v>
      </c>
      <c r="G230" s="4">
        <v>347682.62156934774</v>
      </c>
      <c r="H230" s="5">
        <f t="shared" si="1"/>
        <v>0</v>
      </c>
      <c r="I230" t="s">
        <v>42</v>
      </c>
      <c r="J230" t="s">
        <v>112</v>
      </c>
      <c r="K230" s="5">
        <f>60 / 86400</f>
        <v>6.9444444444444447E-4</v>
      </c>
      <c r="L230" s="5">
        <f>20 / 86400</f>
        <v>2.3148148148148149E-4</v>
      </c>
    </row>
    <row r="231" spans="1:12" x14ac:dyDescent="0.25">
      <c r="A231" s="3">
        <v>45699.320787037039</v>
      </c>
      <c r="B231" t="s">
        <v>254</v>
      </c>
      <c r="C231" s="3">
        <v>45699.328923611116</v>
      </c>
      <c r="D231" t="s">
        <v>255</v>
      </c>
      <c r="E231" s="4">
        <v>5.0082419856190681</v>
      </c>
      <c r="F231" s="4">
        <v>347682.65971637168</v>
      </c>
      <c r="G231" s="4">
        <v>347687.66795835725</v>
      </c>
      <c r="H231" s="5">
        <f t="shared" si="1"/>
        <v>0</v>
      </c>
      <c r="I231" t="s">
        <v>133</v>
      </c>
      <c r="J231" t="s">
        <v>137</v>
      </c>
      <c r="K231" s="5">
        <f>703 / 86400</f>
        <v>8.1365740740740738E-3</v>
      </c>
      <c r="L231" s="5">
        <f>40 / 86400</f>
        <v>4.6296296296296298E-4</v>
      </c>
    </row>
    <row r="232" spans="1:12" x14ac:dyDescent="0.25">
      <c r="A232" s="3">
        <v>45699.329386574071</v>
      </c>
      <c r="B232" t="s">
        <v>256</v>
      </c>
      <c r="C232" s="3">
        <v>45699.330740740741</v>
      </c>
      <c r="D232" t="s">
        <v>257</v>
      </c>
      <c r="E232" s="4">
        <v>0.63261716139316559</v>
      </c>
      <c r="F232" s="4">
        <v>347687.71174652583</v>
      </c>
      <c r="G232" s="4">
        <v>347688.34436368721</v>
      </c>
      <c r="H232" s="5">
        <f t="shared" si="1"/>
        <v>0</v>
      </c>
      <c r="I232" t="s">
        <v>147</v>
      </c>
      <c r="J232" t="s">
        <v>22</v>
      </c>
      <c r="K232" s="5">
        <f>117 / 86400</f>
        <v>1.3541666666666667E-3</v>
      </c>
      <c r="L232" s="5">
        <f>40 / 86400</f>
        <v>4.6296296296296298E-4</v>
      </c>
    </row>
    <row r="233" spans="1:12" x14ac:dyDescent="0.25">
      <c r="A233" s="3">
        <v>45699.331203703703</v>
      </c>
      <c r="B233" t="s">
        <v>191</v>
      </c>
      <c r="C233" s="3">
        <v>45699.332129629634</v>
      </c>
      <c r="D233" t="s">
        <v>100</v>
      </c>
      <c r="E233" s="4">
        <v>7.3048418462276457E-2</v>
      </c>
      <c r="F233" s="4">
        <v>347689.01823036268</v>
      </c>
      <c r="G233" s="4">
        <v>347689.09127878112</v>
      </c>
      <c r="H233" s="5">
        <f t="shared" si="1"/>
        <v>0</v>
      </c>
      <c r="I233" t="s">
        <v>28</v>
      </c>
      <c r="J233" t="s">
        <v>157</v>
      </c>
      <c r="K233" s="5">
        <f>80 / 86400</f>
        <v>9.2592592592592596E-4</v>
      </c>
      <c r="L233" s="5">
        <f>40 / 86400</f>
        <v>4.6296296296296298E-4</v>
      </c>
    </row>
    <row r="234" spans="1:12" x14ac:dyDescent="0.25">
      <c r="A234" s="3">
        <v>45699.332592592589</v>
      </c>
      <c r="B234" t="s">
        <v>258</v>
      </c>
      <c r="C234" s="3">
        <v>45699.333275462966</v>
      </c>
      <c r="D234" t="s">
        <v>258</v>
      </c>
      <c r="E234" s="4">
        <v>0.240876414000988</v>
      </c>
      <c r="F234" s="4">
        <v>347689.12531122047</v>
      </c>
      <c r="G234" s="4">
        <v>347689.36618763447</v>
      </c>
      <c r="H234" s="5">
        <f t="shared" si="1"/>
        <v>0</v>
      </c>
      <c r="I234" t="s">
        <v>108</v>
      </c>
      <c r="J234" t="s">
        <v>19</v>
      </c>
      <c r="K234" s="5">
        <f>59 / 86400</f>
        <v>6.8287037037037036E-4</v>
      </c>
      <c r="L234" s="5">
        <f>20 / 86400</f>
        <v>2.3148148148148149E-4</v>
      </c>
    </row>
    <row r="235" spans="1:12" x14ac:dyDescent="0.25">
      <c r="A235" s="3">
        <v>45699.333506944444</v>
      </c>
      <c r="B235" t="s">
        <v>258</v>
      </c>
      <c r="C235" s="3">
        <v>45699.335127314815</v>
      </c>
      <c r="D235" t="s">
        <v>259</v>
      </c>
      <c r="E235" s="4">
        <v>0.22436149775981903</v>
      </c>
      <c r="F235" s="4">
        <v>347689.38597948488</v>
      </c>
      <c r="G235" s="4">
        <v>347689.61034098262</v>
      </c>
      <c r="H235" s="5">
        <f t="shared" si="1"/>
        <v>0</v>
      </c>
      <c r="I235" t="s">
        <v>131</v>
      </c>
      <c r="J235" t="s">
        <v>128</v>
      </c>
      <c r="K235" s="5">
        <f>140 / 86400</f>
        <v>1.6203703703703703E-3</v>
      </c>
      <c r="L235" s="5">
        <f>20 / 86400</f>
        <v>2.3148148148148149E-4</v>
      </c>
    </row>
    <row r="236" spans="1:12" x14ac:dyDescent="0.25">
      <c r="A236" s="3">
        <v>45699.335358796292</v>
      </c>
      <c r="B236" t="s">
        <v>187</v>
      </c>
      <c r="C236" s="3">
        <v>45699.338136574079</v>
      </c>
      <c r="D236" t="s">
        <v>87</v>
      </c>
      <c r="E236" s="4">
        <v>1.3427770615816117</v>
      </c>
      <c r="F236" s="4">
        <v>347689.72964952578</v>
      </c>
      <c r="G236" s="4">
        <v>347691.07242658734</v>
      </c>
      <c r="H236" s="5">
        <f t="shared" si="1"/>
        <v>0</v>
      </c>
      <c r="I236" t="s">
        <v>186</v>
      </c>
      <c r="J236" t="s">
        <v>152</v>
      </c>
      <c r="K236" s="5">
        <f>240 / 86400</f>
        <v>2.7777777777777779E-3</v>
      </c>
      <c r="L236" s="5">
        <f>40 / 86400</f>
        <v>4.6296296296296298E-4</v>
      </c>
    </row>
    <row r="237" spans="1:12" x14ac:dyDescent="0.25">
      <c r="A237" s="3">
        <v>45699.338599537034</v>
      </c>
      <c r="B237" t="s">
        <v>260</v>
      </c>
      <c r="C237" s="3">
        <v>45699.33929398148</v>
      </c>
      <c r="D237" t="s">
        <v>87</v>
      </c>
      <c r="E237" s="4">
        <v>0.56851561403274531</v>
      </c>
      <c r="F237" s="4">
        <v>347691.10713255947</v>
      </c>
      <c r="G237" s="4">
        <v>347691.67564817349</v>
      </c>
      <c r="H237" s="5">
        <f t="shared" si="1"/>
        <v>0</v>
      </c>
      <c r="I237" t="s">
        <v>261</v>
      </c>
      <c r="J237" t="s">
        <v>166</v>
      </c>
      <c r="K237" s="5">
        <f>60 / 86400</f>
        <v>6.9444444444444447E-4</v>
      </c>
      <c r="L237" s="5">
        <f>4 / 86400</f>
        <v>4.6296296296296294E-5</v>
      </c>
    </row>
    <row r="238" spans="1:12" x14ac:dyDescent="0.25">
      <c r="A238" s="3">
        <v>45699.339340277773</v>
      </c>
      <c r="B238" t="s">
        <v>87</v>
      </c>
      <c r="C238" s="3">
        <v>45699.34003472222</v>
      </c>
      <c r="D238" t="s">
        <v>87</v>
      </c>
      <c r="E238" s="4">
        <v>0.10293645912408829</v>
      </c>
      <c r="F238" s="4">
        <v>347691.68001504691</v>
      </c>
      <c r="G238" s="4">
        <v>347691.78295150603</v>
      </c>
      <c r="H238" s="5">
        <f t="shared" si="1"/>
        <v>0</v>
      </c>
      <c r="I238" t="s">
        <v>112</v>
      </c>
      <c r="J238" t="s">
        <v>128</v>
      </c>
      <c r="K238" s="5">
        <f>60 / 86400</f>
        <v>6.9444444444444447E-4</v>
      </c>
      <c r="L238" s="5">
        <f>20 / 86400</f>
        <v>2.3148148148148149E-4</v>
      </c>
    </row>
    <row r="239" spans="1:12" x14ac:dyDescent="0.25">
      <c r="A239" s="3">
        <v>45699.340266203704</v>
      </c>
      <c r="B239" t="s">
        <v>87</v>
      </c>
      <c r="C239" s="3">
        <v>45699.341365740736</v>
      </c>
      <c r="D239" t="s">
        <v>87</v>
      </c>
      <c r="E239" s="4">
        <v>0.44785190480947495</v>
      </c>
      <c r="F239" s="4">
        <v>347691.78668251325</v>
      </c>
      <c r="G239" s="4">
        <v>347692.23453441804</v>
      </c>
      <c r="H239" s="5">
        <f t="shared" si="1"/>
        <v>0</v>
      </c>
      <c r="I239" t="s">
        <v>176</v>
      </c>
      <c r="J239" t="s">
        <v>42</v>
      </c>
      <c r="K239" s="5">
        <f>95 / 86400</f>
        <v>1.0995370370370371E-3</v>
      </c>
      <c r="L239" s="5">
        <f>20 / 86400</f>
        <v>2.3148148148148149E-4</v>
      </c>
    </row>
    <row r="240" spans="1:12" x14ac:dyDescent="0.25">
      <c r="A240" s="3">
        <v>45699.341597222221</v>
      </c>
      <c r="B240" t="s">
        <v>116</v>
      </c>
      <c r="C240" s="3">
        <v>45699.344837962963</v>
      </c>
      <c r="D240" t="s">
        <v>116</v>
      </c>
      <c r="E240" s="4">
        <v>2.156484333872795</v>
      </c>
      <c r="F240" s="4">
        <v>347692.34533051902</v>
      </c>
      <c r="G240" s="4">
        <v>347694.50181485288</v>
      </c>
      <c r="H240" s="5">
        <f t="shared" si="1"/>
        <v>0</v>
      </c>
      <c r="I240" t="s">
        <v>177</v>
      </c>
      <c r="J240" t="s">
        <v>178</v>
      </c>
      <c r="K240" s="5">
        <f>280 / 86400</f>
        <v>3.2407407407407406E-3</v>
      </c>
      <c r="L240" s="5">
        <f>28 / 86400</f>
        <v>3.2407407407407406E-4</v>
      </c>
    </row>
    <row r="241" spans="1:12" x14ac:dyDescent="0.25">
      <c r="A241" s="3">
        <v>45699.345162037032</v>
      </c>
      <c r="B241" t="s">
        <v>116</v>
      </c>
      <c r="C241" s="3">
        <v>45699.347013888888</v>
      </c>
      <c r="D241" t="s">
        <v>116</v>
      </c>
      <c r="E241" s="4">
        <v>1.457882626414299</v>
      </c>
      <c r="F241" s="4">
        <v>347694.50952038442</v>
      </c>
      <c r="G241" s="4">
        <v>347695.96740301087</v>
      </c>
      <c r="H241" s="5">
        <f t="shared" si="1"/>
        <v>0</v>
      </c>
      <c r="I241" t="s">
        <v>262</v>
      </c>
      <c r="J241" t="s">
        <v>193</v>
      </c>
      <c r="K241" s="5">
        <f>160 / 86400</f>
        <v>1.8518518518518519E-3</v>
      </c>
      <c r="L241" s="5">
        <f>22 / 86400</f>
        <v>2.5462962962962961E-4</v>
      </c>
    </row>
    <row r="242" spans="1:12" x14ac:dyDescent="0.25">
      <c r="A242" s="3">
        <v>45699.347268518519</v>
      </c>
      <c r="B242" t="s">
        <v>116</v>
      </c>
      <c r="C242" s="3">
        <v>45699.349814814814</v>
      </c>
      <c r="D242" t="s">
        <v>167</v>
      </c>
      <c r="E242" s="4">
        <v>2.2072040197253227</v>
      </c>
      <c r="F242" s="4">
        <v>347695.97286099778</v>
      </c>
      <c r="G242" s="4">
        <v>347698.18006501754</v>
      </c>
      <c r="H242" s="5">
        <f t="shared" si="1"/>
        <v>0</v>
      </c>
      <c r="I242" t="s">
        <v>36</v>
      </c>
      <c r="J242" t="s">
        <v>198</v>
      </c>
      <c r="K242" s="5">
        <f>220 / 86400</f>
        <v>2.5462962962962965E-3</v>
      </c>
      <c r="L242" s="5">
        <f>40 / 86400</f>
        <v>4.6296296296296298E-4</v>
      </c>
    </row>
    <row r="243" spans="1:12" x14ac:dyDescent="0.25">
      <c r="A243" s="3">
        <v>45699.350277777776</v>
      </c>
      <c r="B243" t="s">
        <v>101</v>
      </c>
      <c r="C243" s="3">
        <v>45699.350972222222</v>
      </c>
      <c r="D243" t="s">
        <v>169</v>
      </c>
      <c r="E243" s="4">
        <v>0.72833948445320129</v>
      </c>
      <c r="F243" s="4">
        <v>347698.25062840234</v>
      </c>
      <c r="G243" s="4">
        <v>347698.97896788683</v>
      </c>
      <c r="H243" s="5">
        <f t="shared" si="1"/>
        <v>0</v>
      </c>
      <c r="I243" t="s">
        <v>263</v>
      </c>
      <c r="J243" t="s">
        <v>223</v>
      </c>
      <c r="K243" s="5">
        <f>60 / 86400</f>
        <v>6.9444444444444447E-4</v>
      </c>
      <c r="L243" s="5">
        <f>89 / 86400</f>
        <v>1.0300925925925926E-3</v>
      </c>
    </row>
    <row r="244" spans="1:12" x14ac:dyDescent="0.25">
      <c r="A244" s="3">
        <v>45699.352002314816</v>
      </c>
      <c r="B244" t="s">
        <v>264</v>
      </c>
      <c r="C244" s="3">
        <v>45699.352233796293</v>
      </c>
      <c r="D244" t="s">
        <v>264</v>
      </c>
      <c r="E244" s="4">
        <v>3.3651369333267213E-2</v>
      </c>
      <c r="F244" s="4">
        <v>347699.00491400907</v>
      </c>
      <c r="G244" s="4">
        <v>347699.0385653784</v>
      </c>
      <c r="H244" s="5">
        <f t="shared" si="1"/>
        <v>0</v>
      </c>
      <c r="I244" t="s">
        <v>28</v>
      </c>
      <c r="J244" t="s">
        <v>128</v>
      </c>
      <c r="K244" s="5">
        <f>20 / 86400</f>
        <v>2.3148148148148149E-4</v>
      </c>
      <c r="L244" s="5">
        <f>40 / 86400</f>
        <v>4.6296296296296298E-4</v>
      </c>
    </row>
    <row r="245" spans="1:12" x14ac:dyDescent="0.25">
      <c r="A245" s="3">
        <v>45699.352696759262</v>
      </c>
      <c r="B245" t="s">
        <v>101</v>
      </c>
      <c r="C245" s="3">
        <v>45699.355937500004</v>
      </c>
      <c r="D245" t="s">
        <v>170</v>
      </c>
      <c r="E245" s="4">
        <v>2.2349212170243264</v>
      </c>
      <c r="F245" s="4">
        <v>347699.09136297321</v>
      </c>
      <c r="G245" s="4">
        <v>347701.32628419023</v>
      </c>
      <c r="H245" s="5">
        <f t="shared" si="1"/>
        <v>0</v>
      </c>
      <c r="I245" t="s">
        <v>183</v>
      </c>
      <c r="J245" t="s">
        <v>203</v>
      </c>
      <c r="K245" s="5">
        <f>280 / 86400</f>
        <v>3.2407407407407406E-3</v>
      </c>
      <c r="L245" s="5">
        <f>20 / 86400</f>
        <v>2.3148148148148149E-4</v>
      </c>
    </row>
    <row r="246" spans="1:12" x14ac:dyDescent="0.25">
      <c r="A246" s="3">
        <v>45699.356168981481</v>
      </c>
      <c r="B246" t="s">
        <v>170</v>
      </c>
      <c r="C246" s="3">
        <v>45699.356631944444</v>
      </c>
      <c r="D246" t="s">
        <v>172</v>
      </c>
      <c r="E246" s="4">
        <v>0.17023060220479966</v>
      </c>
      <c r="F246" s="4">
        <v>347701.32738754508</v>
      </c>
      <c r="G246" s="4">
        <v>347701.49761814729</v>
      </c>
      <c r="H246" s="5">
        <f t="shared" si="1"/>
        <v>0</v>
      </c>
      <c r="I246" t="s">
        <v>152</v>
      </c>
      <c r="J246" t="s">
        <v>19</v>
      </c>
      <c r="K246" s="5">
        <f>40 / 86400</f>
        <v>4.6296296296296298E-4</v>
      </c>
      <c r="L246" s="5">
        <f>4 / 86400</f>
        <v>4.6296296296296294E-5</v>
      </c>
    </row>
    <row r="247" spans="1:12" x14ac:dyDescent="0.25">
      <c r="A247" s="3">
        <v>45699.356678240743</v>
      </c>
      <c r="B247" t="s">
        <v>172</v>
      </c>
      <c r="C247" s="3">
        <v>45699.356956018513</v>
      </c>
      <c r="D247" t="s">
        <v>172</v>
      </c>
      <c r="E247" s="4">
        <v>1.3768320620059967E-2</v>
      </c>
      <c r="F247" s="4">
        <v>347701.50193572813</v>
      </c>
      <c r="G247" s="4">
        <v>347701.51570404874</v>
      </c>
      <c r="H247" s="5">
        <f t="shared" si="1"/>
        <v>0</v>
      </c>
      <c r="I247" t="s">
        <v>128</v>
      </c>
      <c r="J247" t="s">
        <v>57</v>
      </c>
      <c r="K247" s="5">
        <f>24 / 86400</f>
        <v>2.7777777777777778E-4</v>
      </c>
      <c r="L247" s="5">
        <f>39 / 86400</f>
        <v>4.5138888888888887E-4</v>
      </c>
    </row>
    <row r="248" spans="1:12" x14ac:dyDescent="0.25">
      <c r="A248" s="3">
        <v>45699.357407407406</v>
      </c>
      <c r="B248" t="s">
        <v>172</v>
      </c>
      <c r="C248" s="3">
        <v>45699.358333333337</v>
      </c>
      <c r="D248" t="s">
        <v>265</v>
      </c>
      <c r="E248" s="4">
        <v>0.6116085146665573</v>
      </c>
      <c r="F248" s="4">
        <v>347701.51768550638</v>
      </c>
      <c r="G248" s="4">
        <v>347702.12929402106</v>
      </c>
      <c r="H248" s="5">
        <f t="shared" si="1"/>
        <v>0</v>
      </c>
      <c r="I248" t="s">
        <v>261</v>
      </c>
      <c r="J248" t="s">
        <v>178</v>
      </c>
      <c r="K248" s="5">
        <f>80 / 86400</f>
        <v>9.2592592592592596E-4</v>
      </c>
      <c r="L248" s="5">
        <f>20 / 86400</f>
        <v>2.3148148148148149E-4</v>
      </c>
    </row>
    <row r="249" spans="1:12" x14ac:dyDescent="0.25">
      <c r="A249" s="3">
        <v>45699.358564814815</v>
      </c>
      <c r="B249" t="s">
        <v>265</v>
      </c>
      <c r="C249" s="3">
        <v>45699.362268518518</v>
      </c>
      <c r="D249" t="s">
        <v>265</v>
      </c>
      <c r="E249" s="4">
        <v>3.2572336973547937</v>
      </c>
      <c r="F249" s="4">
        <v>347702.16731336748</v>
      </c>
      <c r="G249" s="4">
        <v>347705.42454706482</v>
      </c>
      <c r="H249" s="5">
        <f t="shared" si="1"/>
        <v>0</v>
      </c>
      <c r="I249" t="s">
        <v>133</v>
      </c>
      <c r="J249" t="s">
        <v>147</v>
      </c>
      <c r="K249" s="5">
        <f>320 / 86400</f>
        <v>3.7037037037037038E-3</v>
      </c>
      <c r="L249" s="5">
        <f>60 / 86400</f>
        <v>6.9444444444444447E-4</v>
      </c>
    </row>
    <row r="250" spans="1:12" x14ac:dyDescent="0.25">
      <c r="A250" s="3">
        <v>45699.362962962958</v>
      </c>
      <c r="B250" t="s">
        <v>266</v>
      </c>
      <c r="C250" s="3">
        <v>45699.363425925927</v>
      </c>
      <c r="D250" t="s">
        <v>267</v>
      </c>
      <c r="E250" s="4">
        <v>0.54208983880281447</v>
      </c>
      <c r="F250" s="4">
        <v>347705.58547087247</v>
      </c>
      <c r="G250" s="4">
        <v>347706.12756071129</v>
      </c>
      <c r="H250" s="5">
        <f t="shared" si="1"/>
        <v>0</v>
      </c>
      <c r="I250" t="s">
        <v>139</v>
      </c>
      <c r="J250" t="s">
        <v>180</v>
      </c>
      <c r="K250" s="5">
        <f>40 / 86400</f>
        <v>4.6296296296296298E-4</v>
      </c>
      <c r="L250" s="5">
        <f>20 / 86400</f>
        <v>2.3148148148148149E-4</v>
      </c>
    </row>
    <row r="251" spans="1:12" x14ac:dyDescent="0.25">
      <c r="A251" s="3">
        <v>45699.363657407404</v>
      </c>
      <c r="B251" t="s">
        <v>268</v>
      </c>
      <c r="C251" s="3">
        <v>45699.364583333328</v>
      </c>
      <c r="D251" t="s">
        <v>269</v>
      </c>
      <c r="E251" s="4">
        <v>0.47561403954029086</v>
      </c>
      <c r="F251" s="4">
        <v>347706.25490272971</v>
      </c>
      <c r="G251" s="4">
        <v>347706.73051676922</v>
      </c>
      <c r="H251" s="5">
        <f t="shared" si="1"/>
        <v>0</v>
      </c>
      <c r="I251" t="s">
        <v>147</v>
      </c>
      <c r="J251" t="s">
        <v>108</v>
      </c>
      <c r="K251" s="5">
        <f>80 / 86400</f>
        <v>9.2592592592592596E-4</v>
      </c>
      <c r="L251" s="5">
        <f>20 / 86400</f>
        <v>2.3148148148148149E-4</v>
      </c>
    </row>
    <row r="252" spans="1:12" x14ac:dyDescent="0.25">
      <c r="A252" s="3">
        <v>45699.364814814813</v>
      </c>
      <c r="B252" t="s">
        <v>270</v>
      </c>
      <c r="C252" s="3">
        <v>45699.372210648144</v>
      </c>
      <c r="D252" t="s">
        <v>271</v>
      </c>
      <c r="E252" s="4">
        <v>5.480206868648529</v>
      </c>
      <c r="F252" s="4">
        <v>347706.77048970677</v>
      </c>
      <c r="G252" s="4">
        <v>347712.25069657539</v>
      </c>
      <c r="H252" s="5">
        <f t="shared" si="1"/>
        <v>0</v>
      </c>
      <c r="I252" t="s">
        <v>263</v>
      </c>
      <c r="J252" t="s">
        <v>124</v>
      </c>
      <c r="K252" s="5">
        <f>639 / 86400</f>
        <v>7.3958333333333333E-3</v>
      </c>
      <c r="L252" s="5">
        <f>40 / 86400</f>
        <v>4.6296296296296298E-4</v>
      </c>
    </row>
    <row r="253" spans="1:12" x14ac:dyDescent="0.25">
      <c r="A253" s="3">
        <v>45699.372673611113</v>
      </c>
      <c r="B253" t="s">
        <v>271</v>
      </c>
      <c r="C253" s="3">
        <v>45699.374756944446</v>
      </c>
      <c r="D253" t="s">
        <v>119</v>
      </c>
      <c r="E253" s="4">
        <v>1.9765199447870254</v>
      </c>
      <c r="F253" s="4">
        <v>347712.38377249573</v>
      </c>
      <c r="G253" s="4">
        <v>347714.36029244051</v>
      </c>
      <c r="H253" s="5">
        <f t="shared" si="1"/>
        <v>0</v>
      </c>
      <c r="I253" t="s">
        <v>107</v>
      </c>
      <c r="J253" t="s">
        <v>174</v>
      </c>
      <c r="K253" s="5">
        <f>180 / 86400</f>
        <v>2.0833333333333333E-3</v>
      </c>
      <c r="L253" s="5">
        <f>2 / 86400</f>
        <v>2.3148148148148147E-5</v>
      </c>
    </row>
    <row r="254" spans="1:12" x14ac:dyDescent="0.25">
      <c r="A254" s="3">
        <v>45699.374780092592</v>
      </c>
      <c r="B254" t="s">
        <v>119</v>
      </c>
      <c r="C254" s="3">
        <v>45699.3753587963</v>
      </c>
      <c r="D254" t="s">
        <v>119</v>
      </c>
      <c r="E254" s="4">
        <v>0.36785417127609255</v>
      </c>
      <c r="F254" s="4">
        <v>347714.36329367111</v>
      </c>
      <c r="G254" s="4">
        <v>347714.73114784242</v>
      </c>
      <c r="H254" s="5">
        <f t="shared" si="1"/>
        <v>0</v>
      </c>
      <c r="I254" t="s">
        <v>154</v>
      </c>
      <c r="J254" t="s">
        <v>137</v>
      </c>
      <c r="K254" s="5">
        <f>50 / 86400</f>
        <v>5.7870370370370367E-4</v>
      </c>
      <c r="L254" s="5">
        <f>24 / 86400</f>
        <v>2.7777777777777778E-4</v>
      </c>
    </row>
    <row r="255" spans="1:12" x14ac:dyDescent="0.25">
      <c r="A255" s="3">
        <v>45699.37563657407</v>
      </c>
      <c r="B255" t="s">
        <v>119</v>
      </c>
      <c r="C255" s="3">
        <v>45699.377569444448</v>
      </c>
      <c r="D255" t="s">
        <v>272</v>
      </c>
      <c r="E255" s="4">
        <v>1.2747362244725227</v>
      </c>
      <c r="F255" s="4">
        <v>347714.7343078354</v>
      </c>
      <c r="G255" s="4">
        <v>347716.0090440599</v>
      </c>
      <c r="H255" s="5">
        <f t="shared" si="1"/>
        <v>0</v>
      </c>
      <c r="I255" t="s">
        <v>171</v>
      </c>
      <c r="J255" t="s">
        <v>143</v>
      </c>
      <c r="K255" s="5">
        <f>167 / 86400</f>
        <v>1.9328703703703704E-3</v>
      </c>
      <c r="L255" s="5">
        <f>20 / 86400</f>
        <v>2.3148148148148149E-4</v>
      </c>
    </row>
    <row r="256" spans="1:12" x14ac:dyDescent="0.25">
      <c r="A256" s="3">
        <v>45699.377800925926</v>
      </c>
      <c r="B256" t="s">
        <v>273</v>
      </c>
      <c r="C256" s="3">
        <v>45699.378495370373</v>
      </c>
      <c r="D256" t="s">
        <v>119</v>
      </c>
      <c r="E256" s="4">
        <v>0.24358613371849061</v>
      </c>
      <c r="F256" s="4">
        <v>347716.06533121981</v>
      </c>
      <c r="G256" s="4">
        <v>347716.30891735351</v>
      </c>
      <c r="H256" s="5">
        <f t="shared" si="1"/>
        <v>0</v>
      </c>
      <c r="I256" t="s">
        <v>137</v>
      </c>
      <c r="J256" t="s">
        <v>19</v>
      </c>
      <c r="K256" s="5">
        <f>60 / 86400</f>
        <v>6.9444444444444447E-4</v>
      </c>
      <c r="L256" s="5">
        <f>20 / 86400</f>
        <v>2.3148148148148149E-4</v>
      </c>
    </row>
    <row r="257" spans="1:12" x14ac:dyDescent="0.25">
      <c r="A257" s="3">
        <v>45699.37872685185</v>
      </c>
      <c r="B257" t="s">
        <v>119</v>
      </c>
      <c r="C257" s="3">
        <v>45699.386122685188</v>
      </c>
      <c r="D257" t="s">
        <v>274</v>
      </c>
      <c r="E257" s="4">
        <v>3.2567288466095925</v>
      </c>
      <c r="F257" s="4">
        <v>347716.3116389701</v>
      </c>
      <c r="G257" s="4">
        <v>347719.56836781668</v>
      </c>
      <c r="H257" s="5">
        <f t="shared" si="1"/>
        <v>0</v>
      </c>
      <c r="I257" t="s">
        <v>180</v>
      </c>
      <c r="J257" t="s">
        <v>26</v>
      </c>
      <c r="K257" s="5">
        <f>639 / 86400</f>
        <v>7.3958333333333333E-3</v>
      </c>
      <c r="L257" s="5">
        <f>20 / 86400</f>
        <v>2.3148148148148149E-4</v>
      </c>
    </row>
    <row r="258" spans="1:12" x14ac:dyDescent="0.25">
      <c r="A258" s="3">
        <v>45699.386354166665</v>
      </c>
      <c r="B258" t="s">
        <v>274</v>
      </c>
      <c r="C258" s="3">
        <v>45699.387280092589</v>
      </c>
      <c r="D258" t="s">
        <v>275</v>
      </c>
      <c r="E258" s="4">
        <v>0.6560265662670135</v>
      </c>
      <c r="F258" s="4">
        <v>347719.64463354193</v>
      </c>
      <c r="G258" s="4">
        <v>347720.30066010822</v>
      </c>
      <c r="H258" s="5">
        <f t="shared" si="1"/>
        <v>0</v>
      </c>
      <c r="I258" t="s">
        <v>174</v>
      </c>
      <c r="J258" t="s">
        <v>202</v>
      </c>
      <c r="K258" s="5">
        <f>80 / 86400</f>
        <v>9.2592592592592596E-4</v>
      </c>
      <c r="L258" s="5">
        <f>20 / 86400</f>
        <v>2.3148148148148149E-4</v>
      </c>
    </row>
    <row r="259" spans="1:12" x14ac:dyDescent="0.25">
      <c r="A259" s="3">
        <v>45699.387511574074</v>
      </c>
      <c r="B259" t="s">
        <v>276</v>
      </c>
      <c r="C259" s="3">
        <v>45699.388506944444</v>
      </c>
      <c r="D259" t="s">
        <v>105</v>
      </c>
      <c r="E259" s="4">
        <v>0.29360690289735791</v>
      </c>
      <c r="F259" s="4">
        <v>347720.39186721516</v>
      </c>
      <c r="G259" s="4">
        <v>347720.68547411804</v>
      </c>
      <c r="H259" s="5">
        <f t="shared" si="1"/>
        <v>0</v>
      </c>
      <c r="I259" t="s">
        <v>178</v>
      </c>
      <c r="J259" t="s">
        <v>131</v>
      </c>
      <c r="K259" s="5">
        <f>86 / 86400</f>
        <v>9.9537037037037042E-4</v>
      </c>
      <c r="L259" s="5">
        <f>450 / 86400</f>
        <v>5.208333333333333E-3</v>
      </c>
    </row>
    <row r="260" spans="1:12" x14ac:dyDescent="0.25">
      <c r="A260" s="3">
        <v>45699.39371527778</v>
      </c>
      <c r="B260" t="s">
        <v>105</v>
      </c>
      <c r="C260" s="3">
        <v>45699.393784722226</v>
      </c>
      <c r="D260" t="s">
        <v>105</v>
      </c>
      <c r="E260" s="4">
        <v>8.7722014784812931E-3</v>
      </c>
      <c r="F260" s="4">
        <v>347720.689865541</v>
      </c>
      <c r="G260" s="4">
        <v>347720.69863774243</v>
      </c>
      <c r="H260" s="5">
        <f t="shared" si="1"/>
        <v>0</v>
      </c>
      <c r="I260" t="s">
        <v>28</v>
      </c>
      <c r="J260" t="s">
        <v>148</v>
      </c>
      <c r="K260" s="5">
        <f>6 / 86400</f>
        <v>6.9444444444444444E-5</v>
      </c>
      <c r="L260" s="5">
        <f>195 / 86400</f>
        <v>2.2569444444444442E-3</v>
      </c>
    </row>
    <row r="261" spans="1:12" x14ac:dyDescent="0.25">
      <c r="A261" s="3">
        <v>45699.396041666667</v>
      </c>
      <c r="B261" t="s">
        <v>277</v>
      </c>
      <c r="C261" s="3">
        <v>45699.397175925929</v>
      </c>
      <c r="D261" t="s">
        <v>278</v>
      </c>
      <c r="E261" s="4">
        <v>0.51436939632892609</v>
      </c>
      <c r="F261" s="4">
        <v>347720.7180149043</v>
      </c>
      <c r="G261" s="4">
        <v>347721.23238430067</v>
      </c>
      <c r="H261" s="5">
        <f t="shared" si="1"/>
        <v>0</v>
      </c>
      <c r="I261" t="s">
        <v>198</v>
      </c>
      <c r="J261" t="s">
        <v>22</v>
      </c>
      <c r="K261" s="5">
        <f>98 / 86400</f>
        <v>1.1342592592592593E-3</v>
      </c>
      <c r="L261" s="5">
        <f>120 / 86400</f>
        <v>1.3888888888888889E-3</v>
      </c>
    </row>
    <row r="262" spans="1:12" x14ac:dyDescent="0.25">
      <c r="A262" s="3">
        <v>45699.398564814815</v>
      </c>
      <c r="B262" t="s">
        <v>279</v>
      </c>
      <c r="C262" s="3">
        <v>45699.400092592594</v>
      </c>
      <c r="D262" t="s">
        <v>280</v>
      </c>
      <c r="E262" s="4">
        <v>0.33545709180831912</v>
      </c>
      <c r="F262" s="4">
        <v>347721.30611996702</v>
      </c>
      <c r="G262" s="4">
        <v>347721.64157705888</v>
      </c>
      <c r="H262" s="5">
        <f t="shared" si="1"/>
        <v>0</v>
      </c>
      <c r="I262" t="s">
        <v>143</v>
      </c>
      <c r="J262" t="s">
        <v>127</v>
      </c>
      <c r="K262" s="5">
        <f>132 / 86400</f>
        <v>1.5277777777777779E-3</v>
      </c>
      <c r="L262" s="5">
        <f>2444 / 86400</f>
        <v>2.8287037037037038E-2</v>
      </c>
    </row>
    <row r="263" spans="1:12" x14ac:dyDescent="0.25">
      <c r="A263" s="3">
        <v>45699.428379629629</v>
      </c>
      <c r="B263" t="s">
        <v>280</v>
      </c>
      <c r="C263" s="3">
        <v>45699.43105324074</v>
      </c>
      <c r="D263" t="s">
        <v>159</v>
      </c>
      <c r="E263" s="4">
        <v>0.97734166568517689</v>
      </c>
      <c r="F263" s="4">
        <v>347721.66693682352</v>
      </c>
      <c r="G263" s="4">
        <v>347722.64427848917</v>
      </c>
      <c r="H263" s="5">
        <f t="shared" si="1"/>
        <v>0</v>
      </c>
      <c r="I263" t="s">
        <v>147</v>
      </c>
      <c r="J263" t="s">
        <v>19</v>
      </c>
      <c r="K263" s="5">
        <f>231 / 86400</f>
        <v>2.673611111111111E-3</v>
      </c>
      <c r="L263" s="5">
        <f>2449 / 86400</f>
        <v>2.8344907407407409E-2</v>
      </c>
    </row>
    <row r="264" spans="1:12" x14ac:dyDescent="0.25">
      <c r="A264" s="3">
        <v>45699.459398148145</v>
      </c>
      <c r="B264" t="s">
        <v>159</v>
      </c>
      <c r="C264" s="3">
        <v>45699.460405092592</v>
      </c>
      <c r="D264" t="s">
        <v>281</v>
      </c>
      <c r="E264" s="4">
        <v>0.33099064660072325</v>
      </c>
      <c r="F264" s="4">
        <v>347722.66433534073</v>
      </c>
      <c r="G264" s="4">
        <v>347722.99532598734</v>
      </c>
      <c r="H264" s="5">
        <f t="shared" si="1"/>
        <v>0</v>
      </c>
      <c r="I264" t="s">
        <v>34</v>
      </c>
      <c r="J264" t="s">
        <v>31</v>
      </c>
      <c r="K264" s="5">
        <f>87 / 86400</f>
        <v>1.0069444444444444E-3</v>
      </c>
      <c r="L264" s="5">
        <f>20 / 86400</f>
        <v>2.3148148148148149E-4</v>
      </c>
    </row>
    <row r="265" spans="1:12" x14ac:dyDescent="0.25">
      <c r="A265" s="3">
        <v>45699.460636574076</v>
      </c>
      <c r="B265" t="s">
        <v>282</v>
      </c>
      <c r="C265" s="3">
        <v>45699.461562500001</v>
      </c>
      <c r="D265" t="s">
        <v>283</v>
      </c>
      <c r="E265" s="4">
        <v>0.39986109364032746</v>
      </c>
      <c r="F265" s="4">
        <v>347723.04907641822</v>
      </c>
      <c r="G265" s="4">
        <v>347723.44893751189</v>
      </c>
      <c r="H265" s="5">
        <f t="shared" si="1"/>
        <v>0</v>
      </c>
      <c r="I265" t="s">
        <v>203</v>
      </c>
      <c r="J265" t="s">
        <v>26</v>
      </c>
      <c r="K265" s="5">
        <f>80 / 86400</f>
        <v>9.2592592592592596E-4</v>
      </c>
      <c r="L265" s="5">
        <f>360 / 86400</f>
        <v>4.1666666666666666E-3</v>
      </c>
    </row>
    <row r="266" spans="1:12" x14ac:dyDescent="0.25">
      <c r="A266" s="3">
        <v>45699.465729166666</v>
      </c>
      <c r="B266" t="s">
        <v>278</v>
      </c>
      <c r="C266" s="3">
        <v>45699.466296296298</v>
      </c>
      <c r="D266" t="s">
        <v>277</v>
      </c>
      <c r="E266" s="4">
        <v>0.21568585312366487</v>
      </c>
      <c r="F266" s="4">
        <v>347723.48277652409</v>
      </c>
      <c r="G266" s="4">
        <v>347723.69846237719</v>
      </c>
      <c r="H266" s="5">
        <f t="shared" si="1"/>
        <v>0</v>
      </c>
      <c r="I266" t="s">
        <v>137</v>
      </c>
      <c r="J266" t="s">
        <v>37</v>
      </c>
      <c r="K266" s="5">
        <f>49 / 86400</f>
        <v>5.6712962962962967E-4</v>
      </c>
      <c r="L266" s="5">
        <f>20 / 86400</f>
        <v>2.3148148148148149E-4</v>
      </c>
    </row>
    <row r="267" spans="1:12" x14ac:dyDescent="0.25">
      <c r="A267" s="3">
        <v>45699.466527777782</v>
      </c>
      <c r="B267" t="s">
        <v>277</v>
      </c>
      <c r="C267" s="3">
        <v>45699.468611111108</v>
      </c>
      <c r="D267" t="s">
        <v>274</v>
      </c>
      <c r="E267" s="4">
        <v>1.2006807701587676</v>
      </c>
      <c r="F267" s="4">
        <v>347723.85695110058</v>
      </c>
      <c r="G267" s="4">
        <v>347725.05763187073</v>
      </c>
      <c r="H267" s="5">
        <f t="shared" si="1"/>
        <v>0</v>
      </c>
      <c r="I267" t="s">
        <v>171</v>
      </c>
      <c r="J267" t="s">
        <v>130</v>
      </c>
      <c r="K267" s="5">
        <f>180 / 86400</f>
        <v>2.0833333333333333E-3</v>
      </c>
      <c r="L267" s="5">
        <f>20 / 86400</f>
        <v>2.3148148148148149E-4</v>
      </c>
    </row>
    <row r="268" spans="1:12" x14ac:dyDescent="0.25">
      <c r="A268" s="3">
        <v>45699.468842592592</v>
      </c>
      <c r="B268" t="s">
        <v>274</v>
      </c>
      <c r="C268" s="3">
        <v>45699.469537037032</v>
      </c>
      <c r="D268" t="s">
        <v>284</v>
      </c>
      <c r="E268" s="4">
        <v>0.40735700023174287</v>
      </c>
      <c r="F268" s="4">
        <v>347725.13054523995</v>
      </c>
      <c r="G268" s="4">
        <v>347725.53790224018</v>
      </c>
      <c r="H268" s="5">
        <f t="shared" si="1"/>
        <v>0</v>
      </c>
      <c r="I268" t="s">
        <v>285</v>
      </c>
      <c r="J268" t="s">
        <v>130</v>
      </c>
      <c r="K268" s="5">
        <f>60 / 86400</f>
        <v>6.9444444444444447E-4</v>
      </c>
      <c r="L268" s="5">
        <f>20 / 86400</f>
        <v>2.3148148148148149E-4</v>
      </c>
    </row>
    <row r="269" spans="1:12" x14ac:dyDescent="0.25">
      <c r="A269" s="3">
        <v>45699.469768518524</v>
      </c>
      <c r="B269" t="s">
        <v>286</v>
      </c>
      <c r="C269" s="3">
        <v>45699.472685185188</v>
      </c>
      <c r="D269" t="s">
        <v>287</v>
      </c>
      <c r="E269" s="4">
        <v>1.8338825820088387</v>
      </c>
      <c r="F269" s="4">
        <v>347725.59624736407</v>
      </c>
      <c r="G269" s="4">
        <v>347727.43012994603</v>
      </c>
      <c r="H269" s="5">
        <f t="shared" si="1"/>
        <v>0</v>
      </c>
      <c r="I269" t="s">
        <v>186</v>
      </c>
      <c r="J269" t="s">
        <v>137</v>
      </c>
      <c r="K269" s="5">
        <f>252 / 86400</f>
        <v>2.9166666666666668E-3</v>
      </c>
      <c r="L269" s="5">
        <f>14 / 86400</f>
        <v>1.6203703703703703E-4</v>
      </c>
    </row>
    <row r="270" spans="1:12" x14ac:dyDescent="0.25">
      <c r="A270" s="3">
        <v>45699.47284722222</v>
      </c>
      <c r="B270" t="s">
        <v>287</v>
      </c>
      <c r="C270" s="3">
        <v>45699.475127314814</v>
      </c>
      <c r="D270" t="s">
        <v>115</v>
      </c>
      <c r="E270" s="4">
        <v>0.85768480688333515</v>
      </c>
      <c r="F270" s="4">
        <v>347727.44562085537</v>
      </c>
      <c r="G270" s="4">
        <v>347728.3033056623</v>
      </c>
      <c r="H270" s="5">
        <f t="shared" si="1"/>
        <v>0</v>
      </c>
      <c r="I270" t="s">
        <v>203</v>
      </c>
      <c r="J270" t="s">
        <v>37</v>
      </c>
      <c r="K270" s="5">
        <f>197 / 86400</f>
        <v>2.2800925925925927E-3</v>
      </c>
      <c r="L270" s="5">
        <f>80 / 86400</f>
        <v>9.2592592592592596E-4</v>
      </c>
    </row>
    <row r="271" spans="1:12" x14ac:dyDescent="0.25">
      <c r="A271" s="3">
        <v>45699.476053240738</v>
      </c>
      <c r="B271" t="s">
        <v>288</v>
      </c>
      <c r="C271" s="3">
        <v>45699.476979166662</v>
      </c>
      <c r="D271" t="s">
        <v>288</v>
      </c>
      <c r="E271" s="4">
        <v>3.0781398832798006E-2</v>
      </c>
      <c r="F271" s="4">
        <v>347728.33249099401</v>
      </c>
      <c r="G271" s="4">
        <v>347728.36327239289</v>
      </c>
      <c r="H271" s="5">
        <f t="shared" si="1"/>
        <v>0</v>
      </c>
      <c r="I271" t="s">
        <v>29</v>
      </c>
      <c r="J271" t="s">
        <v>29</v>
      </c>
      <c r="K271" s="5">
        <f>80 / 86400</f>
        <v>9.2592592592592596E-4</v>
      </c>
      <c r="L271" s="5">
        <f>60 / 86400</f>
        <v>6.9444444444444447E-4</v>
      </c>
    </row>
    <row r="272" spans="1:12" x14ac:dyDescent="0.25">
      <c r="A272" s="3">
        <v>45699.477673611109</v>
      </c>
      <c r="B272" t="s">
        <v>115</v>
      </c>
      <c r="C272" s="3">
        <v>45699.478136574078</v>
      </c>
      <c r="D272" t="s">
        <v>115</v>
      </c>
      <c r="E272" s="4">
        <v>8.4093259572982793E-3</v>
      </c>
      <c r="F272" s="4">
        <v>347728.38165743445</v>
      </c>
      <c r="G272" s="4">
        <v>347728.39006676042</v>
      </c>
      <c r="H272" s="5">
        <f t="shared" si="1"/>
        <v>0</v>
      </c>
      <c r="I272" t="s">
        <v>157</v>
      </c>
      <c r="J272" t="s">
        <v>29</v>
      </c>
      <c r="K272" s="5">
        <f>40 / 86400</f>
        <v>4.6296296296296298E-4</v>
      </c>
      <c r="L272" s="5">
        <f>20 / 86400</f>
        <v>2.3148148148148149E-4</v>
      </c>
    </row>
    <row r="273" spans="1:12" x14ac:dyDescent="0.25">
      <c r="A273" s="3">
        <v>45699.478368055556</v>
      </c>
      <c r="B273" t="s">
        <v>115</v>
      </c>
      <c r="C273" s="3">
        <v>45699.478599537033</v>
      </c>
      <c r="D273" t="s">
        <v>115</v>
      </c>
      <c r="E273" s="4">
        <v>6.0323063731193543E-3</v>
      </c>
      <c r="F273" s="4">
        <v>347728.39846235607</v>
      </c>
      <c r="G273" s="4">
        <v>347728.40449466248</v>
      </c>
      <c r="H273" s="5">
        <f t="shared" si="1"/>
        <v>0</v>
      </c>
      <c r="I273" t="s">
        <v>57</v>
      </c>
      <c r="J273" t="s">
        <v>29</v>
      </c>
      <c r="K273" s="5">
        <f>20 / 86400</f>
        <v>2.3148148148148149E-4</v>
      </c>
      <c r="L273" s="5">
        <f>16 / 86400</f>
        <v>1.8518518518518518E-4</v>
      </c>
    </row>
    <row r="274" spans="1:12" x14ac:dyDescent="0.25">
      <c r="A274" s="3">
        <v>45699.478784722218</v>
      </c>
      <c r="B274" t="s">
        <v>119</v>
      </c>
      <c r="C274" s="3">
        <v>45699.480405092589</v>
      </c>
      <c r="D274" t="s">
        <v>119</v>
      </c>
      <c r="E274" s="4">
        <v>0.61651269215345383</v>
      </c>
      <c r="F274" s="4">
        <v>347728.41892706574</v>
      </c>
      <c r="G274" s="4">
        <v>347729.03543975786</v>
      </c>
      <c r="H274" s="5">
        <f t="shared" si="1"/>
        <v>0</v>
      </c>
      <c r="I274" t="s">
        <v>285</v>
      </c>
      <c r="J274" t="s">
        <v>37</v>
      </c>
      <c r="K274" s="5">
        <f>140 / 86400</f>
        <v>1.6203703703703703E-3</v>
      </c>
      <c r="L274" s="5">
        <f>20 / 86400</f>
        <v>2.3148148148148149E-4</v>
      </c>
    </row>
    <row r="275" spans="1:12" x14ac:dyDescent="0.25">
      <c r="A275" s="3">
        <v>45699.480636574073</v>
      </c>
      <c r="B275" t="s">
        <v>289</v>
      </c>
      <c r="C275" s="3">
        <v>45699.481099537035</v>
      </c>
      <c r="D275" t="s">
        <v>290</v>
      </c>
      <c r="E275" s="4">
        <v>0.22562870359420775</v>
      </c>
      <c r="F275" s="4">
        <v>347729.07492437278</v>
      </c>
      <c r="G275" s="4">
        <v>347729.30055307638</v>
      </c>
      <c r="H275" s="5">
        <f t="shared" si="1"/>
        <v>0</v>
      </c>
      <c r="I275" t="s">
        <v>198</v>
      </c>
      <c r="J275" t="s">
        <v>152</v>
      </c>
      <c r="K275" s="5">
        <f>40 / 86400</f>
        <v>4.6296296296296298E-4</v>
      </c>
      <c r="L275" s="5">
        <f>20 / 86400</f>
        <v>2.3148148148148149E-4</v>
      </c>
    </row>
    <row r="276" spans="1:12" x14ac:dyDescent="0.25">
      <c r="A276" s="3">
        <v>45699.48133101852</v>
      </c>
      <c r="B276" t="s">
        <v>290</v>
      </c>
      <c r="C276" s="3">
        <v>45699.481793981482</v>
      </c>
      <c r="D276" t="s">
        <v>291</v>
      </c>
      <c r="E276" s="4">
        <v>0.30423130786418917</v>
      </c>
      <c r="F276" s="4">
        <v>347729.30466144287</v>
      </c>
      <c r="G276" s="4">
        <v>347729.60889275075</v>
      </c>
      <c r="H276" s="5">
        <f t="shared" si="1"/>
        <v>0</v>
      </c>
      <c r="I276" t="s">
        <v>252</v>
      </c>
      <c r="J276" t="s">
        <v>143</v>
      </c>
      <c r="K276" s="5">
        <f>40 / 86400</f>
        <v>4.6296296296296298E-4</v>
      </c>
      <c r="L276" s="5">
        <f>20 / 86400</f>
        <v>2.3148148148148149E-4</v>
      </c>
    </row>
    <row r="277" spans="1:12" x14ac:dyDescent="0.25">
      <c r="A277" s="3">
        <v>45699.482025462959</v>
      </c>
      <c r="B277" t="s">
        <v>291</v>
      </c>
      <c r="C277" s="3">
        <v>45699.482488425929</v>
      </c>
      <c r="D277" t="s">
        <v>119</v>
      </c>
      <c r="E277" s="4">
        <v>0.30462515515089034</v>
      </c>
      <c r="F277" s="4">
        <v>347729.64547594741</v>
      </c>
      <c r="G277" s="4">
        <v>347729.95010110259</v>
      </c>
      <c r="H277" s="5">
        <f t="shared" si="1"/>
        <v>0</v>
      </c>
      <c r="I277" t="s">
        <v>198</v>
      </c>
      <c r="J277" t="s">
        <v>143</v>
      </c>
      <c r="K277" s="5">
        <f>40 / 86400</f>
        <v>4.6296296296296298E-4</v>
      </c>
      <c r="L277" s="5">
        <f>20 / 86400</f>
        <v>2.3148148148148149E-4</v>
      </c>
    </row>
    <row r="278" spans="1:12" x14ac:dyDescent="0.25">
      <c r="A278" s="3">
        <v>45699.482719907406</v>
      </c>
      <c r="B278" t="s">
        <v>119</v>
      </c>
      <c r="C278" s="3">
        <v>45699.48436342593</v>
      </c>
      <c r="D278" t="s">
        <v>292</v>
      </c>
      <c r="E278" s="4">
        <v>1.4874050178527831</v>
      </c>
      <c r="F278" s="4">
        <v>347729.97924877377</v>
      </c>
      <c r="G278" s="4">
        <v>347731.46665379161</v>
      </c>
      <c r="H278" s="5">
        <f t="shared" si="1"/>
        <v>0</v>
      </c>
      <c r="I278" t="s">
        <v>261</v>
      </c>
      <c r="J278" t="s">
        <v>154</v>
      </c>
      <c r="K278" s="5">
        <f>142 / 86400</f>
        <v>1.6435185185185185E-3</v>
      </c>
      <c r="L278" s="5">
        <f>20 / 86400</f>
        <v>2.3148148148148149E-4</v>
      </c>
    </row>
    <row r="279" spans="1:12" x14ac:dyDescent="0.25">
      <c r="A279" s="3">
        <v>45699.484594907408</v>
      </c>
      <c r="B279" t="s">
        <v>292</v>
      </c>
      <c r="C279" s="3">
        <v>45699.485520833332</v>
      </c>
      <c r="D279" t="s">
        <v>271</v>
      </c>
      <c r="E279" s="4">
        <v>0.96265370053052901</v>
      </c>
      <c r="F279" s="4">
        <v>347731.47962277883</v>
      </c>
      <c r="G279" s="4">
        <v>347732.44227647939</v>
      </c>
      <c r="H279" s="5">
        <f t="shared" si="1"/>
        <v>0</v>
      </c>
      <c r="I279" t="s">
        <v>197</v>
      </c>
      <c r="J279" t="s">
        <v>186</v>
      </c>
      <c r="K279" s="5">
        <f>80 / 86400</f>
        <v>9.2592592592592596E-4</v>
      </c>
      <c r="L279" s="5">
        <f>12 / 86400</f>
        <v>1.3888888888888889E-4</v>
      </c>
    </row>
    <row r="280" spans="1:12" x14ac:dyDescent="0.25">
      <c r="A280" s="3">
        <v>45699.485659722224</v>
      </c>
      <c r="B280" t="s">
        <v>271</v>
      </c>
      <c r="C280" s="3">
        <v>45699.487511574072</v>
      </c>
      <c r="D280" t="s">
        <v>120</v>
      </c>
      <c r="E280" s="4">
        <v>1.7612089475989341</v>
      </c>
      <c r="F280" s="4">
        <v>347732.44750434125</v>
      </c>
      <c r="G280" s="4">
        <v>347734.20871328883</v>
      </c>
      <c r="H280" s="5">
        <f t="shared" si="1"/>
        <v>0</v>
      </c>
      <c r="I280" t="s">
        <v>173</v>
      </c>
      <c r="J280" t="s">
        <v>174</v>
      </c>
      <c r="K280" s="5">
        <f>160 / 86400</f>
        <v>1.8518518518518519E-3</v>
      </c>
      <c r="L280" s="5">
        <f>60 / 86400</f>
        <v>6.9444444444444447E-4</v>
      </c>
    </row>
    <row r="281" spans="1:12" x14ac:dyDescent="0.25">
      <c r="A281" s="3">
        <v>45699.488206018519</v>
      </c>
      <c r="B281" t="s">
        <v>120</v>
      </c>
      <c r="C281" s="3">
        <v>45699.489131944443</v>
      </c>
      <c r="D281" t="s">
        <v>293</v>
      </c>
      <c r="E281" s="4">
        <v>0.9335416195988655</v>
      </c>
      <c r="F281" s="4">
        <v>347734.28173823742</v>
      </c>
      <c r="G281" s="4">
        <v>347735.21527985705</v>
      </c>
      <c r="H281" s="5">
        <f t="shared" si="1"/>
        <v>0</v>
      </c>
      <c r="I281" t="s">
        <v>133</v>
      </c>
      <c r="J281" t="s">
        <v>285</v>
      </c>
      <c r="K281" s="5">
        <f>80 / 86400</f>
        <v>9.2592592592592596E-4</v>
      </c>
      <c r="L281" s="5">
        <f>20 / 86400</f>
        <v>2.3148148148148149E-4</v>
      </c>
    </row>
    <row r="282" spans="1:12" x14ac:dyDescent="0.25">
      <c r="A282" s="3">
        <v>45699.489363425921</v>
      </c>
      <c r="B282" t="s">
        <v>293</v>
      </c>
      <c r="C282" s="3">
        <v>45699.490752314814</v>
      </c>
      <c r="D282" t="s">
        <v>293</v>
      </c>
      <c r="E282" s="4">
        <v>1.236757374227047</v>
      </c>
      <c r="F282" s="4">
        <v>347735.37638189073</v>
      </c>
      <c r="G282" s="4">
        <v>347736.61313926493</v>
      </c>
      <c r="H282" s="5">
        <f t="shared" si="1"/>
        <v>0</v>
      </c>
      <c r="I282" t="s">
        <v>261</v>
      </c>
      <c r="J282" t="s">
        <v>147</v>
      </c>
      <c r="K282" s="5">
        <f>120 / 86400</f>
        <v>1.3888888888888889E-3</v>
      </c>
      <c r="L282" s="5">
        <f>23 / 86400</f>
        <v>2.6620370370370372E-4</v>
      </c>
    </row>
    <row r="283" spans="1:12" x14ac:dyDescent="0.25">
      <c r="A283" s="3">
        <v>45699.491018518514</v>
      </c>
      <c r="B283" t="s">
        <v>293</v>
      </c>
      <c r="C283" s="3">
        <v>45699.491898148146</v>
      </c>
      <c r="D283" t="s">
        <v>294</v>
      </c>
      <c r="E283" s="4">
        <v>1.020060798406601</v>
      </c>
      <c r="F283" s="4">
        <v>347736.61674227379</v>
      </c>
      <c r="G283" s="4">
        <v>347737.63680307224</v>
      </c>
      <c r="H283" s="5">
        <f t="shared" si="1"/>
        <v>0</v>
      </c>
      <c r="I283" t="s">
        <v>92</v>
      </c>
      <c r="J283" t="s">
        <v>156</v>
      </c>
      <c r="K283" s="5">
        <f>76 / 86400</f>
        <v>8.7962962962962962E-4</v>
      </c>
      <c r="L283" s="5">
        <f>20 / 86400</f>
        <v>2.3148148148148149E-4</v>
      </c>
    </row>
    <row r="284" spans="1:12" x14ac:dyDescent="0.25">
      <c r="A284" s="3">
        <v>45699.492129629631</v>
      </c>
      <c r="B284" t="s">
        <v>294</v>
      </c>
      <c r="C284" s="3">
        <v>45699.492592592593</v>
      </c>
      <c r="D284" t="s">
        <v>294</v>
      </c>
      <c r="E284" s="4">
        <v>0.3213059183359146</v>
      </c>
      <c r="F284" s="4">
        <v>347737.64378990995</v>
      </c>
      <c r="G284" s="4">
        <v>347737.96509582829</v>
      </c>
      <c r="H284" s="5">
        <f t="shared" si="1"/>
        <v>0</v>
      </c>
      <c r="I284" t="s">
        <v>239</v>
      </c>
      <c r="J284" t="s">
        <v>203</v>
      </c>
      <c r="K284" s="5">
        <f>40 / 86400</f>
        <v>4.6296296296296298E-4</v>
      </c>
      <c r="L284" s="5">
        <f>20 / 86400</f>
        <v>2.3148148148148149E-4</v>
      </c>
    </row>
    <row r="285" spans="1:12" x14ac:dyDescent="0.25">
      <c r="A285" s="3">
        <v>45699.49282407407</v>
      </c>
      <c r="B285" t="s">
        <v>294</v>
      </c>
      <c r="C285" s="3">
        <v>45699.494444444441</v>
      </c>
      <c r="D285" t="s">
        <v>293</v>
      </c>
      <c r="E285" s="4">
        <v>1.0604739999771118</v>
      </c>
      <c r="F285" s="4">
        <v>347737.97212459514</v>
      </c>
      <c r="G285" s="4">
        <v>347739.03259859513</v>
      </c>
      <c r="H285" s="5">
        <f t="shared" si="1"/>
        <v>0</v>
      </c>
      <c r="I285" t="s">
        <v>295</v>
      </c>
      <c r="J285" t="s">
        <v>143</v>
      </c>
      <c r="K285" s="5">
        <f>140 / 86400</f>
        <v>1.6203703703703703E-3</v>
      </c>
      <c r="L285" s="5">
        <f>40 / 86400</f>
        <v>4.6296296296296298E-4</v>
      </c>
    </row>
    <row r="286" spans="1:12" x14ac:dyDescent="0.25">
      <c r="A286" s="3">
        <v>45699.49490740741</v>
      </c>
      <c r="B286" t="s">
        <v>296</v>
      </c>
      <c r="C286" s="3">
        <v>45699.495138888888</v>
      </c>
      <c r="D286" t="s">
        <v>296</v>
      </c>
      <c r="E286" s="4">
        <v>0.13206664633750914</v>
      </c>
      <c r="F286" s="4">
        <v>347739.15566376847</v>
      </c>
      <c r="G286" s="4">
        <v>347739.28773041483</v>
      </c>
      <c r="H286" s="5">
        <f t="shared" si="1"/>
        <v>0</v>
      </c>
      <c r="I286" t="s">
        <v>239</v>
      </c>
      <c r="J286" t="s">
        <v>130</v>
      </c>
      <c r="K286" s="5">
        <f>20 / 86400</f>
        <v>2.3148148148148149E-4</v>
      </c>
      <c r="L286" s="5">
        <f>12 / 86400</f>
        <v>1.3888888888888889E-4</v>
      </c>
    </row>
    <row r="287" spans="1:12" x14ac:dyDescent="0.25">
      <c r="A287" s="3">
        <v>45699.49527777778</v>
      </c>
      <c r="B287" t="s">
        <v>296</v>
      </c>
      <c r="C287" s="3">
        <v>45699.496435185181</v>
      </c>
      <c r="D287" t="s">
        <v>266</v>
      </c>
      <c r="E287" s="4">
        <v>1.4371063237190247</v>
      </c>
      <c r="F287" s="4">
        <v>347739.29054938204</v>
      </c>
      <c r="G287" s="4">
        <v>347740.72765570576</v>
      </c>
      <c r="H287" s="5">
        <f t="shared" si="1"/>
        <v>0</v>
      </c>
      <c r="I287" t="s">
        <v>33</v>
      </c>
      <c r="J287" t="s">
        <v>261</v>
      </c>
      <c r="K287" s="5">
        <f>100 / 86400</f>
        <v>1.1574074074074073E-3</v>
      </c>
      <c r="L287" s="5">
        <f>40 / 86400</f>
        <v>4.6296296296296298E-4</v>
      </c>
    </row>
    <row r="288" spans="1:12" x14ac:dyDescent="0.25">
      <c r="A288" s="3">
        <v>45699.496898148151</v>
      </c>
      <c r="B288" t="s">
        <v>266</v>
      </c>
      <c r="C288" s="3">
        <v>45699.497361111113</v>
      </c>
      <c r="D288" t="s">
        <v>265</v>
      </c>
      <c r="E288" s="4">
        <v>0.63329053193330764</v>
      </c>
      <c r="F288" s="4">
        <v>347740.91946881468</v>
      </c>
      <c r="G288" s="4">
        <v>347741.55275934661</v>
      </c>
      <c r="H288" s="5">
        <f t="shared" si="1"/>
        <v>0</v>
      </c>
      <c r="I288" t="s">
        <v>45</v>
      </c>
      <c r="J288" t="s">
        <v>295</v>
      </c>
      <c r="K288" s="5">
        <f>40 / 86400</f>
        <v>4.6296296296296298E-4</v>
      </c>
      <c r="L288" s="5">
        <f>20 / 86400</f>
        <v>2.3148148148148149E-4</v>
      </c>
    </row>
    <row r="289" spans="1:12" x14ac:dyDescent="0.25">
      <c r="A289" s="3">
        <v>45699.497592592597</v>
      </c>
      <c r="B289" t="s">
        <v>265</v>
      </c>
      <c r="C289" s="3">
        <v>45699.497824074075</v>
      </c>
      <c r="D289" t="s">
        <v>35</v>
      </c>
      <c r="E289" s="4">
        <v>0.17754933547973634</v>
      </c>
      <c r="F289" s="4">
        <v>347741.7011336204</v>
      </c>
      <c r="G289" s="4">
        <v>347741.87868295587</v>
      </c>
      <c r="H289" s="5">
        <f t="shared" ref="H289:H352" si="2">0 / 86400</f>
        <v>0</v>
      </c>
      <c r="I289" t="s">
        <v>215</v>
      </c>
      <c r="J289" t="s">
        <v>184</v>
      </c>
      <c r="K289" s="5">
        <f>20 / 86400</f>
        <v>2.3148148148148149E-4</v>
      </c>
      <c r="L289" s="5">
        <f>20 / 86400</f>
        <v>2.3148148148148149E-4</v>
      </c>
    </row>
    <row r="290" spans="1:12" x14ac:dyDescent="0.25">
      <c r="A290" s="3">
        <v>45699.498055555552</v>
      </c>
      <c r="B290" t="s">
        <v>35</v>
      </c>
      <c r="C290" s="3">
        <v>45699.499675925923</v>
      </c>
      <c r="D290" t="s">
        <v>170</v>
      </c>
      <c r="E290" s="4">
        <v>1.1592482270598412</v>
      </c>
      <c r="F290" s="4">
        <v>347741.96525369771</v>
      </c>
      <c r="G290" s="4">
        <v>347743.12450192473</v>
      </c>
      <c r="H290" s="5">
        <f t="shared" si="2"/>
        <v>0</v>
      </c>
      <c r="I290" t="s">
        <v>261</v>
      </c>
      <c r="J290" t="s">
        <v>202</v>
      </c>
      <c r="K290" s="5">
        <f>140 / 86400</f>
        <v>1.6203703703703703E-3</v>
      </c>
      <c r="L290" s="5">
        <f>52 / 86400</f>
        <v>6.018518518518519E-4</v>
      </c>
    </row>
    <row r="291" spans="1:12" x14ac:dyDescent="0.25">
      <c r="A291" s="3">
        <v>45699.500277777777</v>
      </c>
      <c r="B291" t="s">
        <v>170</v>
      </c>
      <c r="C291" s="3">
        <v>45699.500509259262</v>
      </c>
      <c r="D291" t="s">
        <v>170</v>
      </c>
      <c r="E291" s="4">
        <v>3.2082985222339627E-2</v>
      </c>
      <c r="F291" s="4">
        <v>347743.13310697628</v>
      </c>
      <c r="G291" s="4">
        <v>347743.1651899615</v>
      </c>
      <c r="H291" s="5">
        <f t="shared" si="2"/>
        <v>0</v>
      </c>
      <c r="I291" t="s">
        <v>28</v>
      </c>
      <c r="J291" t="s">
        <v>128</v>
      </c>
      <c r="K291" s="5">
        <f>20 / 86400</f>
        <v>2.3148148148148149E-4</v>
      </c>
      <c r="L291" s="5">
        <f>6 / 86400</f>
        <v>6.9444444444444444E-5</v>
      </c>
    </row>
    <row r="292" spans="1:12" x14ac:dyDescent="0.25">
      <c r="A292" s="3">
        <v>45699.500578703708</v>
      </c>
      <c r="B292" t="s">
        <v>170</v>
      </c>
      <c r="C292" s="3">
        <v>45699.500810185185</v>
      </c>
      <c r="D292" t="s">
        <v>172</v>
      </c>
      <c r="E292" s="4">
        <v>4.7159803509712217E-2</v>
      </c>
      <c r="F292" s="4">
        <v>347743.16724600218</v>
      </c>
      <c r="G292" s="4">
        <v>347743.21440580569</v>
      </c>
      <c r="H292" s="5">
        <f t="shared" si="2"/>
        <v>0</v>
      </c>
      <c r="I292" t="s">
        <v>128</v>
      </c>
      <c r="J292" t="s">
        <v>125</v>
      </c>
      <c r="K292" s="5">
        <f>20 / 86400</f>
        <v>2.3148148148148149E-4</v>
      </c>
      <c r="L292" s="5">
        <f>100 / 86400</f>
        <v>1.1574074074074073E-3</v>
      </c>
    </row>
    <row r="293" spans="1:12" x14ac:dyDescent="0.25">
      <c r="A293" s="3">
        <v>45699.501967592594</v>
      </c>
      <c r="B293" t="s">
        <v>172</v>
      </c>
      <c r="C293" s="3">
        <v>45699.505208333328</v>
      </c>
      <c r="D293" t="s">
        <v>169</v>
      </c>
      <c r="E293" s="4">
        <v>2.5022210327982903</v>
      </c>
      <c r="F293" s="4">
        <v>347743.2409557639</v>
      </c>
      <c r="G293" s="4">
        <v>347745.74317679665</v>
      </c>
      <c r="H293" s="5">
        <f t="shared" si="2"/>
        <v>0</v>
      </c>
      <c r="I293" t="s">
        <v>62</v>
      </c>
      <c r="J293" t="s">
        <v>184</v>
      </c>
      <c r="K293" s="5">
        <f>280 / 86400</f>
        <v>3.2407407407407406E-3</v>
      </c>
      <c r="L293" s="5">
        <f>40 / 86400</f>
        <v>4.6296296296296298E-4</v>
      </c>
    </row>
    <row r="294" spans="1:12" x14ac:dyDescent="0.25">
      <c r="A294" s="3">
        <v>45699.505671296298</v>
      </c>
      <c r="B294" t="s">
        <v>169</v>
      </c>
      <c r="C294" s="3">
        <v>45699.506828703699</v>
      </c>
      <c r="D294" t="s">
        <v>101</v>
      </c>
      <c r="E294" s="4">
        <v>0.64967725175619129</v>
      </c>
      <c r="F294" s="4">
        <v>347745.80238442688</v>
      </c>
      <c r="G294" s="4">
        <v>347746.45206167863</v>
      </c>
      <c r="H294" s="5">
        <f t="shared" si="2"/>
        <v>0</v>
      </c>
      <c r="I294" t="s">
        <v>32</v>
      </c>
      <c r="J294" t="s">
        <v>160</v>
      </c>
      <c r="K294" s="5">
        <f>100 / 86400</f>
        <v>1.1574074074074073E-3</v>
      </c>
      <c r="L294" s="5">
        <f>32 / 86400</f>
        <v>3.7037037037037035E-4</v>
      </c>
    </row>
    <row r="295" spans="1:12" x14ac:dyDescent="0.25">
      <c r="A295" s="3">
        <v>45699.507199074069</v>
      </c>
      <c r="B295" t="s">
        <v>101</v>
      </c>
      <c r="C295" s="3">
        <v>45699.507662037038</v>
      </c>
      <c r="D295" t="s">
        <v>101</v>
      </c>
      <c r="E295" s="4">
        <v>2.5070981383323671E-2</v>
      </c>
      <c r="F295" s="4">
        <v>347746.46480634506</v>
      </c>
      <c r="G295" s="4">
        <v>347746.48987732641</v>
      </c>
      <c r="H295" s="5">
        <f t="shared" si="2"/>
        <v>0</v>
      </c>
      <c r="I295" t="s">
        <v>148</v>
      </c>
      <c r="J295" t="s">
        <v>57</v>
      </c>
      <c r="K295" s="5">
        <f>40 / 86400</f>
        <v>4.6296296296296298E-4</v>
      </c>
      <c r="L295" s="5">
        <f>20 / 86400</f>
        <v>2.3148148148148149E-4</v>
      </c>
    </row>
    <row r="296" spans="1:12" x14ac:dyDescent="0.25">
      <c r="A296" s="3">
        <v>45699.507893518516</v>
      </c>
      <c r="B296" t="s">
        <v>101</v>
      </c>
      <c r="C296" s="3">
        <v>45699.508587962962</v>
      </c>
      <c r="D296" t="s">
        <v>101</v>
      </c>
      <c r="E296" s="4">
        <v>6.8574292004108431E-2</v>
      </c>
      <c r="F296" s="4">
        <v>347746.49851407815</v>
      </c>
      <c r="G296" s="4">
        <v>347746.56708837015</v>
      </c>
      <c r="H296" s="5">
        <f t="shared" si="2"/>
        <v>0</v>
      </c>
      <c r="I296" t="s">
        <v>28</v>
      </c>
      <c r="J296" t="s">
        <v>232</v>
      </c>
      <c r="K296" s="5">
        <f>60 / 86400</f>
        <v>6.9444444444444447E-4</v>
      </c>
      <c r="L296" s="5">
        <f>49 / 86400</f>
        <v>5.6712962962962967E-4</v>
      </c>
    </row>
    <row r="297" spans="1:12" x14ac:dyDescent="0.25">
      <c r="A297" s="3">
        <v>45699.509155092594</v>
      </c>
      <c r="B297" t="s">
        <v>101</v>
      </c>
      <c r="C297" s="3">
        <v>45699.514247685191</v>
      </c>
      <c r="D297" t="s">
        <v>181</v>
      </c>
      <c r="E297" s="4">
        <v>4.5258126434087753</v>
      </c>
      <c r="F297" s="4">
        <v>347746.59048234002</v>
      </c>
      <c r="G297" s="4">
        <v>347751.11629498343</v>
      </c>
      <c r="H297" s="5">
        <f t="shared" si="2"/>
        <v>0</v>
      </c>
      <c r="I297" t="s">
        <v>36</v>
      </c>
      <c r="J297" t="s">
        <v>147</v>
      </c>
      <c r="K297" s="5">
        <f>440 / 86400</f>
        <v>5.092592592592593E-3</v>
      </c>
      <c r="L297" s="5">
        <f>34 / 86400</f>
        <v>3.9351851851851852E-4</v>
      </c>
    </row>
    <row r="298" spans="1:12" x14ac:dyDescent="0.25">
      <c r="A298" s="3">
        <v>45699.514641203699</v>
      </c>
      <c r="B298" t="s">
        <v>297</v>
      </c>
      <c r="C298" s="3">
        <v>45699.514872685184</v>
      </c>
      <c r="D298" t="s">
        <v>181</v>
      </c>
      <c r="E298" s="4">
        <v>8.6227931380271905E-3</v>
      </c>
      <c r="F298" s="4">
        <v>347751.12217175652</v>
      </c>
      <c r="G298" s="4">
        <v>347751.13079454965</v>
      </c>
      <c r="H298" s="5">
        <f t="shared" si="2"/>
        <v>0</v>
      </c>
      <c r="I298" t="s">
        <v>148</v>
      </c>
      <c r="J298" t="s">
        <v>57</v>
      </c>
      <c r="K298" s="5">
        <f>20 / 86400</f>
        <v>2.3148148148148149E-4</v>
      </c>
      <c r="L298" s="5">
        <f>20 / 86400</f>
        <v>2.3148148148148149E-4</v>
      </c>
    </row>
    <row r="299" spans="1:12" x14ac:dyDescent="0.25">
      <c r="A299" s="3">
        <v>45699.515104166669</v>
      </c>
      <c r="B299" t="s">
        <v>298</v>
      </c>
      <c r="C299" s="3">
        <v>45699.515335648146</v>
      </c>
      <c r="D299" t="s">
        <v>116</v>
      </c>
      <c r="E299" s="4">
        <v>1.5739461660385132E-2</v>
      </c>
      <c r="F299" s="4">
        <v>347751.15413048671</v>
      </c>
      <c r="G299" s="4">
        <v>347751.16986994841</v>
      </c>
      <c r="H299" s="5">
        <f t="shared" si="2"/>
        <v>0</v>
      </c>
      <c r="I299" t="s">
        <v>31</v>
      </c>
      <c r="J299" t="s">
        <v>157</v>
      </c>
      <c r="K299" s="5">
        <f>20 / 86400</f>
        <v>2.3148148148148149E-4</v>
      </c>
      <c r="L299" s="5">
        <f>37 / 86400</f>
        <v>4.2824074074074075E-4</v>
      </c>
    </row>
    <row r="300" spans="1:12" x14ac:dyDescent="0.25">
      <c r="A300" s="3">
        <v>45699.515763888892</v>
      </c>
      <c r="B300" t="s">
        <v>116</v>
      </c>
      <c r="C300" s="3">
        <v>45699.520474537036</v>
      </c>
      <c r="D300" t="s">
        <v>299</v>
      </c>
      <c r="E300" s="4">
        <v>3.2339646128416062</v>
      </c>
      <c r="F300" s="4">
        <v>347751.19018094213</v>
      </c>
      <c r="G300" s="4">
        <v>347754.42414555495</v>
      </c>
      <c r="H300" s="5">
        <f t="shared" si="2"/>
        <v>0</v>
      </c>
      <c r="I300" t="s">
        <v>39</v>
      </c>
      <c r="J300" t="s">
        <v>203</v>
      </c>
      <c r="K300" s="5">
        <f>407 / 86400</f>
        <v>4.7106481481481478E-3</v>
      </c>
      <c r="L300" s="5">
        <f>25 / 86400</f>
        <v>2.8935185185185184E-4</v>
      </c>
    </row>
    <row r="301" spans="1:12" x14ac:dyDescent="0.25">
      <c r="A301" s="3">
        <v>45699.52076388889</v>
      </c>
      <c r="B301" t="s">
        <v>299</v>
      </c>
      <c r="C301" s="3">
        <v>45699.521921296298</v>
      </c>
      <c r="D301" t="s">
        <v>187</v>
      </c>
      <c r="E301" s="4">
        <v>0.60335191923379894</v>
      </c>
      <c r="F301" s="4">
        <v>347754.43627041212</v>
      </c>
      <c r="G301" s="4">
        <v>347755.03962233133</v>
      </c>
      <c r="H301" s="5">
        <f t="shared" si="2"/>
        <v>0</v>
      </c>
      <c r="I301" t="s">
        <v>176</v>
      </c>
      <c r="J301" t="s">
        <v>34</v>
      </c>
      <c r="K301" s="5">
        <f>100 / 86400</f>
        <v>1.1574074074074073E-3</v>
      </c>
      <c r="L301" s="5">
        <f>3 / 86400</f>
        <v>3.4722222222222222E-5</v>
      </c>
    </row>
    <row r="302" spans="1:12" x14ac:dyDescent="0.25">
      <c r="A302" s="3">
        <v>45699.521956018521</v>
      </c>
      <c r="B302" t="s">
        <v>187</v>
      </c>
      <c r="C302" s="3">
        <v>45699.522916666669</v>
      </c>
      <c r="D302" t="s">
        <v>300</v>
      </c>
      <c r="E302" s="4">
        <v>0.15384059637784958</v>
      </c>
      <c r="F302" s="4">
        <v>347755.04299072031</v>
      </c>
      <c r="G302" s="4">
        <v>347755.19683131669</v>
      </c>
      <c r="H302" s="5">
        <f t="shared" si="2"/>
        <v>0</v>
      </c>
      <c r="I302" t="s">
        <v>128</v>
      </c>
      <c r="J302" t="s">
        <v>28</v>
      </c>
      <c r="K302" s="5">
        <f>83 / 86400</f>
        <v>9.6064814814814819E-4</v>
      </c>
      <c r="L302" s="5">
        <f>15 / 86400</f>
        <v>1.7361111111111112E-4</v>
      </c>
    </row>
    <row r="303" spans="1:12" x14ac:dyDescent="0.25">
      <c r="A303" s="3">
        <v>45699.523090277777</v>
      </c>
      <c r="B303" t="s">
        <v>300</v>
      </c>
      <c r="C303" s="3">
        <v>45699.524340277778</v>
      </c>
      <c r="D303" t="s">
        <v>301</v>
      </c>
      <c r="E303" s="4">
        <v>0.44476137697696688</v>
      </c>
      <c r="F303" s="4">
        <v>347755.20010344341</v>
      </c>
      <c r="G303" s="4">
        <v>347755.64486482035</v>
      </c>
      <c r="H303" s="5">
        <f t="shared" si="2"/>
        <v>0</v>
      </c>
      <c r="I303" t="s">
        <v>124</v>
      </c>
      <c r="J303" t="s">
        <v>19</v>
      </c>
      <c r="K303" s="5">
        <f>108 / 86400</f>
        <v>1.25E-3</v>
      </c>
      <c r="L303" s="5">
        <f>60 / 86400</f>
        <v>6.9444444444444447E-4</v>
      </c>
    </row>
    <row r="304" spans="1:12" x14ac:dyDescent="0.25">
      <c r="A304" s="3">
        <v>45699.525034722217</v>
      </c>
      <c r="B304" t="s">
        <v>302</v>
      </c>
      <c r="C304" s="3">
        <v>45699.525682870371</v>
      </c>
      <c r="D304" t="s">
        <v>191</v>
      </c>
      <c r="E304" s="4">
        <v>0.3304161214828491</v>
      </c>
      <c r="F304" s="4">
        <v>347755.72351635806</v>
      </c>
      <c r="G304" s="4">
        <v>347756.05393247958</v>
      </c>
      <c r="H304" s="5">
        <f t="shared" si="2"/>
        <v>0</v>
      </c>
      <c r="I304" t="s">
        <v>156</v>
      </c>
      <c r="J304" t="s">
        <v>108</v>
      </c>
      <c r="K304" s="5">
        <f>56 / 86400</f>
        <v>6.4814814814814813E-4</v>
      </c>
      <c r="L304" s="5">
        <f>20 / 86400</f>
        <v>2.3148148148148149E-4</v>
      </c>
    </row>
    <row r="305" spans="1:12" x14ac:dyDescent="0.25">
      <c r="A305" s="3">
        <v>45699.525914351849</v>
      </c>
      <c r="B305" t="s">
        <v>191</v>
      </c>
      <c r="C305" s="3">
        <v>45699.526388888888</v>
      </c>
      <c r="D305" t="s">
        <v>190</v>
      </c>
      <c r="E305" s="4">
        <v>0.18103006726503373</v>
      </c>
      <c r="F305" s="4">
        <v>347756.67545612028</v>
      </c>
      <c r="G305" s="4">
        <v>347756.85648618755</v>
      </c>
      <c r="H305" s="5">
        <f t="shared" si="2"/>
        <v>0</v>
      </c>
      <c r="I305" t="s">
        <v>252</v>
      </c>
      <c r="J305" t="s">
        <v>37</v>
      </c>
      <c r="K305" s="5">
        <f>41 / 86400</f>
        <v>4.7453703703703704E-4</v>
      </c>
      <c r="L305" s="5">
        <f>3 / 86400</f>
        <v>3.4722222222222222E-5</v>
      </c>
    </row>
    <row r="306" spans="1:12" x14ac:dyDescent="0.25">
      <c r="A306" s="3">
        <v>45699.526423611111</v>
      </c>
      <c r="B306" t="s">
        <v>190</v>
      </c>
      <c r="C306" s="3">
        <v>45699.526886574073</v>
      </c>
      <c r="D306" t="s">
        <v>190</v>
      </c>
      <c r="E306" s="4">
        <v>0.18231268799304962</v>
      </c>
      <c r="F306" s="4">
        <v>347756.86156263534</v>
      </c>
      <c r="G306" s="4">
        <v>347757.04387532338</v>
      </c>
      <c r="H306" s="5">
        <f t="shared" si="2"/>
        <v>0</v>
      </c>
      <c r="I306" t="s">
        <v>193</v>
      </c>
      <c r="J306" t="s">
        <v>37</v>
      </c>
      <c r="K306" s="5">
        <f>40 / 86400</f>
        <v>4.6296296296296298E-4</v>
      </c>
      <c r="L306" s="5">
        <f>30 / 86400</f>
        <v>3.4722222222222224E-4</v>
      </c>
    </row>
    <row r="307" spans="1:12" x14ac:dyDescent="0.25">
      <c r="A307" s="3">
        <v>45699.527233796296</v>
      </c>
      <c r="B307" t="s">
        <v>190</v>
      </c>
      <c r="C307" s="3">
        <v>45699.53</v>
      </c>
      <c r="D307" t="s">
        <v>303</v>
      </c>
      <c r="E307" s="4">
        <v>1.7418962945342065</v>
      </c>
      <c r="F307" s="4">
        <v>347757.05804507597</v>
      </c>
      <c r="G307" s="4">
        <v>347758.7999413705</v>
      </c>
      <c r="H307" s="5">
        <f t="shared" si="2"/>
        <v>0</v>
      </c>
      <c r="I307" t="s">
        <v>18</v>
      </c>
      <c r="J307" t="s">
        <v>137</v>
      </c>
      <c r="K307" s="5">
        <f>239 / 86400</f>
        <v>2.7662037037037039E-3</v>
      </c>
      <c r="L307" s="5">
        <f>19 / 86400</f>
        <v>2.199074074074074E-4</v>
      </c>
    </row>
    <row r="308" spans="1:12" x14ac:dyDescent="0.25">
      <c r="A308" s="3">
        <v>45699.530219907407</v>
      </c>
      <c r="B308" t="s">
        <v>303</v>
      </c>
      <c r="C308" s="3">
        <v>45699.533460648148</v>
      </c>
      <c r="D308" t="s">
        <v>304</v>
      </c>
      <c r="E308" s="4">
        <v>2.1861555862426756</v>
      </c>
      <c r="F308" s="4">
        <v>347758.80633252428</v>
      </c>
      <c r="G308" s="4">
        <v>347760.99248811055</v>
      </c>
      <c r="H308" s="5">
        <f t="shared" si="2"/>
        <v>0</v>
      </c>
      <c r="I308" t="s">
        <v>239</v>
      </c>
      <c r="J308" t="s">
        <v>178</v>
      </c>
      <c r="K308" s="5">
        <f>280 / 86400</f>
        <v>3.2407407407407406E-3</v>
      </c>
      <c r="L308" s="5">
        <f>29 / 86400</f>
        <v>3.3564814814814812E-4</v>
      </c>
    </row>
    <row r="309" spans="1:12" x14ac:dyDescent="0.25">
      <c r="A309" s="3">
        <v>45699.533796296295</v>
      </c>
      <c r="B309" t="s">
        <v>305</v>
      </c>
      <c r="C309" s="3">
        <v>45699.534490740742</v>
      </c>
      <c r="D309" t="s">
        <v>305</v>
      </c>
      <c r="E309" s="4">
        <v>7.0857068896293646E-2</v>
      </c>
      <c r="F309" s="4">
        <v>347761.01189355424</v>
      </c>
      <c r="G309" s="4">
        <v>347761.08275062317</v>
      </c>
      <c r="H309" s="5">
        <f t="shared" si="2"/>
        <v>0</v>
      </c>
      <c r="I309" t="s">
        <v>148</v>
      </c>
      <c r="J309" t="s">
        <v>232</v>
      </c>
      <c r="K309" s="5">
        <f>60 / 86400</f>
        <v>6.9444444444444447E-4</v>
      </c>
      <c r="L309" s="5">
        <f>20 / 86400</f>
        <v>2.3148148148148149E-4</v>
      </c>
    </row>
    <row r="310" spans="1:12" x14ac:dyDescent="0.25">
      <c r="A310" s="3">
        <v>45699.534722222219</v>
      </c>
      <c r="B310" t="s">
        <v>305</v>
      </c>
      <c r="C310" s="3">
        <v>45699.535185185188</v>
      </c>
      <c r="D310" t="s">
        <v>304</v>
      </c>
      <c r="E310" s="4">
        <v>6.5119418561458586E-2</v>
      </c>
      <c r="F310" s="4">
        <v>347761.11411209771</v>
      </c>
      <c r="G310" s="4">
        <v>347761.17923151632</v>
      </c>
      <c r="H310" s="5">
        <f t="shared" si="2"/>
        <v>0</v>
      </c>
      <c r="I310" t="s">
        <v>28</v>
      </c>
      <c r="J310" t="s">
        <v>128</v>
      </c>
      <c r="K310" s="5">
        <f>40 / 86400</f>
        <v>4.6296296296296298E-4</v>
      </c>
      <c r="L310" s="5">
        <f>80 / 86400</f>
        <v>9.2592592592592596E-4</v>
      </c>
    </row>
    <row r="311" spans="1:12" x14ac:dyDescent="0.25">
      <c r="A311" s="3">
        <v>45699.536111111112</v>
      </c>
      <c r="B311" t="s">
        <v>306</v>
      </c>
      <c r="C311" s="3">
        <v>45699.53634259259</v>
      </c>
      <c r="D311" t="s">
        <v>306</v>
      </c>
      <c r="E311" s="4">
        <v>5.2177243232727055E-3</v>
      </c>
      <c r="F311" s="4">
        <v>347761.266379598</v>
      </c>
      <c r="G311" s="4">
        <v>347761.27159732237</v>
      </c>
      <c r="H311" s="5">
        <f t="shared" si="2"/>
        <v>0</v>
      </c>
      <c r="I311" t="s">
        <v>125</v>
      </c>
      <c r="J311" t="s">
        <v>29</v>
      </c>
      <c r="K311" s="5">
        <f>20 / 86400</f>
        <v>2.3148148148148149E-4</v>
      </c>
      <c r="L311" s="5">
        <f>23 / 86400</f>
        <v>2.6620370370370372E-4</v>
      </c>
    </row>
    <row r="312" spans="1:12" x14ac:dyDescent="0.25">
      <c r="A312" s="3">
        <v>45699.536608796298</v>
      </c>
      <c r="B312" t="s">
        <v>306</v>
      </c>
      <c r="C312" s="3">
        <v>45699.537534722222</v>
      </c>
      <c r="D312" t="s">
        <v>194</v>
      </c>
      <c r="E312" s="4">
        <v>6.6186073124408717E-2</v>
      </c>
      <c r="F312" s="4">
        <v>347761.28465406422</v>
      </c>
      <c r="G312" s="4">
        <v>347761.35084013734</v>
      </c>
      <c r="H312" s="5">
        <f t="shared" si="2"/>
        <v>0</v>
      </c>
      <c r="I312" t="s">
        <v>125</v>
      </c>
      <c r="J312" t="s">
        <v>157</v>
      </c>
      <c r="K312" s="5">
        <f>80 / 86400</f>
        <v>9.2592592592592596E-4</v>
      </c>
      <c r="L312" s="5">
        <f>39 / 86400</f>
        <v>4.5138888888888887E-4</v>
      </c>
    </row>
    <row r="313" spans="1:12" x14ac:dyDescent="0.25">
      <c r="A313" s="3">
        <v>45699.537986111114</v>
      </c>
      <c r="B313" t="s">
        <v>194</v>
      </c>
      <c r="C313" s="3">
        <v>45699.541122685187</v>
      </c>
      <c r="D313" t="s">
        <v>95</v>
      </c>
      <c r="E313" s="4">
        <v>0.99875157546997073</v>
      </c>
      <c r="F313" s="4">
        <v>347761.36797004455</v>
      </c>
      <c r="G313" s="4">
        <v>347762.36672162003</v>
      </c>
      <c r="H313" s="5">
        <f t="shared" si="2"/>
        <v>0</v>
      </c>
      <c r="I313" t="s">
        <v>215</v>
      </c>
      <c r="J313" t="s">
        <v>56</v>
      </c>
      <c r="K313" s="5">
        <f>271 / 86400</f>
        <v>3.1365740740740742E-3</v>
      </c>
      <c r="L313" s="5">
        <f>20 / 86400</f>
        <v>2.3148148148148149E-4</v>
      </c>
    </row>
    <row r="314" spans="1:12" x14ac:dyDescent="0.25">
      <c r="A314" s="3">
        <v>45699.541354166664</v>
      </c>
      <c r="B314" t="s">
        <v>95</v>
      </c>
      <c r="C314" s="3">
        <v>45699.541817129633</v>
      </c>
      <c r="D314" t="s">
        <v>95</v>
      </c>
      <c r="E314" s="4">
        <v>1.2497688591480255E-2</v>
      </c>
      <c r="F314" s="4">
        <v>347762.37537499086</v>
      </c>
      <c r="G314" s="4">
        <v>347762.38787267945</v>
      </c>
      <c r="H314" s="5">
        <f t="shared" si="2"/>
        <v>0</v>
      </c>
      <c r="I314" t="s">
        <v>57</v>
      </c>
      <c r="J314" t="s">
        <v>29</v>
      </c>
      <c r="K314" s="5">
        <f>40 / 86400</f>
        <v>4.6296296296296298E-4</v>
      </c>
      <c r="L314" s="5">
        <f>19 / 86400</f>
        <v>2.199074074074074E-4</v>
      </c>
    </row>
    <row r="315" spans="1:12" x14ac:dyDescent="0.25">
      <c r="A315" s="3">
        <v>45699.542037037041</v>
      </c>
      <c r="B315" t="s">
        <v>95</v>
      </c>
      <c r="C315" s="3">
        <v>45699.542268518519</v>
      </c>
      <c r="D315" t="s">
        <v>95</v>
      </c>
      <c r="E315" s="4">
        <v>0</v>
      </c>
      <c r="F315" s="4">
        <v>347762.39735707012</v>
      </c>
      <c r="G315" s="4">
        <v>347762.39735707012</v>
      </c>
      <c r="H315" s="5">
        <f t="shared" si="2"/>
        <v>0</v>
      </c>
      <c r="I315" t="s">
        <v>128</v>
      </c>
      <c r="J315" t="s">
        <v>88</v>
      </c>
      <c r="K315" s="5">
        <f>20 / 86400</f>
        <v>2.3148148148148149E-4</v>
      </c>
      <c r="L315" s="5">
        <f>20 / 86400</f>
        <v>2.3148148148148149E-4</v>
      </c>
    </row>
    <row r="316" spans="1:12" x14ac:dyDescent="0.25">
      <c r="A316" s="3">
        <v>45699.542499999996</v>
      </c>
      <c r="B316" t="s">
        <v>196</v>
      </c>
      <c r="C316" s="3">
        <v>45699.543807870374</v>
      </c>
      <c r="D316" t="s">
        <v>307</v>
      </c>
      <c r="E316" s="4">
        <v>0.5902387472987175</v>
      </c>
      <c r="F316" s="4">
        <v>347762.66208166786</v>
      </c>
      <c r="G316" s="4">
        <v>347763.25232041517</v>
      </c>
      <c r="H316" s="5">
        <f t="shared" si="2"/>
        <v>0</v>
      </c>
      <c r="I316" t="s">
        <v>156</v>
      </c>
      <c r="J316" t="s">
        <v>22</v>
      </c>
      <c r="K316" s="5">
        <f>113 / 86400</f>
        <v>1.3078703703703703E-3</v>
      </c>
      <c r="L316" s="5">
        <f>9 / 86400</f>
        <v>1.0416666666666667E-4</v>
      </c>
    </row>
    <row r="317" spans="1:12" x14ac:dyDescent="0.25">
      <c r="A317" s="3">
        <v>45699.543912037036</v>
      </c>
      <c r="B317" t="s">
        <v>250</v>
      </c>
      <c r="C317" s="3">
        <v>45699.545254629629</v>
      </c>
      <c r="D317" t="s">
        <v>308</v>
      </c>
      <c r="E317" s="4">
        <v>0.52553862065076828</v>
      </c>
      <c r="F317" s="4">
        <v>347763.67518327443</v>
      </c>
      <c r="G317" s="4">
        <v>347764.20072189509</v>
      </c>
      <c r="H317" s="5">
        <f t="shared" si="2"/>
        <v>0</v>
      </c>
      <c r="I317" t="s">
        <v>215</v>
      </c>
      <c r="J317" t="s">
        <v>37</v>
      </c>
      <c r="K317" s="5">
        <f>116 / 86400</f>
        <v>1.3425925925925925E-3</v>
      </c>
      <c r="L317" s="5">
        <f>100 / 86400</f>
        <v>1.1574074074074073E-3</v>
      </c>
    </row>
    <row r="318" spans="1:12" x14ac:dyDescent="0.25">
      <c r="A318" s="3">
        <v>45699.546412037038</v>
      </c>
      <c r="B318" t="s">
        <v>308</v>
      </c>
      <c r="C318" s="3">
        <v>45699.551400462966</v>
      </c>
      <c r="D318" t="s">
        <v>309</v>
      </c>
      <c r="E318" s="4">
        <v>1.8823156387209892</v>
      </c>
      <c r="F318" s="4">
        <v>347764.24357012269</v>
      </c>
      <c r="G318" s="4">
        <v>347766.12588576146</v>
      </c>
      <c r="H318" s="5">
        <f t="shared" si="2"/>
        <v>0</v>
      </c>
      <c r="I318" t="s">
        <v>137</v>
      </c>
      <c r="J318" t="s">
        <v>37</v>
      </c>
      <c r="K318" s="5">
        <f>431 / 86400</f>
        <v>4.9884259259259257E-3</v>
      </c>
      <c r="L318" s="5">
        <f>20 / 86400</f>
        <v>2.3148148148148149E-4</v>
      </c>
    </row>
    <row r="319" spans="1:12" x14ac:dyDescent="0.25">
      <c r="A319" s="3">
        <v>45699.551631944443</v>
      </c>
      <c r="B319" t="s">
        <v>310</v>
      </c>
      <c r="C319" s="3">
        <v>45699.552789351852</v>
      </c>
      <c r="D319" t="s">
        <v>245</v>
      </c>
      <c r="E319" s="4">
        <v>0.38813539636135103</v>
      </c>
      <c r="F319" s="4">
        <v>347766.16156846361</v>
      </c>
      <c r="G319" s="4">
        <v>347766.54970385996</v>
      </c>
      <c r="H319" s="5">
        <f t="shared" si="2"/>
        <v>0</v>
      </c>
      <c r="I319" t="s">
        <v>141</v>
      </c>
      <c r="J319" t="s">
        <v>31</v>
      </c>
      <c r="K319" s="5">
        <f>100 / 86400</f>
        <v>1.1574074074074073E-3</v>
      </c>
      <c r="L319" s="5">
        <f>18 / 86400</f>
        <v>2.0833333333333335E-4</v>
      </c>
    </row>
    <row r="320" spans="1:12" x14ac:dyDescent="0.25">
      <c r="A320" s="3">
        <v>45699.552997685183</v>
      </c>
      <c r="B320" t="s">
        <v>311</v>
      </c>
      <c r="C320" s="3">
        <v>45699.553923611107</v>
      </c>
      <c r="D320" t="s">
        <v>245</v>
      </c>
      <c r="E320" s="4">
        <v>0.23261474853754044</v>
      </c>
      <c r="F320" s="4">
        <v>347766.58874150796</v>
      </c>
      <c r="G320" s="4">
        <v>347766.82135625649</v>
      </c>
      <c r="H320" s="5">
        <f t="shared" si="2"/>
        <v>0</v>
      </c>
      <c r="I320" t="s">
        <v>31</v>
      </c>
      <c r="J320" t="s">
        <v>112</v>
      </c>
      <c r="K320" s="5">
        <f>80 / 86400</f>
        <v>9.2592592592592596E-4</v>
      </c>
      <c r="L320" s="5">
        <f>20 / 86400</f>
        <v>2.3148148148148149E-4</v>
      </c>
    </row>
    <row r="321" spans="1:12" x14ac:dyDescent="0.25">
      <c r="A321" s="3">
        <v>45699.554155092592</v>
      </c>
      <c r="B321" t="s">
        <v>312</v>
      </c>
      <c r="C321" s="3">
        <v>45699.554386574076</v>
      </c>
      <c r="D321" t="s">
        <v>312</v>
      </c>
      <c r="E321" s="4">
        <v>9.9194832444190972E-2</v>
      </c>
      <c r="F321" s="4">
        <v>347766.88620482112</v>
      </c>
      <c r="G321" s="4">
        <v>347766.98539965355</v>
      </c>
      <c r="H321" s="5">
        <f t="shared" si="2"/>
        <v>0</v>
      </c>
      <c r="I321" t="s">
        <v>26</v>
      </c>
      <c r="J321" t="s">
        <v>26</v>
      </c>
      <c r="K321" s="5">
        <f>20 / 86400</f>
        <v>2.3148148148148149E-4</v>
      </c>
      <c r="L321" s="5">
        <f>20 / 86400</f>
        <v>2.3148148148148149E-4</v>
      </c>
    </row>
    <row r="322" spans="1:12" x14ac:dyDescent="0.25">
      <c r="A322" s="3">
        <v>45699.554618055554</v>
      </c>
      <c r="B322" t="s">
        <v>312</v>
      </c>
      <c r="C322" s="3">
        <v>45699.555775462963</v>
      </c>
      <c r="D322" t="s">
        <v>313</v>
      </c>
      <c r="E322" s="4">
        <v>0.590390880048275</v>
      </c>
      <c r="F322" s="4">
        <v>347767.00260068022</v>
      </c>
      <c r="G322" s="4">
        <v>347767.59299156029</v>
      </c>
      <c r="H322" s="5">
        <f t="shared" si="2"/>
        <v>0</v>
      </c>
      <c r="I322" t="s">
        <v>174</v>
      </c>
      <c r="J322" t="s">
        <v>108</v>
      </c>
      <c r="K322" s="5">
        <f>100 / 86400</f>
        <v>1.1574074074074073E-3</v>
      </c>
      <c r="L322" s="5">
        <f>19 / 86400</f>
        <v>2.199074074074074E-4</v>
      </c>
    </row>
    <row r="323" spans="1:12" x14ac:dyDescent="0.25">
      <c r="A323" s="3">
        <v>45699.555995370371</v>
      </c>
      <c r="B323" t="s">
        <v>313</v>
      </c>
      <c r="C323" s="3">
        <v>45699.55631944444</v>
      </c>
      <c r="D323" t="s">
        <v>314</v>
      </c>
      <c r="E323" s="4">
        <v>0.1268405624628067</v>
      </c>
      <c r="F323" s="4">
        <v>347767.62688645237</v>
      </c>
      <c r="G323" s="4">
        <v>347767.75372701482</v>
      </c>
      <c r="H323" s="5">
        <f t="shared" si="2"/>
        <v>0</v>
      </c>
      <c r="I323" t="s">
        <v>34</v>
      </c>
      <c r="J323" t="s">
        <v>37</v>
      </c>
      <c r="K323" s="5">
        <f>28 / 86400</f>
        <v>3.2407407407407406E-4</v>
      </c>
      <c r="L323" s="5">
        <f>40 / 86400</f>
        <v>4.6296296296296298E-4</v>
      </c>
    </row>
    <row r="324" spans="1:12" x14ac:dyDescent="0.25">
      <c r="A324" s="3">
        <v>45699.55678240741</v>
      </c>
      <c r="B324" t="s">
        <v>314</v>
      </c>
      <c r="C324" s="3">
        <v>45699.557013888887</v>
      </c>
      <c r="D324" t="s">
        <v>315</v>
      </c>
      <c r="E324" s="4">
        <v>4.6835429549217225E-2</v>
      </c>
      <c r="F324" s="4">
        <v>347767.77072626841</v>
      </c>
      <c r="G324" s="4">
        <v>347767.81756169797</v>
      </c>
      <c r="H324" s="5">
        <f t="shared" si="2"/>
        <v>0</v>
      </c>
      <c r="I324" t="s">
        <v>148</v>
      </c>
      <c r="J324" t="s">
        <v>125</v>
      </c>
      <c r="K324" s="5">
        <f>20 / 86400</f>
        <v>2.3148148148148149E-4</v>
      </c>
      <c r="L324" s="5">
        <f>20 / 86400</f>
        <v>2.3148148148148149E-4</v>
      </c>
    </row>
    <row r="325" spans="1:12" x14ac:dyDescent="0.25">
      <c r="A325" s="3">
        <v>45699.557245370372</v>
      </c>
      <c r="B325" t="s">
        <v>316</v>
      </c>
      <c r="C325" s="3">
        <v>45699.557708333334</v>
      </c>
      <c r="D325" t="s">
        <v>317</v>
      </c>
      <c r="E325" s="4">
        <v>0.1956652101278305</v>
      </c>
      <c r="F325" s="4">
        <v>347767.82394576404</v>
      </c>
      <c r="G325" s="4">
        <v>347768.01961097418</v>
      </c>
      <c r="H325" s="5">
        <f t="shared" si="2"/>
        <v>0</v>
      </c>
      <c r="I325" t="s">
        <v>178</v>
      </c>
      <c r="J325" t="s">
        <v>26</v>
      </c>
      <c r="K325" s="5">
        <f>40 / 86400</f>
        <v>4.6296296296296298E-4</v>
      </c>
      <c r="L325" s="5">
        <f>10 / 86400</f>
        <v>1.1574074074074075E-4</v>
      </c>
    </row>
    <row r="326" spans="1:12" x14ac:dyDescent="0.25">
      <c r="A326" s="3">
        <v>45699.557824074072</v>
      </c>
      <c r="B326" t="s">
        <v>317</v>
      </c>
      <c r="C326" s="3">
        <v>45699.558518518519</v>
      </c>
      <c r="D326" t="s">
        <v>318</v>
      </c>
      <c r="E326" s="4">
        <v>0.4453850622177124</v>
      </c>
      <c r="F326" s="4">
        <v>347768.02887297416</v>
      </c>
      <c r="G326" s="4">
        <v>347768.47425803635</v>
      </c>
      <c r="H326" s="5">
        <f t="shared" si="2"/>
        <v>0</v>
      </c>
      <c r="I326" t="s">
        <v>111</v>
      </c>
      <c r="J326" t="s">
        <v>143</v>
      </c>
      <c r="K326" s="5">
        <f>60 / 86400</f>
        <v>6.9444444444444447E-4</v>
      </c>
      <c r="L326" s="5">
        <f>76 / 86400</f>
        <v>8.7962962962962962E-4</v>
      </c>
    </row>
    <row r="327" spans="1:12" x14ac:dyDescent="0.25">
      <c r="A327" s="3">
        <v>45699.559398148151</v>
      </c>
      <c r="B327" t="s">
        <v>319</v>
      </c>
      <c r="C327" s="3">
        <v>45699.560555555552</v>
      </c>
      <c r="D327" t="s">
        <v>320</v>
      </c>
      <c r="E327" s="4">
        <v>0.85418084067106248</v>
      </c>
      <c r="F327" s="4">
        <v>347768.48155211279</v>
      </c>
      <c r="G327" s="4">
        <v>347769.33573295351</v>
      </c>
      <c r="H327" s="5">
        <f t="shared" si="2"/>
        <v>0</v>
      </c>
      <c r="I327" t="s">
        <v>177</v>
      </c>
      <c r="J327" t="s">
        <v>124</v>
      </c>
      <c r="K327" s="5">
        <f>100 / 86400</f>
        <v>1.1574074074074073E-3</v>
      </c>
      <c r="L327" s="5">
        <f>20 / 86400</f>
        <v>2.3148148148148149E-4</v>
      </c>
    </row>
    <row r="328" spans="1:12" x14ac:dyDescent="0.25">
      <c r="A328" s="3">
        <v>45699.560787037037</v>
      </c>
      <c r="B328" t="s">
        <v>321</v>
      </c>
      <c r="C328" s="3">
        <v>45699.562951388885</v>
      </c>
      <c r="D328" t="s">
        <v>322</v>
      </c>
      <c r="E328" s="4">
        <v>0.98668474203348155</v>
      </c>
      <c r="F328" s="4">
        <v>347769.3572221885</v>
      </c>
      <c r="G328" s="4">
        <v>347770.34390693053</v>
      </c>
      <c r="H328" s="5">
        <f t="shared" si="2"/>
        <v>0</v>
      </c>
      <c r="I328" t="s">
        <v>110</v>
      </c>
      <c r="J328" t="s">
        <v>22</v>
      </c>
      <c r="K328" s="5">
        <f>187 / 86400</f>
        <v>2.1643518518518518E-3</v>
      </c>
      <c r="L328" s="5">
        <f>19 / 86400</f>
        <v>2.199074074074074E-4</v>
      </c>
    </row>
    <row r="329" spans="1:12" x14ac:dyDescent="0.25">
      <c r="A329" s="3">
        <v>45699.563171296293</v>
      </c>
      <c r="B329" t="s">
        <v>323</v>
      </c>
      <c r="C329" s="3">
        <v>45699.564236111109</v>
      </c>
      <c r="D329" t="s">
        <v>324</v>
      </c>
      <c r="E329" s="4">
        <v>0.5774911291599274</v>
      </c>
      <c r="F329" s="4">
        <v>347770.38609201869</v>
      </c>
      <c r="G329" s="4">
        <v>347770.96358314785</v>
      </c>
      <c r="H329" s="5">
        <f t="shared" si="2"/>
        <v>0</v>
      </c>
      <c r="I329" t="s">
        <v>223</v>
      </c>
      <c r="J329" t="s">
        <v>160</v>
      </c>
      <c r="K329" s="5">
        <f>92 / 86400</f>
        <v>1.0648148148148149E-3</v>
      </c>
      <c r="L329" s="5">
        <f>20 / 86400</f>
        <v>2.3148148148148149E-4</v>
      </c>
    </row>
    <row r="330" spans="1:12" x14ac:dyDescent="0.25">
      <c r="A330" s="3">
        <v>45699.564467592594</v>
      </c>
      <c r="B330" t="s">
        <v>324</v>
      </c>
      <c r="C330" s="3">
        <v>45699.564837962964</v>
      </c>
      <c r="D330" t="s">
        <v>209</v>
      </c>
      <c r="E330" s="4">
        <v>4.6383634805679322E-2</v>
      </c>
      <c r="F330" s="4">
        <v>347770.97016791202</v>
      </c>
      <c r="G330" s="4">
        <v>347771.01655154681</v>
      </c>
      <c r="H330" s="5">
        <f t="shared" si="2"/>
        <v>0</v>
      </c>
      <c r="I330" t="s">
        <v>131</v>
      </c>
      <c r="J330" t="s">
        <v>148</v>
      </c>
      <c r="K330" s="5">
        <f>32 / 86400</f>
        <v>3.7037037037037035E-4</v>
      </c>
      <c r="L330" s="5">
        <f>60 / 86400</f>
        <v>6.9444444444444447E-4</v>
      </c>
    </row>
    <row r="331" spans="1:12" x14ac:dyDescent="0.25">
      <c r="A331" s="3">
        <v>45699.565532407403</v>
      </c>
      <c r="B331" t="s">
        <v>325</v>
      </c>
      <c r="C331" s="3">
        <v>45699.565995370373</v>
      </c>
      <c r="D331" t="s">
        <v>209</v>
      </c>
      <c r="E331" s="4">
        <v>6.4106411695480342E-2</v>
      </c>
      <c r="F331" s="4">
        <v>347771.02432291262</v>
      </c>
      <c r="G331" s="4">
        <v>347771.08842932433</v>
      </c>
      <c r="H331" s="5">
        <f t="shared" si="2"/>
        <v>0</v>
      </c>
      <c r="I331" t="s">
        <v>157</v>
      </c>
      <c r="J331" t="s">
        <v>128</v>
      </c>
      <c r="K331" s="5">
        <f>40 / 86400</f>
        <v>4.6296296296296298E-4</v>
      </c>
      <c r="L331" s="5">
        <f>55 / 86400</f>
        <v>6.3657407407407413E-4</v>
      </c>
    </row>
    <row r="332" spans="1:12" x14ac:dyDescent="0.25">
      <c r="A332" s="3">
        <v>45699.566631944443</v>
      </c>
      <c r="B332" t="s">
        <v>209</v>
      </c>
      <c r="C332" s="3">
        <v>45699.567094907412</v>
      </c>
      <c r="D332" t="s">
        <v>209</v>
      </c>
      <c r="E332" s="4">
        <v>8.6073325395584113E-2</v>
      </c>
      <c r="F332" s="4">
        <v>347771.10467924806</v>
      </c>
      <c r="G332" s="4">
        <v>347771.19075257343</v>
      </c>
      <c r="H332" s="5">
        <f t="shared" si="2"/>
        <v>0</v>
      </c>
      <c r="I332" t="s">
        <v>152</v>
      </c>
      <c r="J332" t="s">
        <v>125</v>
      </c>
      <c r="K332" s="5">
        <f>40 / 86400</f>
        <v>4.6296296296296298E-4</v>
      </c>
      <c r="L332" s="5">
        <f>60 / 86400</f>
        <v>6.9444444444444447E-4</v>
      </c>
    </row>
    <row r="333" spans="1:12" x14ac:dyDescent="0.25">
      <c r="A333" s="3">
        <v>45699.567789351851</v>
      </c>
      <c r="B333" t="s">
        <v>209</v>
      </c>
      <c r="C333" s="3">
        <v>45699.568252314813</v>
      </c>
      <c r="D333" t="s">
        <v>326</v>
      </c>
      <c r="E333" s="4">
        <v>0.10557702010869979</v>
      </c>
      <c r="F333" s="4">
        <v>347771.29220007022</v>
      </c>
      <c r="G333" s="4">
        <v>347771.39777709031</v>
      </c>
      <c r="H333" s="5">
        <f t="shared" si="2"/>
        <v>0</v>
      </c>
      <c r="I333" t="s">
        <v>178</v>
      </c>
      <c r="J333" t="s">
        <v>112</v>
      </c>
      <c r="K333" s="5">
        <f>40 / 86400</f>
        <v>4.6296296296296298E-4</v>
      </c>
      <c r="L333" s="5">
        <f>20 / 86400</f>
        <v>2.3148148148148149E-4</v>
      </c>
    </row>
    <row r="334" spans="1:12" x14ac:dyDescent="0.25">
      <c r="A334" s="3">
        <v>45699.568483796298</v>
      </c>
      <c r="B334" t="s">
        <v>327</v>
      </c>
      <c r="C334" s="3">
        <v>45699.570347222223</v>
      </c>
      <c r="D334" t="s">
        <v>228</v>
      </c>
      <c r="E334" s="4">
        <v>0.59560904812812809</v>
      </c>
      <c r="F334" s="4">
        <v>347771.40479980613</v>
      </c>
      <c r="G334" s="4">
        <v>347772.00040885422</v>
      </c>
      <c r="H334" s="5">
        <f t="shared" si="2"/>
        <v>0</v>
      </c>
      <c r="I334" t="s">
        <v>203</v>
      </c>
      <c r="J334" t="s">
        <v>56</v>
      </c>
      <c r="K334" s="5">
        <f>161 / 86400</f>
        <v>1.8634259259259259E-3</v>
      </c>
      <c r="L334" s="5">
        <f>19 / 86400</f>
        <v>2.199074074074074E-4</v>
      </c>
    </row>
    <row r="335" spans="1:12" x14ac:dyDescent="0.25">
      <c r="A335" s="3">
        <v>45699.570567129631</v>
      </c>
      <c r="B335" t="s">
        <v>328</v>
      </c>
      <c r="C335" s="3">
        <v>45699.570914351847</v>
      </c>
      <c r="D335" t="s">
        <v>329</v>
      </c>
      <c r="E335" s="4">
        <v>0.19688723123073579</v>
      </c>
      <c r="F335" s="4">
        <v>347772.06230562192</v>
      </c>
      <c r="G335" s="4">
        <v>347772.25919285318</v>
      </c>
      <c r="H335" s="5">
        <f t="shared" si="2"/>
        <v>0</v>
      </c>
      <c r="I335" t="s">
        <v>137</v>
      </c>
      <c r="J335" t="s">
        <v>130</v>
      </c>
      <c r="K335" s="5">
        <f>30 / 86400</f>
        <v>3.4722222222222224E-4</v>
      </c>
      <c r="L335" s="5">
        <f>20 / 86400</f>
        <v>2.3148148148148149E-4</v>
      </c>
    </row>
    <row r="336" spans="1:12" x14ac:dyDescent="0.25">
      <c r="A336" s="3">
        <v>45699.571145833332</v>
      </c>
      <c r="B336" t="s">
        <v>214</v>
      </c>
      <c r="C336" s="3">
        <v>45699.571608796294</v>
      </c>
      <c r="D336" t="s">
        <v>330</v>
      </c>
      <c r="E336" s="4">
        <v>0.20682649779319764</v>
      </c>
      <c r="F336" s="4">
        <v>347772.29345524852</v>
      </c>
      <c r="G336" s="4">
        <v>347772.50028174632</v>
      </c>
      <c r="H336" s="5">
        <f t="shared" si="2"/>
        <v>0</v>
      </c>
      <c r="I336" t="s">
        <v>198</v>
      </c>
      <c r="J336" t="s">
        <v>22</v>
      </c>
      <c r="K336" s="5">
        <f>40 / 86400</f>
        <v>4.6296296296296298E-4</v>
      </c>
      <c r="L336" s="5">
        <f>40 / 86400</f>
        <v>4.6296296296296298E-4</v>
      </c>
    </row>
    <row r="337" spans="1:12" x14ac:dyDescent="0.25">
      <c r="A337" s="3">
        <v>45699.572071759263</v>
      </c>
      <c r="B337" t="s">
        <v>331</v>
      </c>
      <c r="C337" s="3">
        <v>45699.57230324074</v>
      </c>
      <c r="D337" t="s">
        <v>332</v>
      </c>
      <c r="E337" s="4">
        <v>7.2863712668418887E-2</v>
      </c>
      <c r="F337" s="4">
        <v>347772.54871147865</v>
      </c>
      <c r="G337" s="4">
        <v>347772.62157519133</v>
      </c>
      <c r="H337" s="5">
        <f t="shared" si="2"/>
        <v>0</v>
      </c>
      <c r="I337" t="s">
        <v>141</v>
      </c>
      <c r="J337" t="s">
        <v>56</v>
      </c>
      <c r="K337" s="5">
        <f>20 / 86400</f>
        <v>2.3148148148148149E-4</v>
      </c>
      <c r="L337" s="5">
        <f>15 / 86400</f>
        <v>1.7361111111111112E-4</v>
      </c>
    </row>
    <row r="338" spans="1:12" x14ac:dyDescent="0.25">
      <c r="A338" s="3">
        <v>45699.572476851856</v>
      </c>
      <c r="B338" t="s">
        <v>332</v>
      </c>
      <c r="C338" s="3">
        <v>45699.573414351849</v>
      </c>
      <c r="D338" t="s">
        <v>221</v>
      </c>
      <c r="E338" s="4">
        <v>0.21633656364679338</v>
      </c>
      <c r="F338" s="4">
        <v>347772.62451775593</v>
      </c>
      <c r="G338" s="4">
        <v>347772.84085431957</v>
      </c>
      <c r="H338" s="5">
        <f t="shared" si="2"/>
        <v>0</v>
      </c>
      <c r="I338" t="s">
        <v>26</v>
      </c>
      <c r="J338" t="s">
        <v>112</v>
      </c>
      <c r="K338" s="5">
        <f>81 / 86400</f>
        <v>9.3749999999999997E-4</v>
      </c>
      <c r="L338" s="5">
        <f>17 / 86400</f>
        <v>1.9675925925925926E-4</v>
      </c>
    </row>
    <row r="339" spans="1:12" x14ac:dyDescent="0.25">
      <c r="A339" s="3">
        <v>45699.573611111111</v>
      </c>
      <c r="B339" t="s">
        <v>333</v>
      </c>
      <c r="C339" s="3">
        <v>45699.574074074073</v>
      </c>
      <c r="D339" t="s">
        <v>334</v>
      </c>
      <c r="E339" s="4">
        <v>0.1170753875374794</v>
      </c>
      <c r="F339" s="4">
        <v>347772.92973832757</v>
      </c>
      <c r="G339" s="4">
        <v>347773.04681371507</v>
      </c>
      <c r="H339" s="5">
        <f t="shared" si="2"/>
        <v>0</v>
      </c>
      <c r="I339" t="s">
        <v>22</v>
      </c>
      <c r="J339" t="s">
        <v>134</v>
      </c>
      <c r="K339" s="5">
        <f>40 / 86400</f>
        <v>4.6296296296296298E-4</v>
      </c>
      <c r="L339" s="5">
        <f>33 / 86400</f>
        <v>3.8194444444444446E-4</v>
      </c>
    </row>
    <row r="340" spans="1:12" x14ac:dyDescent="0.25">
      <c r="A340" s="3">
        <v>45699.574456018519</v>
      </c>
      <c r="B340" t="s">
        <v>334</v>
      </c>
      <c r="C340" s="3">
        <v>45699.575138888889</v>
      </c>
      <c r="D340" t="s">
        <v>335</v>
      </c>
      <c r="E340" s="4">
        <v>0.20492800325155258</v>
      </c>
      <c r="F340" s="4">
        <v>347773.05960119108</v>
      </c>
      <c r="G340" s="4">
        <v>347773.26452919433</v>
      </c>
      <c r="H340" s="5">
        <f t="shared" si="2"/>
        <v>0</v>
      </c>
      <c r="I340" t="s">
        <v>125</v>
      </c>
      <c r="J340" t="s">
        <v>56</v>
      </c>
      <c r="K340" s="5">
        <f>59 / 86400</f>
        <v>6.8287037037037036E-4</v>
      </c>
      <c r="L340" s="5">
        <f>35 / 86400</f>
        <v>4.0509259259259258E-4</v>
      </c>
    </row>
    <row r="341" spans="1:12" x14ac:dyDescent="0.25">
      <c r="A341" s="3">
        <v>45699.575543981482</v>
      </c>
      <c r="B341" t="s">
        <v>335</v>
      </c>
      <c r="C341" s="3">
        <v>45699.576990740738</v>
      </c>
      <c r="D341" t="s">
        <v>336</v>
      </c>
      <c r="E341" s="4">
        <v>0.5121614981889725</v>
      </c>
      <c r="F341" s="4">
        <v>347773.26956225693</v>
      </c>
      <c r="G341" s="4">
        <v>347773.78172375512</v>
      </c>
      <c r="H341" s="5">
        <f t="shared" si="2"/>
        <v>0</v>
      </c>
      <c r="I341" t="s">
        <v>223</v>
      </c>
      <c r="J341" t="s">
        <v>19</v>
      </c>
      <c r="K341" s="5">
        <f>125 / 86400</f>
        <v>1.4467592592592592E-3</v>
      </c>
      <c r="L341" s="5">
        <f>60 / 86400</f>
        <v>6.9444444444444447E-4</v>
      </c>
    </row>
    <row r="342" spans="1:12" x14ac:dyDescent="0.25">
      <c r="A342" s="3">
        <v>45699.577685185184</v>
      </c>
      <c r="B342" t="s">
        <v>336</v>
      </c>
      <c r="C342" s="3">
        <v>45699.577916666662</v>
      </c>
      <c r="D342" t="s">
        <v>336</v>
      </c>
      <c r="E342" s="4">
        <v>1.1459148228168488E-2</v>
      </c>
      <c r="F342" s="4">
        <v>347773.80626497878</v>
      </c>
      <c r="G342" s="4">
        <v>347773.81772412697</v>
      </c>
      <c r="H342" s="5">
        <f t="shared" si="2"/>
        <v>0</v>
      </c>
      <c r="I342" t="s">
        <v>157</v>
      </c>
      <c r="J342" t="s">
        <v>57</v>
      </c>
      <c r="K342" s="5">
        <f>20 / 86400</f>
        <v>2.3148148148148149E-4</v>
      </c>
      <c r="L342" s="5">
        <f>78 / 86400</f>
        <v>9.0277777777777774E-4</v>
      </c>
    </row>
    <row r="343" spans="1:12" x14ac:dyDescent="0.25">
      <c r="A343" s="3">
        <v>45699.578819444447</v>
      </c>
      <c r="B343" t="s">
        <v>218</v>
      </c>
      <c r="C343" s="3">
        <v>45699.57917824074</v>
      </c>
      <c r="D343" t="s">
        <v>219</v>
      </c>
      <c r="E343" s="4">
        <v>4.3611146152019498E-2</v>
      </c>
      <c r="F343" s="4">
        <v>347773.83064834942</v>
      </c>
      <c r="G343" s="4">
        <v>347773.87425949558</v>
      </c>
      <c r="H343" s="5">
        <f t="shared" si="2"/>
        <v>0</v>
      </c>
      <c r="I343" t="s">
        <v>128</v>
      </c>
      <c r="J343" t="s">
        <v>148</v>
      </c>
      <c r="K343" s="5">
        <f>31 / 86400</f>
        <v>3.5879629629629629E-4</v>
      </c>
      <c r="L343" s="5">
        <f>148 / 86400</f>
        <v>1.712962962962963E-3</v>
      </c>
    </row>
    <row r="344" spans="1:12" x14ac:dyDescent="0.25">
      <c r="A344" s="3">
        <v>45699.580891203703</v>
      </c>
      <c r="B344" t="s">
        <v>219</v>
      </c>
      <c r="C344" s="3">
        <v>45699.58112268518</v>
      </c>
      <c r="D344" t="s">
        <v>219</v>
      </c>
      <c r="E344" s="4">
        <v>6.7502409219741821E-3</v>
      </c>
      <c r="F344" s="4">
        <v>347773.91075066116</v>
      </c>
      <c r="G344" s="4">
        <v>347773.91750090208</v>
      </c>
      <c r="H344" s="5">
        <f t="shared" si="2"/>
        <v>0</v>
      </c>
      <c r="I344" t="s">
        <v>148</v>
      </c>
      <c r="J344" t="s">
        <v>29</v>
      </c>
      <c r="K344" s="5">
        <f>20 / 86400</f>
        <v>2.3148148148148149E-4</v>
      </c>
      <c r="L344" s="5">
        <f>140 / 86400</f>
        <v>1.6203703703703703E-3</v>
      </c>
    </row>
    <row r="345" spans="1:12" x14ac:dyDescent="0.25">
      <c r="A345" s="3">
        <v>45699.582743055551</v>
      </c>
      <c r="B345" t="s">
        <v>219</v>
      </c>
      <c r="C345" s="3">
        <v>45699.582974537036</v>
      </c>
      <c r="D345" t="s">
        <v>219</v>
      </c>
      <c r="E345" s="4">
        <v>6.9397954344749451E-3</v>
      </c>
      <c r="F345" s="4">
        <v>347773.94434637477</v>
      </c>
      <c r="G345" s="4">
        <v>347773.95128617017</v>
      </c>
      <c r="H345" s="5">
        <f t="shared" si="2"/>
        <v>0</v>
      </c>
      <c r="I345" t="s">
        <v>57</v>
      </c>
      <c r="J345" t="s">
        <v>29</v>
      </c>
      <c r="K345" s="5">
        <f>20 / 86400</f>
        <v>2.3148148148148149E-4</v>
      </c>
      <c r="L345" s="5">
        <f>40 / 86400</f>
        <v>4.6296296296296298E-4</v>
      </c>
    </row>
    <row r="346" spans="1:12" x14ac:dyDescent="0.25">
      <c r="A346" s="3">
        <v>45699.583437499998</v>
      </c>
      <c r="B346" t="s">
        <v>219</v>
      </c>
      <c r="C346" s="3">
        <v>45699.583668981482</v>
      </c>
      <c r="D346" t="s">
        <v>219</v>
      </c>
      <c r="E346" s="4">
        <v>5.0534045696258544E-3</v>
      </c>
      <c r="F346" s="4">
        <v>347773.9600387268</v>
      </c>
      <c r="G346" s="4">
        <v>347773.9650921314</v>
      </c>
      <c r="H346" s="5">
        <f t="shared" si="2"/>
        <v>0</v>
      </c>
      <c r="I346" t="s">
        <v>29</v>
      </c>
      <c r="J346" t="s">
        <v>29</v>
      </c>
      <c r="K346" s="5">
        <f>20 / 86400</f>
        <v>2.3148148148148149E-4</v>
      </c>
      <c r="L346" s="5">
        <f>100 / 86400</f>
        <v>1.1574074074074073E-3</v>
      </c>
    </row>
    <row r="347" spans="1:12" x14ac:dyDescent="0.25">
      <c r="A347" s="3">
        <v>45699.584826388891</v>
      </c>
      <c r="B347" t="s">
        <v>142</v>
      </c>
      <c r="C347" s="3">
        <v>45699.585752314815</v>
      </c>
      <c r="D347" t="s">
        <v>142</v>
      </c>
      <c r="E347" s="4">
        <v>2.6905516386032103E-2</v>
      </c>
      <c r="F347" s="4">
        <v>347773.97601019026</v>
      </c>
      <c r="G347" s="4">
        <v>347774.00291570666</v>
      </c>
      <c r="H347" s="5">
        <f t="shared" si="2"/>
        <v>0</v>
      </c>
      <c r="I347" t="s">
        <v>157</v>
      </c>
      <c r="J347" t="s">
        <v>29</v>
      </c>
      <c r="K347" s="5">
        <f>80 / 86400</f>
        <v>9.2592592592592596E-4</v>
      </c>
      <c r="L347" s="5">
        <f>69 / 86400</f>
        <v>7.9861111111111116E-4</v>
      </c>
    </row>
    <row r="348" spans="1:12" x14ac:dyDescent="0.25">
      <c r="A348" s="3">
        <v>45699.586550925931</v>
      </c>
      <c r="B348" t="s">
        <v>142</v>
      </c>
      <c r="C348" s="3">
        <v>45699.587025462963</v>
      </c>
      <c r="D348" t="s">
        <v>337</v>
      </c>
      <c r="E348" s="4">
        <v>9.9640016436576842E-2</v>
      </c>
      <c r="F348" s="4">
        <v>347774.02452265384</v>
      </c>
      <c r="G348" s="4">
        <v>347774.12416267028</v>
      </c>
      <c r="H348" s="5">
        <f t="shared" si="2"/>
        <v>0</v>
      </c>
      <c r="I348" t="s">
        <v>19</v>
      </c>
      <c r="J348" t="s">
        <v>127</v>
      </c>
      <c r="K348" s="5">
        <f>41 / 86400</f>
        <v>4.7453703703703704E-4</v>
      </c>
      <c r="L348" s="5">
        <f>6 / 86400</f>
        <v>6.9444444444444444E-5</v>
      </c>
    </row>
    <row r="349" spans="1:12" x14ac:dyDescent="0.25">
      <c r="A349" s="3">
        <v>45699.587094907409</v>
      </c>
      <c r="B349" t="s">
        <v>337</v>
      </c>
      <c r="C349" s="3">
        <v>45699.587326388893</v>
      </c>
      <c r="D349" t="s">
        <v>338</v>
      </c>
      <c r="E349" s="4">
        <v>1.5817785501480101E-2</v>
      </c>
      <c r="F349" s="4">
        <v>347774.13546556246</v>
      </c>
      <c r="G349" s="4">
        <v>347774.15128334798</v>
      </c>
      <c r="H349" s="5">
        <f t="shared" si="2"/>
        <v>0</v>
      </c>
      <c r="I349" t="s">
        <v>128</v>
      </c>
      <c r="J349" t="s">
        <v>157</v>
      </c>
      <c r="K349" s="5">
        <f>20 / 86400</f>
        <v>2.3148148148148149E-4</v>
      </c>
      <c r="L349" s="5">
        <f>20 / 86400</f>
        <v>2.3148148148148149E-4</v>
      </c>
    </row>
    <row r="350" spans="1:12" x14ac:dyDescent="0.25">
      <c r="A350" s="3">
        <v>45699.587557870371</v>
      </c>
      <c r="B350" t="s">
        <v>339</v>
      </c>
      <c r="C350" s="3">
        <v>45699.587858796294</v>
      </c>
      <c r="D350" t="s">
        <v>220</v>
      </c>
      <c r="E350" s="4">
        <v>8.879097962379455E-2</v>
      </c>
      <c r="F350" s="4">
        <v>347774.15316244139</v>
      </c>
      <c r="G350" s="4">
        <v>347774.24195342098</v>
      </c>
      <c r="H350" s="5">
        <f t="shared" si="2"/>
        <v>0</v>
      </c>
      <c r="I350" t="s">
        <v>125</v>
      </c>
      <c r="J350" t="s">
        <v>131</v>
      </c>
      <c r="K350" s="5">
        <f>26 / 86400</f>
        <v>3.0092592592592595E-4</v>
      </c>
      <c r="L350" s="5">
        <f>25 / 86400</f>
        <v>2.8935185185185184E-4</v>
      </c>
    </row>
    <row r="351" spans="1:12" x14ac:dyDescent="0.25">
      <c r="A351" s="3">
        <v>45699.588148148148</v>
      </c>
      <c r="B351" t="s">
        <v>60</v>
      </c>
      <c r="C351" s="3">
        <v>45699.588379629626</v>
      </c>
      <c r="D351" t="s">
        <v>60</v>
      </c>
      <c r="E351" s="4">
        <v>0</v>
      </c>
      <c r="F351" s="4">
        <v>347774.26239347504</v>
      </c>
      <c r="G351" s="4">
        <v>347774.26239347504</v>
      </c>
      <c r="H351" s="5">
        <f t="shared" si="2"/>
        <v>0</v>
      </c>
      <c r="I351" t="s">
        <v>128</v>
      </c>
      <c r="J351" t="s">
        <v>88</v>
      </c>
      <c r="K351" s="5">
        <f>20 / 86400</f>
        <v>2.3148148148148149E-4</v>
      </c>
      <c r="L351" s="5">
        <f>60 / 86400</f>
        <v>6.9444444444444447E-4</v>
      </c>
    </row>
    <row r="352" spans="1:12" x14ac:dyDescent="0.25">
      <c r="A352" s="3">
        <v>45699.589074074072</v>
      </c>
      <c r="B352" t="s">
        <v>216</v>
      </c>
      <c r="C352" s="3">
        <v>45699.590451388889</v>
      </c>
      <c r="D352" t="s">
        <v>340</v>
      </c>
      <c r="E352" s="4">
        <v>0.43582583981752393</v>
      </c>
      <c r="F352" s="4">
        <v>347774.52361326793</v>
      </c>
      <c r="G352" s="4">
        <v>347774.95943910774</v>
      </c>
      <c r="H352" s="5">
        <f t="shared" si="2"/>
        <v>0</v>
      </c>
      <c r="I352" t="s">
        <v>240</v>
      </c>
      <c r="J352" t="s">
        <v>56</v>
      </c>
      <c r="K352" s="5">
        <f>119 / 86400</f>
        <v>1.3773148148148147E-3</v>
      </c>
      <c r="L352" s="5">
        <f>40 / 86400</f>
        <v>4.6296296296296298E-4</v>
      </c>
    </row>
    <row r="353" spans="1:12" x14ac:dyDescent="0.25">
      <c r="A353" s="3">
        <v>45699.590914351851</v>
      </c>
      <c r="B353" t="s">
        <v>340</v>
      </c>
      <c r="C353" s="3">
        <v>45699.591608796298</v>
      </c>
      <c r="D353" t="s">
        <v>225</v>
      </c>
      <c r="E353" s="4">
        <v>0.18354855966567993</v>
      </c>
      <c r="F353" s="4">
        <v>347774.9663188557</v>
      </c>
      <c r="G353" s="4">
        <v>347775.14986741537</v>
      </c>
      <c r="H353" s="5">
        <f t="shared" ref="H353:H416" si="3">0 / 86400</f>
        <v>0</v>
      </c>
      <c r="I353" t="s">
        <v>34</v>
      </c>
      <c r="J353" t="s">
        <v>134</v>
      </c>
      <c r="K353" s="5">
        <f>60 / 86400</f>
        <v>6.9444444444444447E-4</v>
      </c>
      <c r="L353" s="5">
        <f>16 / 86400</f>
        <v>1.8518518518518518E-4</v>
      </c>
    </row>
    <row r="354" spans="1:12" x14ac:dyDescent="0.25">
      <c r="A354" s="3">
        <v>45699.591793981483</v>
      </c>
      <c r="B354" t="s">
        <v>225</v>
      </c>
      <c r="C354" s="3">
        <v>45699.593298611115</v>
      </c>
      <c r="D354" t="s">
        <v>226</v>
      </c>
      <c r="E354" s="4">
        <v>0.39915728521347044</v>
      </c>
      <c r="F354" s="4">
        <v>347775.15535774094</v>
      </c>
      <c r="G354" s="4">
        <v>347775.55451502616</v>
      </c>
      <c r="H354" s="5">
        <f t="shared" si="3"/>
        <v>0</v>
      </c>
      <c r="I354" t="s">
        <v>34</v>
      </c>
      <c r="J354" t="s">
        <v>134</v>
      </c>
      <c r="K354" s="5">
        <f>130 / 86400</f>
        <v>1.5046296296296296E-3</v>
      </c>
      <c r="L354" s="5">
        <f>40 / 86400</f>
        <v>4.6296296296296298E-4</v>
      </c>
    </row>
    <row r="355" spans="1:12" x14ac:dyDescent="0.25">
      <c r="A355" s="3">
        <v>45699.59376157407</v>
      </c>
      <c r="B355" t="s">
        <v>341</v>
      </c>
      <c r="C355" s="3">
        <v>45699.594490740739</v>
      </c>
      <c r="D355" t="s">
        <v>342</v>
      </c>
      <c r="E355" s="4">
        <v>0.23785725867748261</v>
      </c>
      <c r="F355" s="4">
        <v>347775.60781760939</v>
      </c>
      <c r="G355" s="4">
        <v>347775.84567486803</v>
      </c>
      <c r="H355" s="5">
        <f t="shared" si="3"/>
        <v>0</v>
      </c>
      <c r="I355" t="s">
        <v>193</v>
      </c>
      <c r="J355" t="s">
        <v>31</v>
      </c>
      <c r="K355" s="5">
        <f>63 / 86400</f>
        <v>7.291666666666667E-4</v>
      </c>
      <c r="L355" s="5">
        <f>23 / 86400</f>
        <v>2.6620370370370372E-4</v>
      </c>
    </row>
    <row r="356" spans="1:12" x14ac:dyDescent="0.25">
      <c r="A356" s="3">
        <v>45699.59475694444</v>
      </c>
      <c r="B356" t="s">
        <v>342</v>
      </c>
      <c r="C356" s="3">
        <v>45699.595486111109</v>
      </c>
      <c r="D356" t="s">
        <v>343</v>
      </c>
      <c r="E356" s="4">
        <v>0.21803387063741683</v>
      </c>
      <c r="F356" s="4">
        <v>347775.8582270128</v>
      </c>
      <c r="G356" s="4">
        <v>347776.07626088348</v>
      </c>
      <c r="H356" s="5">
        <f t="shared" si="3"/>
        <v>0</v>
      </c>
      <c r="I356" t="s">
        <v>203</v>
      </c>
      <c r="J356" t="s">
        <v>131</v>
      </c>
      <c r="K356" s="5">
        <f>63 / 86400</f>
        <v>7.291666666666667E-4</v>
      </c>
      <c r="L356" s="5">
        <f>40 / 86400</f>
        <v>4.6296296296296298E-4</v>
      </c>
    </row>
    <row r="357" spans="1:12" x14ac:dyDescent="0.25">
      <c r="A357" s="3">
        <v>45699.595949074079</v>
      </c>
      <c r="B357" t="s">
        <v>343</v>
      </c>
      <c r="C357" s="3">
        <v>45699.596412037034</v>
      </c>
      <c r="D357" t="s">
        <v>229</v>
      </c>
      <c r="E357" s="4">
        <v>5.5849712431430817E-2</v>
      </c>
      <c r="F357" s="4">
        <v>347776.0890209676</v>
      </c>
      <c r="G357" s="4">
        <v>347776.14487068006</v>
      </c>
      <c r="H357" s="5">
        <f t="shared" si="3"/>
        <v>0</v>
      </c>
      <c r="I357" t="s">
        <v>157</v>
      </c>
      <c r="J357" t="s">
        <v>148</v>
      </c>
      <c r="K357" s="5">
        <f>40 / 86400</f>
        <v>4.6296296296296298E-4</v>
      </c>
      <c r="L357" s="5">
        <f>67 / 86400</f>
        <v>7.7546296296296293E-4</v>
      </c>
    </row>
    <row r="358" spans="1:12" x14ac:dyDescent="0.25">
      <c r="A358" s="3">
        <v>45699.597187499996</v>
      </c>
      <c r="B358" t="s">
        <v>229</v>
      </c>
      <c r="C358" s="3">
        <v>45699.597997685181</v>
      </c>
      <c r="D358" t="s">
        <v>231</v>
      </c>
      <c r="E358" s="4">
        <v>0.22253873467445373</v>
      </c>
      <c r="F358" s="4">
        <v>347776.16224774567</v>
      </c>
      <c r="G358" s="4">
        <v>347776.38478648034</v>
      </c>
      <c r="H358" s="5">
        <f t="shared" si="3"/>
        <v>0</v>
      </c>
      <c r="I358" t="s">
        <v>152</v>
      </c>
      <c r="J358" t="s">
        <v>134</v>
      </c>
      <c r="K358" s="5">
        <f>70 / 86400</f>
        <v>8.1018518518518516E-4</v>
      </c>
      <c r="L358" s="5">
        <f>20 / 86400</f>
        <v>2.3148148148148149E-4</v>
      </c>
    </row>
    <row r="359" spans="1:12" x14ac:dyDescent="0.25">
      <c r="A359" s="3">
        <v>45699.598229166666</v>
      </c>
      <c r="B359" t="s">
        <v>231</v>
      </c>
      <c r="C359" s="3">
        <v>45699.598923611113</v>
      </c>
      <c r="D359" t="s">
        <v>209</v>
      </c>
      <c r="E359" s="4">
        <v>0.17592773431539535</v>
      </c>
      <c r="F359" s="4">
        <v>347776.40192794875</v>
      </c>
      <c r="G359" s="4">
        <v>347776.57785568311</v>
      </c>
      <c r="H359" s="5">
        <f t="shared" si="3"/>
        <v>0</v>
      </c>
      <c r="I359" t="s">
        <v>160</v>
      </c>
      <c r="J359" t="s">
        <v>134</v>
      </c>
      <c r="K359" s="5">
        <f>60 / 86400</f>
        <v>6.9444444444444447E-4</v>
      </c>
      <c r="L359" s="5">
        <f>43 / 86400</f>
        <v>4.9768518518518521E-4</v>
      </c>
    </row>
    <row r="360" spans="1:12" x14ac:dyDescent="0.25">
      <c r="A360" s="3">
        <v>45699.599421296298</v>
      </c>
      <c r="B360" t="s">
        <v>209</v>
      </c>
      <c r="C360" s="3">
        <v>45699.599965277783</v>
      </c>
      <c r="D360" t="s">
        <v>344</v>
      </c>
      <c r="E360" s="4">
        <v>0.15206915616989136</v>
      </c>
      <c r="F360" s="4">
        <v>347776.58447684417</v>
      </c>
      <c r="G360" s="4">
        <v>347776.73654600035</v>
      </c>
      <c r="H360" s="5">
        <f t="shared" si="3"/>
        <v>0</v>
      </c>
      <c r="I360" t="s">
        <v>19</v>
      </c>
      <c r="J360" t="s">
        <v>131</v>
      </c>
      <c r="K360" s="5">
        <f>47 / 86400</f>
        <v>5.4398148148148144E-4</v>
      </c>
      <c r="L360" s="5">
        <f>20 / 86400</f>
        <v>2.3148148148148149E-4</v>
      </c>
    </row>
    <row r="361" spans="1:12" x14ac:dyDescent="0.25">
      <c r="A361" s="3">
        <v>45699.60019675926</v>
      </c>
      <c r="B361" t="s">
        <v>209</v>
      </c>
      <c r="C361" s="3">
        <v>45699.600428240738</v>
      </c>
      <c r="D361" t="s">
        <v>325</v>
      </c>
      <c r="E361" s="4">
        <v>2.5861610233783722E-2</v>
      </c>
      <c r="F361" s="4">
        <v>347776.77607923042</v>
      </c>
      <c r="G361" s="4">
        <v>347776.80194084067</v>
      </c>
      <c r="H361" s="5">
        <f t="shared" si="3"/>
        <v>0</v>
      </c>
      <c r="I361" t="s">
        <v>127</v>
      </c>
      <c r="J361" t="s">
        <v>148</v>
      </c>
      <c r="K361" s="5">
        <f>20 / 86400</f>
        <v>2.3148148148148149E-4</v>
      </c>
      <c r="L361" s="5">
        <f>20 / 86400</f>
        <v>2.3148148148148149E-4</v>
      </c>
    </row>
    <row r="362" spans="1:12" x14ac:dyDescent="0.25">
      <c r="A362" s="3">
        <v>45699.600659722222</v>
      </c>
      <c r="B362" t="s">
        <v>325</v>
      </c>
      <c r="C362" s="3">
        <v>45699.601817129631</v>
      </c>
      <c r="D362" t="s">
        <v>70</v>
      </c>
      <c r="E362" s="4">
        <v>0.52104978173971173</v>
      </c>
      <c r="F362" s="4">
        <v>347776.82153869106</v>
      </c>
      <c r="G362" s="4">
        <v>347777.34258847276</v>
      </c>
      <c r="H362" s="5">
        <f t="shared" si="3"/>
        <v>0</v>
      </c>
      <c r="I362" t="s">
        <v>141</v>
      </c>
      <c r="J362" t="s">
        <v>22</v>
      </c>
      <c r="K362" s="5">
        <f>100 / 86400</f>
        <v>1.1574074074074073E-3</v>
      </c>
      <c r="L362" s="5">
        <f>17 / 86400</f>
        <v>1.9675925925925926E-4</v>
      </c>
    </row>
    <row r="363" spans="1:12" x14ac:dyDescent="0.25">
      <c r="A363" s="3">
        <v>45699.602013888885</v>
      </c>
      <c r="B363" t="s">
        <v>70</v>
      </c>
      <c r="C363" s="3">
        <v>45699.603171296301</v>
      </c>
      <c r="D363" t="s">
        <v>320</v>
      </c>
      <c r="E363" s="4">
        <v>0.96250750648975369</v>
      </c>
      <c r="F363" s="4">
        <v>347777.36601784953</v>
      </c>
      <c r="G363" s="4">
        <v>347778.32852535602</v>
      </c>
      <c r="H363" s="5">
        <f t="shared" si="3"/>
        <v>0</v>
      </c>
      <c r="I363" t="s">
        <v>175</v>
      </c>
      <c r="J363" t="s">
        <v>240</v>
      </c>
      <c r="K363" s="5">
        <f>100 / 86400</f>
        <v>1.1574074074074073E-3</v>
      </c>
      <c r="L363" s="5">
        <f>40 / 86400</f>
        <v>4.6296296296296298E-4</v>
      </c>
    </row>
    <row r="364" spans="1:12" x14ac:dyDescent="0.25">
      <c r="A364" s="3">
        <v>45699.603634259256</v>
      </c>
      <c r="B364" t="s">
        <v>320</v>
      </c>
      <c r="C364" s="3">
        <v>45699.604328703703</v>
      </c>
      <c r="D364" t="s">
        <v>237</v>
      </c>
      <c r="E364" s="4">
        <v>0.32505433177947995</v>
      </c>
      <c r="F364" s="4">
        <v>347778.33967237076</v>
      </c>
      <c r="G364" s="4">
        <v>347778.6647267025</v>
      </c>
      <c r="H364" s="5">
        <f t="shared" si="3"/>
        <v>0</v>
      </c>
      <c r="I364" t="s">
        <v>180</v>
      </c>
      <c r="J364" t="s">
        <v>152</v>
      </c>
      <c r="K364" s="5">
        <f>60 / 86400</f>
        <v>6.9444444444444447E-4</v>
      </c>
      <c r="L364" s="5">
        <f>40 / 86400</f>
        <v>4.6296296296296298E-4</v>
      </c>
    </row>
    <row r="365" spans="1:12" x14ac:dyDescent="0.25">
      <c r="A365" s="3">
        <v>45699.604791666672</v>
      </c>
      <c r="B365" t="s">
        <v>237</v>
      </c>
      <c r="C365" s="3">
        <v>45699.605486111112</v>
      </c>
      <c r="D365" t="s">
        <v>345</v>
      </c>
      <c r="E365" s="4">
        <v>0.30611823159456253</v>
      </c>
      <c r="F365" s="4">
        <v>347778.73719806602</v>
      </c>
      <c r="G365" s="4">
        <v>347779.04331629758</v>
      </c>
      <c r="H365" s="5">
        <f t="shared" si="3"/>
        <v>0</v>
      </c>
      <c r="I365" t="s">
        <v>240</v>
      </c>
      <c r="J365" t="s">
        <v>26</v>
      </c>
      <c r="K365" s="5">
        <f>60 / 86400</f>
        <v>6.9444444444444447E-4</v>
      </c>
      <c r="L365" s="5">
        <f>19 / 86400</f>
        <v>2.199074074074074E-4</v>
      </c>
    </row>
    <row r="366" spans="1:12" x14ac:dyDescent="0.25">
      <c r="A366" s="3">
        <v>45699.605706018519</v>
      </c>
      <c r="B366" t="s">
        <v>345</v>
      </c>
      <c r="C366" s="3">
        <v>45699.606631944444</v>
      </c>
      <c r="D366" t="s">
        <v>346</v>
      </c>
      <c r="E366" s="4">
        <v>0.52945541280508046</v>
      </c>
      <c r="F366" s="4">
        <v>347779.04785702663</v>
      </c>
      <c r="G366" s="4">
        <v>347779.57731243945</v>
      </c>
      <c r="H366" s="5">
        <f t="shared" si="3"/>
        <v>0</v>
      </c>
      <c r="I366" t="s">
        <v>285</v>
      </c>
      <c r="J366" t="s">
        <v>130</v>
      </c>
      <c r="K366" s="5">
        <f>80 / 86400</f>
        <v>9.2592592592592596E-4</v>
      </c>
      <c r="L366" s="5">
        <f>60 / 86400</f>
        <v>6.9444444444444447E-4</v>
      </c>
    </row>
    <row r="367" spans="1:12" x14ac:dyDescent="0.25">
      <c r="A367" s="3">
        <v>45699.60732638889</v>
      </c>
      <c r="B367" t="s">
        <v>242</v>
      </c>
      <c r="C367" s="3">
        <v>45699.607789351852</v>
      </c>
      <c r="D367" t="s">
        <v>242</v>
      </c>
      <c r="E367" s="4">
        <v>7.2053844928741456E-3</v>
      </c>
      <c r="F367" s="4">
        <v>347779.59727012063</v>
      </c>
      <c r="G367" s="4">
        <v>347779.60447550513</v>
      </c>
      <c r="H367" s="5">
        <f t="shared" si="3"/>
        <v>0</v>
      </c>
      <c r="I367" t="s">
        <v>57</v>
      </c>
      <c r="J367" t="s">
        <v>29</v>
      </c>
      <c r="K367" s="5">
        <f>40 / 86400</f>
        <v>4.6296296296296298E-4</v>
      </c>
      <c r="L367" s="5">
        <f>26 / 86400</f>
        <v>3.0092592592592595E-4</v>
      </c>
    </row>
    <row r="368" spans="1:12" x14ac:dyDescent="0.25">
      <c r="A368" s="3">
        <v>45699.608090277776</v>
      </c>
      <c r="B368" t="s">
        <v>242</v>
      </c>
      <c r="C368" s="3">
        <v>45699.610034722224</v>
      </c>
      <c r="D368" t="s">
        <v>244</v>
      </c>
      <c r="E368" s="4">
        <v>0.43638407212495806</v>
      </c>
      <c r="F368" s="4">
        <v>347779.61348342878</v>
      </c>
      <c r="G368" s="4">
        <v>347780.0498675009</v>
      </c>
      <c r="H368" s="5">
        <f t="shared" si="3"/>
        <v>0</v>
      </c>
      <c r="I368" t="s">
        <v>174</v>
      </c>
      <c r="J368" t="s">
        <v>127</v>
      </c>
      <c r="K368" s="5">
        <f>168 / 86400</f>
        <v>1.9444444444444444E-3</v>
      </c>
      <c r="L368" s="5">
        <f>18 / 86400</f>
        <v>2.0833333333333335E-4</v>
      </c>
    </row>
    <row r="369" spans="1:12" x14ac:dyDescent="0.25">
      <c r="A369" s="3">
        <v>45699.610243055555</v>
      </c>
      <c r="B369" t="s">
        <v>244</v>
      </c>
      <c r="C369" s="3">
        <v>45699.614166666666</v>
      </c>
      <c r="D369" t="s">
        <v>347</v>
      </c>
      <c r="E369" s="4">
        <v>1.4024851818084716</v>
      </c>
      <c r="F369" s="4">
        <v>347780.07377521973</v>
      </c>
      <c r="G369" s="4">
        <v>347781.47626040154</v>
      </c>
      <c r="H369" s="5">
        <f t="shared" si="3"/>
        <v>0</v>
      </c>
      <c r="I369" t="s">
        <v>141</v>
      </c>
      <c r="J369" t="s">
        <v>19</v>
      </c>
      <c r="K369" s="5">
        <f>339 / 86400</f>
        <v>3.9236111111111112E-3</v>
      </c>
      <c r="L369" s="5">
        <f>60 / 86400</f>
        <v>6.9444444444444447E-4</v>
      </c>
    </row>
    <row r="370" spans="1:12" x14ac:dyDescent="0.25">
      <c r="A370" s="3">
        <v>45699.614861111113</v>
      </c>
      <c r="B370" t="s">
        <v>347</v>
      </c>
      <c r="C370" s="3">
        <v>45699.61555555556</v>
      </c>
      <c r="D370" t="s">
        <v>348</v>
      </c>
      <c r="E370" s="4">
        <v>0.26558192050457002</v>
      </c>
      <c r="F370" s="4">
        <v>347781.48159543972</v>
      </c>
      <c r="G370" s="4">
        <v>347781.74717736023</v>
      </c>
      <c r="H370" s="5">
        <f t="shared" si="3"/>
        <v>0</v>
      </c>
      <c r="I370" t="s">
        <v>124</v>
      </c>
      <c r="J370" t="s">
        <v>37</v>
      </c>
      <c r="K370" s="5">
        <f>60 / 86400</f>
        <v>6.9444444444444447E-4</v>
      </c>
      <c r="L370" s="5">
        <f>70 / 86400</f>
        <v>8.1018518518518516E-4</v>
      </c>
    </row>
    <row r="371" spans="1:12" x14ac:dyDescent="0.25">
      <c r="A371" s="3">
        <v>45699.616365740745</v>
      </c>
      <c r="B371" t="s">
        <v>349</v>
      </c>
      <c r="C371" s="3">
        <v>45699.617349537039</v>
      </c>
      <c r="D371" t="s">
        <v>248</v>
      </c>
      <c r="E371" s="4">
        <v>0.52022598510980611</v>
      </c>
      <c r="F371" s="4">
        <v>347781.76992274076</v>
      </c>
      <c r="G371" s="4">
        <v>347782.29014872585</v>
      </c>
      <c r="H371" s="5">
        <f t="shared" si="3"/>
        <v>0</v>
      </c>
      <c r="I371" t="s">
        <v>202</v>
      </c>
      <c r="J371" t="s">
        <v>34</v>
      </c>
      <c r="K371" s="5">
        <f>85 / 86400</f>
        <v>9.837962962962962E-4</v>
      </c>
      <c r="L371" s="5">
        <f>65 / 86400</f>
        <v>7.5231481481481482E-4</v>
      </c>
    </row>
    <row r="372" spans="1:12" x14ac:dyDescent="0.25">
      <c r="A372" s="3">
        <v>45699.618101851855</v>
      </c>
      <c r="B372" t="s">
        <v>248</v>
      </c>
      <c r="C372" s="3">
        <v>45699.621736111112</v>
      </c>
      <c r="D372" t="s">
        <v>250</v>
      </c>
      <c r="E372" s="4">
        <v>1.9897315840125085</v>
      </c>
      <c r="F372" s="4">
        <v>347782.30087319412</v>
      </c>
      <c r="G372" s="4">
        <v>347784.2906047781</v>
      </c>
      <c r="H372" s="5">
        <f t="shared" si="3"/>
        <v>0</v>
      </c>
      <c r="I372" t="s">
        <v>175</v>
      </c>
      <c r="J372" t="s">
        <v>160</v>
      </c>
      <c r="K372" s="5">
        <f>314 / 86400</f>
        <v>3.6342592592592594E-3</v>
      </c>
      <c r="L372" s="5">
        <f>39 / 86400</f>
        <v>4.5138888888888887E-4</v>
      </c>
    </row>
    <row r="373" spans="1:12" x14ac:dyDescent="0.25">
      <c r="A373" s="3">
        <v>45699.622187500005</v>
      </c>
      <c r="B373" t="s">
        <v>350</v>
      </c>
      <c r="C373" s="3">
        <v>45699.623564814814</v>
      </c>
      <c r="D373" t="s">
        <v>251</v>
      </c>
      <c r="E373" s="4">
        <v>0.89273798382282255</v>
      </c>
      <c r="F373" s="4">
        <v>347784.30811421829</v>
      </c>
      <c r="G373" s="4">
        <v>347785.20085220214</v>
      </c>
      <c r="H373" s="5">
        <f t="shared" si="3"/>
        <v>0</v>
      </c>
      <c r="I373" t="s">
        <v>182</v>
      </c>
      <c r="J373" t="s">
        <v>143</v>
      </c>
      <c r="K373" s="5">
        <f>119 / 86400</f>
        <v>1.3773148148148147E-3</v>
      </c>
      <c r="L373" s="5">
        <f>20 / 86400</f>
        <v>2.3148148148148149E-4</v>
      </c>
    </row>
    <row r="374" spans="1:12" x14ac:dyDescent="0.25">
      <c r="A374" s="3">
        <v>45699.623796296291</v>
      </c>
      <c r="B374" t="s">
        <v>250</v>
      </c>
      <c r="C374" s="3">
        <v>45699.625578703708</v>
      </c>
      <c r="D374" t="s">
        <v>351</v>
      </c>
      <c r="E374" s="4">
        <v>0.53858971375226972</v>
      </c>
      <c r="F374" s="4">
        <v>347785.28026249359</v>
      </c>
      <c r="G374" s="4">
        <v>347785.81885220739</v>
      </c>
      <c r="H374" s="5">
        <f t="shared" si="3"/>
        <v>0</v>
      </c>
      <c r="I374" t="s">
        <v>141</v>
      </c>
      <c r="J374" t="s">
        <v>56</v>
      </c>
      <c r="K374" s="5">
        <f>154 / 86400</f>
        <v>1.7824074074074075E-3</v>
      </c>
      <c r="L374" s="5">
        <f>20 / 86400</f>
        <v>2.3148148148148149E-4</v>
      </c>
    </row>
    <row r="375" spans="1:12" x14ac:dyDescent="0.25">
      <c r="A375" s="3">
        <v>45699.625810185185</v>
      </c>
      <c r="B375" t="s">
        <v>304</v>
      </c>
      <c r="C375" s="3">
        <v>45699.626041666663</v>
      </c>
      <c r="D375" t="s">
        <v>304</v>
      </c>
      <c r="E375" s="4">
        <v>4.1499261319637298E-2</v>
      </c>
      <c r="F375" s="4">
        <v>347785.92843314569</v>
      </c>
      <c r="G375" s="4">
        <v>347785.96993240702</v>
      </c>
      <c r="H375" s="5">
        <f t="shared" si="3"/>
        <v>0</v>
      </c>
      <c r="I375" t="s">
        <v>154</v>
      </c>
      <c r="J375" t="s">
        <v>28</v>
      </c>
      <c r="K375" s="5">
        <f>20 / 86400</f>
        <v>2.3148148148148149E-4</v>
      </c>
      <c r="L375" s="5">
        <f>40 / 86400</f>
        <v>4.6296296296296298E-4</v>
      </c>
    </row>
    <row r="376" spans="1:12" x14ac:dyDescent="0.25">
      <c r="A376" s="3">
        <v>45699.626504629632</v>
      </c>
      <c r="B376" t="s">
        <v>304</v>
      </c>
      <c r="C376" s="3">
        <v>45699.627430555556</v>
      </c>
      <c r="D376" t="s">
        <v>352</v>
      </c>
      <c r="E376" s="4">
        <v>0.41128148680925369</v>
      </c>
      <c r="F376" s="4">
        <v>347785.98925926903</v>
      </c>
      <c r="G376" s="4">
        <v>347786.40054075589</v>
      </c>
      <c r="H376" s="5">
        <f t="shared" si="3"/>
        <v>0</v>
      </c>
      <c r="I376" t="s">
        <v>184</v>
      </c>
      <c r="J376" t="s">
        <v>22</v>
      </c>
      <c r="K376" s="5">
        <f>80 / 86400</f>
        <v>9.2592592592592596E-4</v>
      </c>
      <c r="L376" s="5">
        <f>20 / 86400</f>
        <v>2.3148148148148149E-4</v>
      </c>
    </row>
    <row r="377" spans="1:12" x14ac:dyDescent="0.25">
      <c r="A377" s="3">
        <v>45699.627662037034</v>
      </c>
      <c r="B377" t="s">
        <v>352</v>
      </c>
      <c r="C377" s="3">
        <v>45699.627893518518</v>
      </c>
      <c r="D377" t="s">
        <v>304</v>
      </c>
      <c r="E377" s="4">
        <v>5.2656494677066804E-2</v>
      </c>
      <c r="F377" s="4">
        <v>347786.41605809925</v>
      </c>
      <c r="G377" s="4">
        <v>347786.46871459397</v>
      </c>
      <c r="H377" s="5">
        <f t="shared" si="3"/>
        <v>0</v>
      </c>
      <c r="I377" t="s">
        <v>125</v>
      </c>
      <c r="J377" t="s">
        <v>127</v>
      </c>
      <c r="K377" s="5">
        <f>20 / 86400</f>
        <v>2.3148148148148149E-4</v>
      </c>
      <c r="L377" s="5">
        <f>40 / 86400</f>
        <v>4.6296296296296298E-4</v>
      </c>
    </row>
    <row r="378" spans="1:12" x14ac:dyDescent="0.25">
      <c r="A378" s="3">
        <v>45699.62835648148</v>
      </c>
      <c r="B378" t="s">
        <v>304</v>
      </c>
      <c r="C378" s="3">
        <v>45699.628587962958</v>
      </c>
      <c r="D378" t="s">
        <v>304</v>
      </c>
      <c r="E378" s="4">
        <v>1.2566274702548981E-2</v>
      </c>
      <c r="F378" s="4">
        <v>347786.47598308662</v>
      </c>
      <c r="G378" s="4">
        <v>347786.48854936135</v>
      </c>
      <c r="H378" s="5">
        <f t="shared" si="3"/>
        <v>0</v>
      </c>
      <c r="I378" t="s">
        <v>232</v>
      </c>
      <c r="J378" t="s">
        <v>57</v>
      </c>
      <c r="K378" s="5">
        <f>20 / 86400</f>
        <v>2.3148148148148149E-4</v>
      </c>
      <c r="L378" s="5">
        <f>60 / 86400</f>
        <v>6.9444444444444447E-4</v>
      </c>
    </row>
    <row r="379" spans="1:12" x14ac:dyDescent="0.25">
      <c r="A379" s="3">
        <v>45699.629282407404</v>
      </c>
      <c r="B379" t="s">
        <v>353</v>
      </c>
      <c r="C379" s="3">
        <v>45699.629513888889</v>
      </c>
      <c r="D379" t="s">
        <v>353</v>
      </c>
      <c r="E379" s="4">
        <v>8.3612967133522027E-3</v>
      </c>
      <c r="F379" s="4">
        <v>347786.50913020468</v>
      </c>
      <c r="G379" s="4">
        <v>347786.51749150141</v>
      </c>
      <c r="H379" s="5">
        <f t="shared" si="3"/>
        <v>0</v>
      </c>
      <c r="I379" t="s">
        <v>232</v>
      </c>
      <c r="J379" t="s">
        <v>57</v>
      </c>
      <c r="K379" s="5">
        <f>20 / 86400</f>
        <v>2.3148148148148149E-4</v>
      </c>
      <c r="L379" s="5">
        <f>14 / 86400</f>
        <v>1.6203703703703703E-4</v>
      </c>
    </row>
    <row r="380" spans="1:12" x14ac:dyDescent="0.25">
      <c r="A380" s="3">
        <v>45699.629675925928</v>
      </c>
      <c r="B380" t="s">
        <v>353</v>
      </c>
      <c r="C380" s="3">
        <v>45699.629907407405</v>
      </c>
      <c r="D380" t="s">
        <v>353</v>
      </c>
      <c r="E380" s="4">
        <v>3.3725768923759461E-2</v>
      </c>
      <c r="F380" s="4">
        <v>347786.51969528274</v>
      </c>
      <c r="G380" s="4">
        <v>347786.55342105171</v>
      </c>
      <c r="H380" s="5">
        <f t="shared" si="3"/>
        <v>0</v>
      </c>
      <c r="I380" t="s">
        <v>128</v>
      </c>
      <c r="J380" t="s">
        <v>128</v>
      </c>
      <c r="K380" s="5">
        <f>20 / 86400</f>
        <v>2.3148148148148149E-4</v>
      </c>
      <c r="L380" s="5">
        <f>2 / 86400</f>
        <v>2.3148148148148147E-5</v>
      </c>
    </row>
    <row r="381" spans="1:12" x14ac:dyDescent="0.25">
      <c r="A381" s="3">
        <v>45699.629930555559</v>
      </c>
      <c r="B381" t="s">
        <v>353</v>
      </c>
      <c r="C381" s="3">
        <v>45699.632245370369</v>
      </c>
      <c r="D381" t="s">
        <v>354</v>
      </c>
      <c r="E381" s="4">
        <v>1.3349131917357444</v>
      </c>
      <c r="F381" s="4">
        <v>347786.55692880333</v>
      </c>
      <c r="G381" s="4">
        <v>347787.89184199506</v>
      </c>
      <c r="H381" s="5">
        <f t="shared" si="3"/>
        <v>0</v>
      </c>
      <c r="I381" t="s">
        <v>252</v>
      </c>
      <c r="J381" t="s">
        <v>130</v>
      </c>
      <c r="K381" s="5">
        <f>200 / 86400</f>
        <v>2.3148148148148147E-3</v>
      </c>
      <c r="L381" s="5">
        <f>20 / 86400</f>
        <v>2.3148148148148149E-4</v>
      </c>
    </row>
    <row r="382" spans="1:12" x14ac:dyDescent="0.25">
      <c r="A382" s="3">
        <v>45699.632476851853</v>
      </c>
      <c r="B382" t="s">
        <v>354</v>
      </c>
      <c r="C382" s="3">
        <v>45699.634097222224</v>
      </c>
      <c r="D382" t="s">
        <v>355</v>
      </c>
      <c r="E382" s="4">
        <v>0.87079546028375621</v>
      </c>
      <c r="F382" s="4">
        <v>347787.99944193196</v>
      </c>
      <c r="G382" s="4">
        <v>347788.87023739226</v>
      </c>
      <c r="H382" s="5">
        <f t="shared" si="3"/>
        <v>0</v>
      </c>
      <c r="I382" t="s">
        <v>171</v>
      </c>
      <c r="J382" t="s">
        <v>34</v>
      </c>
      <c r="K382" s="5">
        <f>140 / 86400</f>
        <v>1.6203703703703703E-3</v>
      </c>
      <c r="L382" s="5">
        <f>20 / 86400</f>
        <v>2.3148148148148149E-4</v>
      </c>
    </row>
    <row r="383" spans="1:12" x14ac:dyDescent="0.25">
      <c r="A383" s="3">
        <v>45699.634328703702</v>
      </c>
      <c r="B383" t="s">
        <v>355</v>
      </c>
      <c r="C383" s="3">
        <v>45699.637604166666</v>
      </c>
      <c r="D383" t="s">
        <v>191</v>
      </c>
      <c r="E383" s="4">
        <v>1.7224031255841254</v>
      </c>
      <c r="F383" s="4">
        <v>347788.88392625761</v>
      </c>
      <c r="G383" s="4">
        <v>347790.60632938321</v>
      </c>
      <c r="H383" s="5">
        <f t="shared" si="3"/>
        <v>0</v>
      </c>
      <c r="I383" t="s">
        <v>156</v>
      </c>
      <c r="J383" t="s">
        <v>34</v>
      </c>
      <c r="K383" s="5">
        <f>283 / 86400</f>
        <v>3.2754629629629631E-3</v>
      </c>
      <c r="L383" s="5">
        <f>68 / 86400</f>
        <v>7.8703703703703705E-4</v>
      </c>
    </row>
    <row r="384" spans="1:12" x14ac:dyDescent="0.25">
      <c r="A384" s="3">
        <v>45699.638391203705</v>
      </c>
      <c r="B384" t="s">
        <v>191</v>
      </c>
      <c r="C384" s="3">
        <v>45699.640243055561</v>
      </c>
      <c r="D384" t="s">
        <v>190</v>
      </c>
      <c r="E384" s="4">
        <v>0.68440973252058024</v>
      </c>
      <c r="F384" s="4">
        <v>347790.62585464102</v>
      </c>
      <c r="G384" s="4">
        <v>347791.31026437355</v>
      </c>
      <c r="H384" s="5">
        <f t="shared" si="3"/>
        <v>0</v>
      </c>
      <c r="I384" t="s">
        <v>239</v>
      </c>
      <c r="J384" t="s">
        <v>19</v>
      </c>
      <c r="K384" s="5">
        <f>160 / 86400</f>
        <v>1.8518518518518519E-3</v>
      </c>
      <c r="L384" s="5">
        <f>40 / 86400</f>
        <v>4.6296296296296298E-4</v>
      </c>
    </row>
    <row r="385" spans="1:12" x14ac:dyDescent="0.25">
      <c r="A385" s="3">
        <v>45699.640706018516</v>
      </c>
      <c r="B385" t="s">
        <v>100</v>
      </c>
      <c r="C385" s="3">
        <v>45699.6409375</v>
      </c>
      <c r="D385" t="s">
        <v>100</v>
      </c>
      <c r="E385" s="4">
        <v>1.6701443254947664E-2</v>
      </c>
      <c r="F385" s="4">
        <v>347791.99703842972</v>
      </c>
      <c r="G385" s="4">
        <v>347792.01373987301</v>
      </c>
      <c r="H385" s="5">
        <f t="shared" si="3"/>
        <v>0</v>
      </c>
      <c r="I385" t="s">
        <v>57</v>
      </c>
      <c r="J385" t="s">
        <v>157</v>
      </c>
      <c r="K385" s="5">
        <f>20 / 86400</f>
        <v>2.3148148148148149E-4</v>
      </c>
      <c r="L385" s="5">
        <f>11 / 86400</f>
        <v>1.273148148148148E-4</v>
      </c>
    </row>
    <row r="386" spans="1:12" x14ac:dyDescent="0.25">
      <c r="A386" s="3">
        <v>45699.641064814816</v>
      </c>
      <c r="B386" t="s">
        <v>100</v>
      </c>
      <c r="C386" s="3">
        <v>45699.64197916667</v>
      </c>
      <c r="D386" t="s">
        <v>258</v>
      </c>
      <c r="E386" s="4">
        <v>0.30696556961536409</v>
      </c>
      <c r="F386" s="4">
        <v>347792.01885507582</v>
      </c>
      <c r="G386" s="4">
        <v>347792.32582064543</v>
      </c>
      <c r="H386" s="5">
        <f t="shared" si="3"/>
        <v>0</v>
      </c>
      <c r="I386" t="s">
        <v>130</v>
      </c>
      <c r="J386" t="s">
        <v>31</v>
      </c>
      <c r="K386" s="5">
        <f>79 / 86400</f>
        <v>9.1435185185185185E-4</v>
      </c>
      <c r="L386" s="5">
        <f>20 / 86400</f>
        <v>2.3148148148148149E-4</v>
      </c>
    </row>
    <row r="387" spans="1:12" x14ac:dyDescent="0.25">
      <c r="A387" s="3">
        <v>45699.642210648148</v>
      </c>
      <c r="B387" t="s">
        <v>258</v>
      </c>
      <c r="C387" s="3">
        <v>45699.644548611112</v>
      </c>
      <c r="D387" t="s">
        <v>190</v>
      </c>
      <c r="E387" s="4">
        <v>0.69935135215520861</v>
      </c>
      <c r="F387" s="4">
        <v>347792.3451616363</v>
      </c>
      <c r="G387" s="4">
        <v>347793.04451298848</v>
      </c>
      <c r="H387" s="5">
        <f t="shared" si="3"/>
        <v>0</v>
      </c>
      <c r="I387" t="s">
        <v>149</v>
      </c>
      <c r="J387" t="s">
        <v>131</v>
      </c>
      <c r="K387" s="5">
        <f>202 / 86400</f>
        <v>2.3379629629629631E-3</v>
      </c>
      <c r="L387" s="5">
        <f>40 / 86400</f>
        <v>4.6296296296296298E-4</v>
      </c>
    </row>
    <row r="388" spans="1:12" x14ac:dyDescent="0.25">
      <c r="A388" s="3">
        <v>45699.645011574074</v>
      </c>
      <c r="B388" t="s">
        <v>190</v>
      </c>
      <c r="C388" s="3">
        <v>45699.645474537036</v>
      </c>
      <c r="D388" t="s">
        <v>356</v>
      </c>
      <c r="E388" s="4">
        <v>7.4100853860378263E-2</v>
      </c>
      <c r="F388" s="4">
        <v>347793.08065948478</v>
      </c>
      <c r="G388" s="4">
        <v>347793.15476033866</v>
      </c>
      <c r="H388" s="5">
        <f t="shared" si="3"/>
        <v>0</v>
      </c>
      <c r="I388" t="s">
        <v>56</v>
      </c>
      <c r="J388" t="s">
        <v>28</v>
      </c>
      <c r="K388" s="5">
        <f>40 / 86400</f>
        <v>4.6296296296296298E-4</v>
      </c>
      <c r="L388" s="5">
        <f>40 / 86400</f>
        <v>4.6296296296296298E-4</v>
      </c>
    </row>
    <row r="389" spans="1:12" x14ac:dyDescent="0.25">
      <c r="A389" s="3">
        <v>45699.645937499998</v>
      </c>
      <c r="B389" t="s">
        <v>100</v>
      </c>
      <c r="C389" s="3">
        <v>45699.646168981482</v>
      </c>
      <c r="D389" t="s">
        <v>100</v>
      </c>
      <c r="E389" s="4">
        <v>1.5238296985626221E-2</v>
      </c>
      <c r="F389" s="4">
        <v>347793.18444484571</v>
      </c>
      <c r="G389" s="4">
        <v>347793.19968314271</v>
      </c>
      <c r="H389" s="5">
        <f t="shared" si="3"/>
        <v>0</v>
      </c>
      <c r="I389" t="s">
        <v>148</v>
      </c>
      <c r="J389" t="s">
        <v>157</v>
      </c>
      <c r="K389" s="5">
        <f>20 / 86400</f>
        <v>2.3148148148148149E-4</v>
      </c>
      <c r="L389" s="5">
        <f>10 / 86400</f>
        <v>1.1574074074074075E-4</v>
      </c>
    </row>
    <row r="390" spans="1:12" x14ac:dyDescent="0.25">
      <c r="A390" s="3">
        <v>45699.646284722221</v>
      </c>
      <c r="B390" t="s">
        <v>100</v>
      </c>
      <c r="C390" s="3">
        <v>45699.646516203706</v>
      </c>
      <c r="D390" t="s">
        <v>100</v>
      </c>
      <c r="E390" s="4">
        <v>2.3915623545646667E-2</v>
      </c>
      <c r="F390" s="4">
        <v>347793.2043180808</v>
      </c>
      <c r="G390" s="4">
        <v>347793.22823370434</v>
      </c>
      <c r="H390" s="5">
        <f t="shared" si="3"/>
        <v>0</v>
      </c>
      <c r="I390" t="s">
        <v>128</v>
      </c>
      <c r="J390" t="s">
        <v>232</v>
      </c>
      <c r="K390" s="5">
        <f>20 / 86400</f>
        <v>2.3148148148148149E-4</v>
      </c>
      <c r="L390" s="5">
        <f>40 / 86400</f>
        <v>4.6296296296296298E-4</v>
      </c>
    </row>
    <row r="391" spans="1:12" x14ac:dyDescent="0.25">
      <c r="A391" s="3">
        <v>45699.646979166668</v>
      </c>
      <c r="B391" t="s">
        <v>100</v>
      </c>
      <c r="C391" s="3">
        <v>45699.647905092592</v>
      </c>
      <c r="D391" t="s">
        <v>87</v>
      </c>
      <c r="E391" s="4">
        <v>0.3872606403231621</v>
      </c>
      <c r="F391" s="4">
        <v>347793.24106102478</v>
      </c>
      <c r="G391" s="4">
        <v>347793.62832166511</v>
      </c>
      <c r="H391" s="5">
        <f t="shared" si="3"/>
        <v>0</v>
      </c>
      <c r="I391" t="s">
        <v>178</v>
      </c>
      <c r="J391" t="s">
        <v>42</v>
      </c>
      <c r="K391" s="5">
        <f>80 / 86400</f>
        <v>9.2592592592592596E-4</v>
      </c>
      <c r="L391" s="5">
        <f>20 / 86400</f>
        <v>2.3148148148148149E-4</v>
      </c>
    </row>
    <row r="392" spans="1:12" x14ac:dyDescent="0.25">
      <c r="A392" s="3">
        <v>45699.648136574076</v>
      </c>
      <c r="B392" t="s">
        <v>87</v>
      </c>
      <c r="C392" s="3">
        <v>45699.648831018523</v>
      </c>
      <c r="D392" t="s">
        <v>87</v>
      </c>
      <c r="E392" s="4">
        <v>0.22535437870025635</v>
      </c>
      <c r="F392" s="4">
        <v>347793.70460329927</v>
      </c>
      <c r="G392" s="4">
        <v>347793.92995767796</v>
      </c>
      <c r="H392" s="5">
        <f t="shared" si="3"/>
        <v>0</v>
      </c>
      <c r="I392" t="s">
        <v>124</v>
      </c>
      <c r="J392" t="s">
        <v>31</v>
      </c>
      <c r="K392" s="5">
        <f>60 / 86400</f>
        <v>6.9444444444444447E-4</v>
      </c>
      <c r="L392" s="5">
        <f>20 / 86400</f>
        <v>2.3148148148148149E-4</v>
      </c>
    </row>
    <row r="393" spans="1:12" x14ac:dyDescent="0.25">
      <c r="A393" s="3">
        <v>45699.649062500001</v>
      </c>
      <c r="B393" t="s">
        <v>87</v>
      </c>
      <c r="C393" s="3">
        <v>45699.649756944447</v>
      </c>
      <c r="D393" t="s">
        <v>87</v>
      </c>
      <c r="E393" s="4">
        <v>8.886262011528015E-2</v>
      </c>
      <c r="F393" s="4">
        <v>347793.95374586078</v>
      </c>
      <c r="G393" s="4">
        <v>347794.04260848084</v>
      </c>
      <c r="H393" s="5">
        <f t="shared" si="3"/>
        <v>0</v>
      </c>
      <c r="I393" t="s">
        <v>31</v>
      </c>
      <c r="J393" t="s">
        <v>148</v>
      </c>
      <c r="K393" s="5">
        <f>60 / 86400</f>
        <v>6.9444444444444447E-4</v>
      </c>
      <c r="L393" s="5">
        <f>20 / 86400</f>
        <v>2.3148148148148149E-4</v>
      </c>
    </row>
    <row r="394" spans="1:12" x14ac:dyDescent="0.25">
      <c r="A394" s="3">
        <v>45699.649988425925</v>
      </c>
      <c r="B394" t="s">
        <v>87</v>
      </c>
      <c r="C394" s="3">
        <v>45699.650659722218</v>
      </c>
      <c r="D394" t="s">
        <v>87</v>
      </c>
      <c r="E394" s="4">
        <v>0.36260904020071028</v>
      </c>
      <c r="F394" s="4">
        <v>347794.07980268949</v>
      </c>
      <c r="G394" s="4">
        <v>347794.44241172972</v>
      </c>
      <c r="H394" s="5">
        <f t="shared" si="3"/>
        <v>0</v>
      </c>
      <c r="I394" t="s">
        <v>111</v>
      </c>
      <c r="J394" t="s">
        <v>160</v>
      </c>
      <c r="K394" s="5">
        <f>58 / 86400</f>
        <v>6.7129629629629625E-4</v>
      </c>
      <c r="L394" s="5">
        <f>20 / 86400</f>
        <v>2.3148148148148149E-4</v>
      </c>
    </row>
    <row r="395" spans="1:12" x14ac:dyDescent="0.25">
      <c r="A395" s="3">
        <v>45699.650891203702</v>
      </c>
      <c r="B395" t="s">
        <v>87</v>
      </c>
      <c r="C395" s="3">
        <v>45699.651817129634</v>
      </c>
      <c r="D395" t="s">
        <v>87</v>
      </c>
      <c r="E395" s="4">
        <v>0.25805121195316316</v>
      </c>
      <c r="F395" s="4">
        <v>347794.47155333409</v>
      </c>
      <c r="G395" s="4">
        <v>347794.7296045461</v>
      </c>
      <c r="H395" s="5">
        <f t="shared" si="3"/>
        <v>0</v>
      </c>
      <c r="I395" t="s">
        <v>31</v>
      </c>
      <c r="J395" t="s">
        <v>131</v>
      </c>
      <c r="K395" s="5">
        <f>80 / 86400</f>
        <v>9.2592592592592596E-4</v>
      </c>
      <c r="L395" s="5">
        <f>40 / 86400</f>
        <v>4.6296296296296298E-4</v>
      </c>
    </row>
    <row r="396" spans="1:12" x14ac:dyDescent="0.25">
      <c r="A396" s="3">
        <v>45699.652280092589</v>
      </c>
      <c r="B396" t="s">
        <v>87</v>
      </c>
      <c r="C396" s="3">
        <v>45699.652974537035</v>
      </c>
      <c r="D396" t="s">
        <v>87</v>
      </c>
      <c r="E396" s="4">
        <v>0.28585311412811282</v>
      </c>
      <c r="F396" s="4">
        <v>347794.82091898547</v>
      </c>
      <c r="G396" s="4">
        <v>347795.10677209962</v>
      </c>
      <c r="H396" s="5">
        <f t="shared" si="3"/>
        <v>0</v>
      </c>
      <c r="I396" t="s">
        <v>202</v>
      </c>
      <c r="J396" t="s">
        <v>42</v>
      </c>
      <c r="K396" s="5">
        <f>60 / 86400</f>
        <v>6.9444444444444447E-4</v>
      </c>
      <c r="L396" s="5">
        <f>40 / 86400</f>
        <v>4.6296296296296298E-4</v>
      </c>
    </row>
    <row r="397" spans="1:12" x14ac:dyDescent="0.25">
      <c r="A397" s="3">
        <v>45699.653437500005</v>
      </c>
      <c r="B397" t="s">
        <v>87</v>
      </c>
      <c r="C397" s="3">
        <v>45699.655775462961</v>
      </c>
      <c r="D397" t="s">
        <v>116</v>
      </c>
      <c r="E397" s="4">
        <v>0.91348417025804518</v>
      </c>
      <c r="F397" s="4">
        <v>347795.11238848674</v>
      </c>
      <c r="G397" s="4">
        <v>347796.02587265702</v>
      </c>
      <c r="H397" s="5">
        <f t="shared" si="3"/>
        <v>0</v>
      </c>
      <c r="I397" t="s">
        <v>285</v>
      </c>
      <c r="J397" t="s">
        <v>37</v>
      </c>
      <c r="K397" s="5">
        <f>202 / 86400</f>
        <v>2.3379629629629631E-3</v>
      </c>
      <c r="L397" s="5">
        <f>6 / 86400</f>
        <v>6.9444444444444444E-5</v>
      </c>
    </row>
    <row r="398" spans="1:12" x14ac:dyDescent="0.25">
      <c r="A398" s="3">
        <v>45699.655844907407</v>
      </c>
      <c r="B398" t="s">
        <v>116</v>
      </c>
      <c r="C398" s="3">
        <v>45699.656770833331</v>
      </c>
      <c r="D398" t="s">
        <v>357</v>
      </c>
      <c r="E398" s="4">
        <v>0.30752904069423675</v>
      </c>
      <c r="F398" s="4">
        <v>347796.02794079133</v>
      </c>
      <c r="G398" s="4">
        <v>347796.335469832</v>
      </c>
      <c r="H398" s="5">
        <f t="shared" si="3"/>
        <v>0</v>
      </c>
      <c r="I398" t="s">
        <v>141</v>
      </c>
      <c r="J398" t="s">
        <v>31</v>
      </c>
      <c r="K398" s="5">
        <f>80 / 86400</f>
        <v>9.2592592592592596E-4</v>
      </c>
      <c r="L398" s="5">
        <f>15 / 86400</f>
        <v>1.7361111111111112E-4</v>
      </c>
    </row>
    <row r="399" spans="1:12" x14ac:dyDescent="0.25">
      <c r="A399" s="3">
        <v>45699.656944444447</v>
      </c>
      <c r="B399" t="s">
        <v>357</v>
      </c>
      <c r="C399" s="3">
        <v>45699.658391203702</v>
      </c>
      <c r="D399" t="s">
        <v>116</v>
      </c>
      <c r="E399" s="4">
        <v>0.19535618263483048</v>
      </c>
      <c r="F399" s="4">
        <v>347796.35803613544</v>
      </c>
      <c r="G399" s="4">
        <v>347796.55339231808</v>
      </c>
      <c r="H399" s="5">
        <f t="shared" si="3"/>
        <v>0</v>
      </c>
      <c r="I399" t="s">
        <v>31</v>
      </c>
      <c r="J399" t="s">
        <v>128</v>
      </c>
      <c r="K399" s="5">
        <f>125 / 86400</f>
        <v>1.4467592592592592E-3</v>
      </c>
      <c r="L399" s="5">
        <f>20 / 86400</f>
        <v>2.3148148148148149E-4</v>
      </c>
    </row>
    <row r="400" spans="1:12" x14ac:dyDescent="0.25">
      <c r="A400" s="3">
        <v>45699.658622685187</v>
      </c>
      <c r="B400" t="s">
        <v>116</v>
      </c>
      <c r="C400" s="3">
        <v>45699.661631944444</v>
      </c>
      <c r="D400" t="s">
        <v>298</v>
      </c>
      <c r="E400" s="4">
        <v>1.7499264258146285</v>
      </c>
      <c r="F400" s="4">
        <v>347796.56410078442</v>
      </c>
      <c r="G400" s="4">
        <v>347798.31402721023</v>
      </c>
      <c r="H400" s="5">
        <f t="shared" si="3"/>
        <v>0</v>
      </c>
      <c r="I400" t="s">
        <v>180</v>
      </c>
      <c r="J400" t="s">
        <v>130</v>
      </c>
      <c r="K400" s="5">
        <f>260 / 86400</f>
        <v>3.0092592592592593E-3</v>
      </c>
      <c r="L400" s="5">
        <f>29 / 86400</f>
        <v>3.3564814814814812E-4</v>
      </c>
    </row>
    <row r="401" spans="1:12" x14ac:dyDescent="0.25">
      <c r="A401" s="3">
        <v>45699.66196759259</v>
      </c>
      <c r="B401" t="s">
        <v>298</v>
      </c>
      <c r="C401" s="3">
        <v>45699.662893518514</v>
      </c>
      <c r="D401" t="s">
        <v>179</v>
      </c>
      <c r="E401" s="4">
        <v>0.6023882616758347</v>
      </c>
      <c r="F401" s="4">
        <v>347798.32472121384</v>
      </c>
      <c r="G401" s="4">
        <v>347798.92710947548</v>
      </c>
      <c r="H401" s="5">
        <f t="shared" si="3"/>
        <v>0</v>
      </c>
      <c r="I401" t="s">
        <v>162</v>
      </c>
      <c r="J401" t="s">
        <v>143</v>
      </c>
      <c r="K401" s="5">
        <f>80 / 86400</f>
        <v>9.2592592592592596E-4</v>
      </c>
      <c r="L401" s="5">
        <f>6 / 86400</f>
        <v>6.9444444444444444E-5</v>
      </c>
    </row>
    <row r="402" spans="1:12" x14ac:dyDescent="0.25">
      <c r="A402" s="3">
        <v>45699.662962962961</v>
      </c>
      <c r="B402" t="s">
        <v>179</v>
      </c>
      <c r="C402" s="3">
        <v>45699.664351851854</v>
      </c>
      <c r="D402" t="s">
        <v>116</v>
      </c>
      <c r="E402" s="4">
        <v>1.2050464559793472</v>
      </c>
      <c r="F402" s="4">
        <v>347798.93908327079</v>
      </c>
      <c r="G402" s="4">
        <v>347800.14412972674</v>
      </c>
      <c r="H402" s="5">
        <f t="shared" si="3"/>
        <v>0</v>
      </c>
      <c r="I402" t="s">
        <v>110</v>
      </c>
      <c r="J402" t="s">
        <v>198</v>
      </c>
      <c r="K402" s="5">
        <f>120 / 86400</f>
        <v>1.3888888888888889E-3</v>
      </c>
      <c r="L402" s="5">
        <f>40 / 86400</f>
        <v>4.6296296296296298E-4</v>
      </c>
    </row>
    <row r="403" spans="1:12" x14ac:dyDescent="0.25">
      <c r="A403" s="3">
        <v>45699.664814814816</v>
      </c>
      <c r="B403" t="s">
        <v>116</v>
      </c>
      <c r="C403" s="3">
        <v>45699.665046296301</v>
      </c>
      <c r="D403" t="s">
        <v>358</v>
      </c>
      <c r="E403" s="4">
        <v>3.4690268099308016E-2</v>
      </c>
      <c r="F403" s="4">
        <v>347800.18350760458</v>
      </c>
      <c r="G403" s="4">
        <v>347800.21819787269</v>
      </c>
      <c r="H403" s="5">
        <f t="shared" si="3"/>
        <v>0</v>
      </c>
      <c r="I403" t="s">
        <v>131</v>
      </c>
      <c r="J403" t="s">
        <v>128</v>
      </c>
      <c r="K403" s="5">
        <f>20 / 86400</f>
        <v>2.3148148148148149E-4</v>
      </c>
      <c r="L403" s="5">
        <f>20 / 86400</f>
        <v>2.3148148148148149E-4</v>
      </c>
    </row>
    <row r="404" spans="1:12" x14ac:dyDescent="0.25">
      <c r="A404" s="3">
        <v>45699.665277777778</v>
      </c>
      <c r="B404" t="s">
        <v>359</v>
      </c>
      <c r="C404" s="3">
        <v>45699.666203703702</v>
      </c>
      <c r="D404" t="s">
        <v>101</v>
      </c>
      <c r="E404" s="4">
        <v>0.78748357826471327</v>
      </c>
      <c r="F404" s="4">
        <v>347800.28695624659</v>
      </c>
      <c r="G404" s="4">
        <v>347801.07443982491</v>
      </c>
      <c r="H404" s="5">
        <f t="shared" si="3"/>
        <v>0</v>
      </c>
      <c r="I404" t="s">
        <v>156</v>
      </c>
      <c r="J404" t="s">
        <v>240</v>
      </c>
      <c r="K404" s="5">
        <f>80 / 86400</f>
        <v>9.2592592592592596E-4</v>
      </c>
      <c r="L404" s="5">
        <f>40 / 86400</f>
        <v>4.6296296296296298E-4</v>
      </c>
    </row>
    <row r="405" spans="1:12" x14ac:dyDescent="0.25">
      <c r="A405" s="3">
        <v>45699.666666666672</v>
      </c>
      <c r="B405" t="s">
        <v>101</v>
      </c>
      <c r="C405" s="3">
        <v>45699.666898148149</v>
      </c>
      <c r="D405" t="s">
        <v>359</v>
      </c>
      <c r="E405" s="4">
        <v>2.2601142287254333E-2</v>
      </c>
      <c r="F405" s="4">
        <v>347801.09088748606</v>
      </c>
      <c r="G405" s="4">
        <v>347801.11348862835</v>
      </c>
      <c r="H405" s="5">
        <f t="shared" si="3"/>
        <v>0</v>
      </c>
      <c r="I405" t="s">
        <v>127</v>
      </c>
      <c r="J405" t="s">
        <v>232</v>
      </c>
      <c r="K405" s="5">
        <f>20 / 86400</f>
        <v>2.3148148148148149E-4</v>
      </c>
      <c r="L405" s="5">
        <f>20 / 86400</f>
        <v>2.3148148148148149E-4</v>
      </c>
    </row>
    <row r="406" spans="1:12" x14ac:dyDescent="0.25">
      <c r="A406" s="3">
        <v>45699.667129629626</v>
      </c>
      <c r="B406" t="s">
        <v>360</v>
      </c>
      <c r="C406" s="3">
        <v>45699.667361111111</v>
      </c>
      <c r="D406" t="s">
        <v>360</v>
      </c>
      <c r="E406" s="4">
        <v>1.2304234027862548E-2</v>
      </c>
      <c r="F406" s="4">
        <v>347801.13199009071</v>
      </c>
      <c r="G406" s="4">
        <v>347801.14429432474</v>
      </c>
      <c r="H406" s="5">
        <f t="shared" si="3"/>
        <v>0</v>
      </c>
      <c r="I406" t="s">
        <v>112</v>
      </c>
      <c r="J406" t="s">
        <v>57</v>
      </c>
      <c r="K406" s="5">
        <f>20 / 86400</f>
        <v>2.3148148148148149E-4</v>
      </c>
      <c r="L406" s="5">
        <f>28 / 86400</f>
        <v>3.2407407407407406E-4</v>
      </c>
    </row>
    <row r="407" spans="1:12" x14ac:dyDescent="0.25">
      <c r="A407" s="3">
        <v>45699.667685185181</v>
      </c>
      <c r="B407" t="s">
        <v>361</v>
      </c>
      <c r="C407" s="3">
        <v>45699.673692129625</v>
      </c>
      <c r="D407" t="s">
        <v>172</v>
      </c>
      <c r="E407" s="4">
        <v>3.3589632941484453</v>
      </c>
      <c r="F407" s="4">
        <v>347801.14853544661</v>
      </c>
      <c r="G407" s="4">
        <v>347804.50749874074</v>
      </c>
      <c r="H407" s="5">
        <f t="shared" si="3"/>
        <v>0</v>
      </c>
      <c r="I407" t="s">
        <v>110</v>
      </c>
      <c r="J407" t="s">
        <v>160</v>
      </c>
      <c r="K407" s="5">
        <f>519 / 86400</f>
        <v>6.0069444444444441E-3</v>
      </c>
      <c r="L407" s="5">
        <f t="shared" ref="L407:L414" si="4">20 / 86400</f>
        <v>2.3148148148148149E-4</v>
      </c>
    </row>
    <row r="408" spans="1:12" x14ac:dyDescent="0.25">
      <c r="A408" s="3">
        <v>45699.67392361111</v>
      </c>
      <c r="B408" t="s">
        <v>362</v>
      </c>
      <c r="C408" s="3">
        <v>45699.674780092595</v>
      </c>
      <c r="D408" t="s">
        <v>35</v>
      </c>
      <c r="E408" s="4">
        <v>0.60731164604425425</v>
      </c>
      <c r="F408" s="4">
        <v>347804.52579957986</v>
      </c>
      <c r="G408" s="4">
        <v>347805.13311122591</v>
      </c>
      <c r="H408" s="5">
        <f t="shared" si="3"/>
        <v>0</v>
      </c>
      <c r="I408" t="s">
        <v>215</v>
      </c>
      <c r="J408" t="s">
        <v>202</v>
      </c>
      <c r="K408" s="5">
        <f>74 / 86400</f>
        <v>8.564814814814815E-4</v>
      </c>
      <c r="L408" s="5">
        <f t="shared" si="4"/>
        <v>2.3148148148148149E-4</v>
      </c>
    </row>
    <row r="409" spans="1:12" x14ac:dyDescent="0.25">
      <c r="A409" s="3">
        <v>45699.675011574072</v>
      </c>
      <c r="B409" t="s">
        <v>265</v>
      </c>
      <c r="C409" s="3">
        <v>45699.676863425921</v>
      </c>
      <c r="D409" t="s">
        <v>265</v>
      </c>
      <c r="E409" s="4">
        <v>1.7105542102456093</v>
      </c>
      <c r="F409" s="4">
        <v>347805.22800910292</v>
      </c>
      <c r="G409" s="4">
        <v>347806.93856331316</v>
      </c>
      <c r="H409" s="5">
        <f t="shared" si="3"/>
        <v>0</v>
      </c>
      <c r="I409" t="s">
        <v>262</v>
      </c>
      <c r="J409" t="s">
        <v>154</v>
      </c>
      <c r="K409" s="5">
        <f>160 / 86400</f>
        <v>1.8518518518518519E-3</v>
      </c>
      <c r="L409" s="5">
        <f t="shared" si="4"/>
        <v>2.3148148148148149E-4</v>
      </c>
    </row>
    <row r="410" spans="1:12" x14ac:dyDescent="0.25">
      <c r="A410" s="3">
        <v>45699.677094907413</v>
      </c>
      <c r="B410" t="s">
        <v>265</v>
      </c>
      <c r="C410" s="3">
        <v>45699.678715277776</v>
      </c>
      <c r="D410" t="s">
        <v>265</v>
      </c>
      <c r="E410" s="4">
        <v>1.4513240346312524</v>
      </c>
      <c r="F410" s="4">
        <v>347806.94904912828</v>
      </c>
      <c r="G410" s="4">
        <v>347808.40037316293</v>
      </c>
      <c r="H410" s="5">
        <f t="shared" si="3"/>
        <v>0</v>
      </c>
      <c r="I410" t="s">
        <v>197</v>
      </c>
      <c r="J410" t="s">
        <v>147</v>
      </c>
      <c r="K410" s="5">
        <f>140 / 86400</f>
        <v>1.6203703703703703E-3</v>
      </c>
      <c r="L410" s="5">
        <f t="shared" si="4"/>
        <v>2.3148148148148149E-4</v>
      </c>
    </row>
    <row r="411" spans="1:12" x14ac:dyDescent="0.25">
      <c r="A411" s="3">
        <v>45699.678946759261</v>
      </c>
      <c r="B411" t="s">
        <v>266</v>
      </c>
      <c r="C411" s="3">
        <v>45699.679872685185</v>
      </c>
      <c r="D411" t="s">
        <v>267</v>
      </c>
      <c r="E411" s="4">
        <v>0.53930710756778721</v>
      </c>
      <c r="F411" s="4">
        <v>347808.55588615878</v>
      </c>
      <c r="G411" s="4">
        <v>347809.09519326634</v>
      </c>
      <c r="H411" s="5">
        <f t="shared" si="3"/>
        <v>0</v>
      </c>
      <c r="I411" t="s">
        <v>223</v>
      </c>
      <c r="J411" t="s">
        <v>130</v>
      </c>
      <c r="K411" s="5">
        <f>80 / 86400</f>
        <v>9.2592592592592596E-4</v>
      </c>
      <c r="L411" s="5">
        <f t="shared" si="4"/>
        <v>2.3148148148148149E-4</v>
      </c>
    </row>
    <row r="412" spans="1:12" x14ac:dyDescent="0.25">
      <c r="A412" s="3">
        <v>45699.680104166662</v>
      </c>
      <c r="B412" t="s">
        <v>363</v>
      </c>
      <c r="C412" s="3">
        <v>45699.682187500002</v>
      </c>
      <c r="D412" t="s">
        <v>364</v>
      </c>
      <c r="E412" s="4">
        <v>0.90126061999797824</v>
      </c>
      <c r="F412" s="4">
        <v>347809.17613915598</v>
      </c>
      <c r="G412" s="4">
        <v>347810.07739977597</v>
      </c>
      <c r="H412" s="5">
        <f t="shared" si="3"/>
        <v>0</v>
      </c>
      <c r="I412" t="s">
        <v>184</v>
      </c>
      <c r="J412" t="s">
        <v>26</v>
      </c>
      <c r="K412" s="5">
        <f>180 / 86400</f>
        <v>2.0833333333333333E-3</v>
      </c>
      <c r="L412" s="5">
        <f t="shared" si="4"/>
        <v>2.3148148148148149E-4</v>
      </c>
    </row>
    <row r="413" spans="1:12" x14ac:dyDescent="0.25">
      <c r="A413" s="3">
        <v>45699.68241898148</v>
      </c>
      <c r="B413" t="s">
        <v>293</v>
      </c>
      <c r="C413" s="3">
        <v>45699.684039351851</v>
      </c>
      <c r="D413" t="s">
        <v>293</v>
      </c>
      <c r="E413" s="4">
        <v>0.86372806584835049</v>
      </c>
      <c r="F413" s="4">
        <v>347810.20640150981</v>
      </c>
      <c r="G413" s="4">
        <v>347811.07012957567</v>
      </c>
      <c r="H413" s="5">
        <f t="shared" si="3"/>
        <v>0</v>
      </c>
      <c r="I413" t="s">
        <v>171</v>
      </c>
      <c r="J413" t="s">
        <v>34</v>
      </c>
      <c r="K413" s="5">
        <f>140 / 86400</f>
        <v>1.6203703703703703E-3</v>
      </c>
      <c r="L413" s="5">
        <f t="shared" si="4"/>
        <v>2.3148148148148149E-4</v>
      </c>
    </row>
    <row r="414" spans="1:12" x14ac:dyDescent="0.25">
      <c r="A414" s="3">
        <v>45699.684270833328</v>
      </c>
      <c r="B414" t="s">
        <v>293</v>
      </c>
      <c r="C414" s="3">
        <v>45699.686122685191</v>
      </c>
      <c r="D414" t="s">
        <v>293</v>
      </c>
      <c r="E414" s="4">
        <v>1.5272596481442451</v>
      </c>
      <c r="F414" s="4">
        <v>347811.07675733283</v>
      </c>
      <c r="G414" s="4">
        <v>347812.60401698103</v>
      </c>
      <c r="H414" s="5">
        <f t="shared" si="3"/>
        <v>0</v>
      </c>
      <c r="I414" t="s">
        <v>295</v>
      </c>
      <c r="J414" t="s">
        <v>166</v>
      </c>
      <c r="K414" s="5">
        <f>160 / 86400</f>
        <v>1.8518518518518519E-3</v>
      </c>
      <c r="L414" s="5">
        <f t="shared" si="4"/>
        <v>2.3148148148148149E-4</v>
      </c>
    </row>
    <row r="415" spans="1:12" x14ac:dyDescent="0.25">
      <c r="A415" s="3">
        <v>45699.686354166668</v>
      </c>
      <c r="B415" t="s">
        <v>293</v>
      </c>
      <c r="C415" s="3">
        <v>45699.686585648145</v>
      </c>
      <c r="D415" t="s">
        <v>293</v>
      </c>
      <c r="E415" s="4">
        <v>7.9357457697391512E-2</v>
      </c>
      <c r="F415" s="4">
        <v>347812.69063980872</v>
      </c>
      <c r="G415" s="4">
        <v>347812.76999726641</v>
      </c>
      <c r="H415" s="5">
        <f t="shared" si="3"/>
        <v>0</v>
      </c>
      <c r="I415" t="s">
        <v>124</v>
      </c>
      <c r="J415" t="s">
        <v>31</v>
      </c>
      <c r="K415" s="5">
        <f>20 / 86400</f>
        <v>2.3148148148148149E-4</v>
      </c>
      <c r="L415" s="5">
        <f>15 / 86400</f>
        <v>1.7361111111111112E-4</v>
      </c>
    </row>
    <row r="416" spans="1:12" x14ac:dyDescent="0.25">
      <c r="A416" s="3">
        <v>45699.686759259261</v>
      </c>
      <c r="B416" t="s">
        <v>293</v>
      </c>
      <c r="C416" s="3">
        <v>45699.689074074078</v>
      </c>
      <c r="D416" t="s">
        <v>271</v>
      </c>
      <c r="E416" s="4">
        <v>2.3693172837495804</v>
      </c>
      <c r="F416" s="4">
        <v>347812.81891098921</v>
      </c>
      <c r="G416" s="4">
        <v>347815.18822827295</v>
      </c>
      <c r="H416" s="5">
        <f t="shared" si="3"/>
        <v>0</v>
      </c>
      <c r="I416" t="s">
        <v>110</v>
      </c>
      <c r="J416" t="s">
        <v>186</v>
      </c>
      <c r="K416" s="5">
        <f>200 / 86400</f>
        <v>2.3148148148148147E-3</v>
      </c>
      <c r="L416" s="5">
        <f>40 / 86400</f>
        <v>4.6296296296296298E-4</v>
      </c>
    </row>
    <row r="417" spans="1:12" x14ac:dyDescent="0.25">
      <c r="A417" s="3">
        <v>45699.689537037033</v>
      </c>
      <c r="B417" t="s">
        <v>271</v>
      </c>
      <c r="C417" s="3">
        <v>45699.692881944444</v>
      </c>
      <c r="D417" t="s">
        <v>119</v>
      </c>
      <c r="E417" s="4">
        <v>2.4126038122177125</v>
      </c>
      <c r="F417" s="4">
        <v>347815.29737212544</v>
      </c>
      <c r="G417" s="4">
        <v>347817.70997593767</v>
      </c>
      <c r="H417" s="5">
        <f t="shared" ref="H417:H434" si="5">0 / 86400</f>
        <v>0</v>
      </c>
      <c r="I417" t="s">
        <v>183</v>
      </c>
      <c r="J417" t="s">
        <v>202</v>
      </c>
      <c r="K417" s="5">
        <f>289 / 86400</f>
        <v>3.3449074074074076E-3</v>
      </c>
      <c r="L417" s="5">
        <f>20 / 86400</f>
        <v>2.3148148148148149E-4</v>
      </c>
    </row>
    <row r="418" spans="1:12" x14ac:dyDescent="0.25">
      <c r="A418" s="3">
        <v>45699.693113425921</v>
      </c>
      <c r="B418" t="s">
        <v>119</v>
      </c>
      <c r="C418" s="3">
        <v>45699.693703703699</v>
      </c>
      <c r="D418" t="s">
        <v>291</v>
      </c>
      <c r="E418" s="4">
        <v>0.32438364326953889</v>
      </c>
      <c r="F418" s="4">
        <v>347817.71203198237</v>
      </c>
      <c r="G418" s="4">
        <v>347818.03641562565</v>
      </c>
      <c r="H418" s="5">
        <f t="shared" si="5"/>
        <v>0</v>
      </c>
      <c r="I418" t="s">
        <v>198</v>
      </c>
      <c r="J418" t="s">
        <v>160</v>
      </c>
      <c r="K418" s="5">
        <f>51 / 86400</f>
        <v>5.9027777777777778E-4</v>
      </c>
      <c r="L418" s="5">
        <f>20 / 86400</f>
        <v>2.3148148148148149E-4</v>
      </c>
    </row>
    <row r="419" spans="1:12" x14ac:dyDescent="0.25">
      <c r="A419" s="3">
        <v>45699.693935185191</v>
      </c>
      <c r="B419" t="s">
        <v>291</v>
      </c>
      <c r="C419" s="3">
        <v>45699.694398148145</v>
      </c>
      <c r="D419" t="s">
        <v>365</v>
      </c>
      <c r="E419" s="4">
        <v>0.25521409887075425</v>
      </c>
      <c r="F419" s="4">
        <v>347818.08418996126</v>
      </c>
      <c r="G419" s="4">
        <v>347818.3394040601</v>
      </c>
      <c r="H419" s="5">
        <f t="shared" si="5"/>
        <v>0</v>
      </c>
      <c r="I419" t="s">
        <v>137</v>
      </c>
      <c r="J419" t="s">
        <v>160</v>
      </c>
      <c r="K419" s="5">
        <f>40 / 86400</f>
        <v>4.6296296296296298E-4</v>
      </c>
      <c r="L419" s="5">
        <f>20 / 86400</f>
        <v>2.3148148148148149E-4</v>
      </c>
    </row>
    <row r="420" spans="1:12" x14ac:dyDescent="0.25">
      <c r="A420" s="3">
        <v>45699.69462962963</v>
      </c>
      <c r="B420" t="s">
        <v>366</v>
      </c>
      <c r="C420" s="3">
        <v>45699.702187499999</v>
      </c>
      <c r="D420" t="s">
        <v>288</v>
      </c>
      <c r="E420" s="4">
        <v>2.3009417226910589</v>
      </c>
      <c r="F420" s="4">
        <v>347818.40311261569</v>
      </c>
      <c r="G420" s="4">
        <v>347820.70405433839</v>
      </c>
      <c r="H420" s="5">
        <f t="shared" si="5"/>
        <v>0</v>
      </c>
      <c r="I420" t="s">
        <v>198</v>
      </c>
      <c r="J420" t="s">
        <v>56</v>
      </c>
      <c r="K420" s="5">
        <f>653 / 86400</f>
        <v>7.5578703703703702E-3</v>
      </c>
      <c r="L420" s="5">
        <f>16 / 86400</f>
        <v>1.8518518518518518E-4</v>
      </c>
    </row>
    <row r="421" spans="1:12" x14ac:dyDescent="0.25">
      <c r="A421" s="3">
        <v>45699.702372685184</v>
      </c>
      <c r="B421" t="s">
        <v>115</v>
      </c>
      <c r="C421" s="3">
        <v>45699.703703703708</v>
      </c>
      <c r="D421" t="s">
        <v>367</v>
      </c>
      <c r="E421" s="4">
        <v>0.26327776259183883</v>
      </c>
      <c r="F421" s="4">
        <v>347820.71970348759</v>
      </c>
      <c r="G421" s="4">
        <v>347820.98298125016</v>
      </c>
      <c r="H421" s="5">
        <f t="shared" si="5"/>
        <v>0</v>
      </c>
      <c r="I421" t="s">
        <v>19</v>
      </c>
      <c r="J421" t="s">
        <v>125</v>
      </c>
      <c r="K421" s="5">
        <f>115 / 86400</f>
        <v>1.3310185185185185E-3</v>
      </c>
      <c r="L421" s="5">
        <f>20 / 86400</f>
        <v>2.3148148148148149E-4</v>
      </c>
    </row>
    <row r="422" spans="1:12" x14ac:dyDescent="0.25">
      <c r="A422" s="3">
        <v>45699.703935185185</v>
      </c>
      <c r="B422" t="s">
        <v>272</v>
      </c>
      <c r="C422" s="3">
        <v>45699.704525462963</v>
      </c>
      <c r="D422" t="s">
        <v>146</v>
      </c>
      <c r="E422" s="4">
        <v>0.13873269784450531</v>
      </c>
      <c r="F422" s="4">
        <v>347821.01758744114</v>
      </c>
      <c r="G422" s="4">
        <v>347821.15632013901</v>
      </c>
      <c r="H422" s="5">
        <f t="shared" si="5"/>
        <v>0</v>
      </c>
      <c r="I422" t="s">
        <v>22</v>
      </c>
      <c r="J422" t="s">
        <v>112</v>
      </c>
      <c r="K422" s="5">
        <f>51 / 86400</f>
        <v>5.9027777777777778E-4</v>
      </c>
      <c r="L422" s="5">
        <f>20 / 86400</f>
        <v>2.3148148148148149E-4</v>
      </c>
    </row>
    <row r="423" spans="1:12" x14ac:dyDescent="0.25">
      <c r="A423" s="3">
        <v>45699.70475694444</v>
      </c>
      <c r="B423" t="s">
        <v>146</v>
      </c>
      <c r="C423" s="3">
        <v>45699.70521990741</v>
      </c>
      <c r="D423" t="s">
        <v>146</v>
      </c>
      <c r="E423" s="4">
        <v>7.0332984328269959E-3</v>
      </c>
      <c r="F423" s="4">
        <v>347821.16034627421</v>
      </c>
      <c r="G423" s="4">
        <v>347821.16737957264</v>
      </c>
      <c r="H423" s="5">
        <f t="shared" si="5"/>
        <v>0</v>
      </c>
      <c r="I423" t="s">
        <v>29</v>
      </c>
      <c r="J423" t="s">
        <v>29</v>
      </c>
      <c r="K423" s="5">
        <f>40 / 86400</f>
        <v>4.6296296296296298E-4</v>
      </c>
      <c r="L423" s="5">
        <f>60 / 86400</f>
        <v>6.9444444444444447E-4</v>
      </c>
    </row>
    <row r="424" spans="1:12" x14ac:dyDescent="0.25">
      <c r="A424" s="3">
        <v>45699.705914351856</v>
      </c>
      <c r="B424" t="s">
        <v>146</v>
      </c>
      <c r="C424" s="3">
        <v>45699.713807870372</v>
      </c>
      <c r="D424" t="s">
        <v>146</v>
      </c>
      <c r="E424" s="4">
        <v>2.353133749961853E-2</v>
      </c>
      <c r="F424" s="4">
        <v>347821.17373620835</v>
      </c>
      <c r="G424" s="4">
        <v>347821.19726754585</v>
      </c>
      <c r="H424" s="5">
        <f t="shared" si="5"/>
        <v>0</v>
      </c>
      <c r="I424" t="s">
        <v>148</v>
      </c>
      <c r="J424" t="s">
        <v>88</v>
      </c>
      <c r="K424" s="5">
        <f>682 / 86400</f>
        <v>7.8935185185185185E-3</v>
      </c>
      <c r="L424" s="5">
        <f>9 / 86400</f>
        <v>1.0416666666666667E-4</v>
      </c>
    </row>
    <row r="425" spans="1:12" x14ac:dyDescent="0.25">
      <c r="A425" s="3">
        <v>45699.713912037041</v>
      </c>
      <c r="B425" t="s">
        <v>146</v>
      </c>
      <c r="C425" s="3">
        <v>45699.716319444444</v>
      </c>
      <c r="D425" t="s">
        <v>119</v>
      </c>
      <c r="E425" s="4">
        <v>1.1905638928413391</v>
      </c>
      <c r="F425" s="4">
        <v>347821.20079887239</v>
      </c>
      <c r="G425" s="4">
        <v>347822.39136276528</v>
      </c>
      <c r="H425" s="5">
        <f t="shared" si="5"/>
        <v>0</v>
      </c>
      <c r="I425" t="s">
        <v>141</v>
      </c>
      <c r="J425" t="s">
        <v>108</v>
      </c>
      <c r="K425" s="5">
        <f>208 / 86400</f>
        <v>2.4074074074074076E-3</v>
      </c>
      <c r="L425" s="5">
        <f>20 / 86400</f>
        <v>2.3148148148148149E-4</v>
      </c>
    </row>
    <row r="426" spans="1:12" x14ac:dyDescent="0.25">
      <c r="A426" s="3">
        <v>45699.716550925921</v>
      </c>
      <c r="B426" t="s">
        <v>119</v>
      </c>
      <c r="C426" s="3">
        <v>45699.729363425926</v>
      </c>
      <c r="D426" t="s">
        <v>265</v>
      </c>
      <c r="E426" s="4">
        <v>13.116332460820676</v>
      </c>
      <c r="F426" s="4">
        <v>347822.40773151582</v>
      </c>
      <c r="G426" s="4">
        <v>347835.52406397666</v>
      </c>
      <c r="H426" s="5">
        <f t="shared" si="5"/>
        <v>0</v>
      </c>
      <c r="I426" t="s">
        <v>39</v>
      </c>
      <c r="J426" t="s">
        <v>186</v>
      </c>
      <c r="K426" s="5">
        <f>1107 / 86400</f>
        <v>1.2812499999999999E-2</v>
      </c>
      <c r="L426" s="5">
        <f>40 / 86400</f>
        <v>4.6296296296296298E-4</v>
      </c>
    </row>
    <row r="427" spans="1:12" x14ac:dyDescent="0.25">
      <c r="A427" s="3">
        <v>45699.729826388888</v>
      </c>
      <c r="B427" t="s">
        <v>265</v>
      </c>
      <c r="C427" s="3">
        <v>45699.73028935185</v>
      </c>
      <c r="D427" t="s">
        <v>172</v>
      </c>
      <c r="E427" s="4">
        <v>0.10479071635007858</v>
      </c>
      <c r="F427" s="4">
        <v>347835.54392810393</v>
      </c>
      <c r="G427" s="4">
        <v>347835.6487188203</v>
      </c>
      <c r="H427" s="5">
        <f t="shared" si="5"/>
        <v>0</v>
      </c>
      <c r="I427" t="s">
        <v>56</v>
      </c>
      <c r="J427" t="s">
        <v>127</v>
      </c>
      <c r="K427" s="5">
        <f>40 / 86400</f>
        <v>4.6296296296296298E-4</v>
      </c>
      <c r="L427" s="5">
        <f>63 / 86400</f>
        <v>7.291666666666667E-4</v>
      </c>
    </row>
    <row r="428" spans="1:12" x14ac:dyDescent="0.25">
      <c r="A428" s="3">
        <v>45699.73101851852</v>
      </c>
      <c r="B428" t="s">
        <v>172</v>
      </c>
      <c r="C428" s="3">
        <v>45699.734953703708</v>
      </c>
      <c r="D428" t="s">
        <v>101</v>
      </c>
      <c r="E428" s="4">
        <v>3.2689730000495909</v>
      </c>
      <c r="F428" s="4">
        <v>347835.65849067585</v>
      </c>
      <c r="G428" s="4">
        <v>347838.92746367591</v>
      </c>
      <c r="H428" s="5">
        <f t="shared" si="5"/>
        <v>0</v>
      </c>
      <c r="I428" t="s">
        <v>295</v>
      </c>
      <c r="J428" t="s">
        <v>240</v>
      </c>
      <c r="K428" s="5">
        <f>340 / 86400</f>
        <v>3.9351851851851848E-3</v>
      </c>
      <c r="L428" s="5">
        <f>20 / 86400</f>
        <v>2.3148148148148149E-4</v>
      </c>
    </row>
    <row r="429" spans="1:12" x14ac:dyDescent="0.25">
      <c r="A429" s="3">
        <v>45699.735185185185</v>
      </c>
      <c r="B429" t="s">
        <v>101</v>
      </c>
      <c r="C429" s="3">
        <v>45699.735648148147</v>
      </c>
      <c r="D429" t="s">
        <v>101</v>
      </c>
      <c r="E429" s="4">
        <v>5.8567674338817599E-2</v>
      </c>
      <c r="F429" s="4">
        <v>347838.92844966607</v>
      </c>
      <c r="G429" s="4">
        <v>347838.98701734043</v>
      </c>
      <c r="H429" s="5">
        <f t="shared" si="5"/>
        <v>0</v>
      </c>
      <c r="I429" t="s">
        <v>148</v>
      </c>
      <c r="J429" t="s">
        <v>148</v>
      </c>
      <c r="K429" s="5">
        <f>40 / 86400</f>
        <v>4.6296296296296298E-4</v>
      </c>
      <c r="L429" s="5">
        <f>60 / 86400</f>
        <v>6.9444444444444447E-4</v>
      </c>
    </row>
    <row r="430" spans="1:12" x14ac:dyDescent="0.25">
      <c r="A430" s="3">
        <v>45699.736342592594</v>
      </c>
      <c r="B430" t="s">
        <v>101</v>
      </c>
      <c r="C430" s="3">
        <v>45699.737268518518</v>
      </c>
      <c r="D430" t="s">
        <v>101</v>
      </c>
      <c r="E430" s="4">
        <v>0.95910488528013227</v>
      </c>
      <c r="F430" s="4">
        <v>347839.00009381166</v>
      </c>
      <c r="G430" s="4">
        <v>347839.95919869689</v>
      </c>
      <c r="H430" s="5">
        <f t="shared" si="5"/>
        <v>0</v>
      </c>
      <c r="I430" t="s">
        <v>215</v>
      </c>
      <c r="J430" t="s">
        <v>186</v>
      </c>
      <c r="K430" s="5">
        <f>80 / 86400</f>
        <v>9.2592592592592596E-4</v>
      </c>
      <c r="L430" s="5">
        <f>20 / 86400</f>
        <v>2.3148148148148149E-4</v>
      </c>
    </row>
    <row r="431" spans="1:12" x14ac:dyDescent="0.25">
      <c r="A431" s="3">
        <v>45699.737500000003</v>
      </c>
      <c r="B431" t="s">
        <v>101</v>
      </c>
      <c r="C431" s="3">
        <v>45699.737905092596</v>
      </c>
      <c r="D431" t="s">
        <v>368</v>
      </c>
      <c r="E431" s="4">
        <v>4.9664931476116184E-2</v>
      </c>
      <c r="F431" s="4">
        <v>347839.96356996283</v>
      </c>
      <c r="G431" s="4">
        <v>347840.01323489426</v>
      </c>
      <c r="H431" s="5">
        <f t="shared" si="5"/>
        <v>0</v>
      </c>
      <c r="I431" t="s">
        <v>131</v>
      </c>
      <c r="J431" t="s">
        <v>148</v>
      </c>
      <c r="K431" s="5">
        <f>35 / 86400</f>
        <v>4.0509259259259258E-4</v>
      </c>
      <c r="L431" s="5">
        <f>206 / 86400</f>
        <v>2.3842592592592591E-3</v>
      </c>
    </row>
    <row r="432" spans="1:12" x14ac:dyDescent="0.25">
      <c r="A432" s="3">
        <v>45699.740289351852</v>
      </c>
      <c r="B432" t="s">
        <v>368</v>
      </c>
      <c r="C432" s="3">
        <v>45699.740289351852</v>
      </c>
      <c r="D432" t="s">
        <v>368</v>
      </c>
      <c r="E432" s="4">
        <v>0</v>
      </c>
      <c r="F432" s="4">
        <v>347840.01740309515</v>
      </c>
      <c r="G432" s="4">
        <v>347840.01740309515</v>
      </c>
      <c r="H432" s="5">
        <f t="shared" si="5"/>
        <v>0</v>
      </c>
      <c r="I432" t="s">
        <v>29</v>
      </c>
      <c r="J432" t="s">
        <v>88</v>
      </c>
      <c r="K432" s="5">
        <f>0 / 86400</f>
        <v>0</v>
      </c>
      <c r="L432" s="5">
        <f>8 / 86400</f>
        <v>9.2592592592592588E-5</v>
      </c>
    </row>
    <row r="433" spans="1:12" x14ac:dyDescent="0.25">
      <c r="A433" s="3">
        <v>45699.740393518514</v>
      </c>
      <c r="B433" t="s">
        <v>368</v>
      </c>
      <c r="C433" s="3">
        <v>45699.743356481486</v>
      </c>
      <c r="D433" t="s">
        <v>30</v>
      </c>
      <c r="E433" s="4">
        <v>0.89180366742610928</v>
      </c>
      <c r="F433" s="4">
        <v>347840.02867915877</v>
      </c>
      <c r="G433" s="4">
        <v>347840.92048282619</v>
      </c>
      <c r="H433" s="5">
        <f t="shared" si="5"/>
        <v>0</v>
      </c>
      <c r="I433" t="s">
        <v>34</v>
      </c>
      <c r="J433" t="s">
        <v>56</v>
      </c>
      <c r="K433" s="5">
        <f>256 / 86400</f>
        <v>2.9629629629629628E-3</v>
      </c>
      <c r="L433" s="5">
        <f>20 / 86400</f>
        <v>2.3148148148148149E-4</v>
      </c>
    </row>
    <row r="434" spans="1:12" x14ac:dyDescent="0.25">
      <c r="A434" s="3">
        <v>45699.743587962963</v>
      </c>
      <c r="B434" t="s">
        <v>30</v>
      </c>
      <c r="C434" s="3">
        <v>45699.743923611109</v>
      </c>
      <c r="D434" t="s">
        <v>30</v>
      </c>
      <c r="E434" s="4">
        <v>1.652912026643753E-2</v>
      </c>
      <c r="F434" s="4">
        <v>347840.93445544003</v>
      </c>
      <c r="G434" s="4">
        <v>347840.9509845603</v>
      </c>
      <c r="H434" s="5">
        <f t="shared" si="5"/>
        <v>0</v>
      </c>
      <c r="I434" t="s">
        <v>57</v>
      </c>
      <c r="J434" t="s">
        <v>57</v>
      </c>
      <c r="K434" s="5">
        <f>29 / 86400</f>
        <v>3.3564814814814812E-4</v>
      </c>
      <c r="L434" s="5">
        <f>22124 / 86400</f>
        <v>0.2560648148148148</v>
      </c>
    </row>
    <row r="435" spans="1:12" x14ac:dyDescent="0.25">
      <c r="A435" s="11"/>
      <c r="B435" s="11"/>
      <c r="C435" s="11"/>
      <c r="D435" s="11"/>
      <c r="E435" s="11"/>
      <c r="F435" s="11"/>
      <c r="G435" s="11"/>
      <c r="H435" s="11"/>
      <c r="I435" s="11"/>
      <c r="J435" s="11"/>
    </row>
    <row r="436" spans="1:12" x14ac:dyDescent="0.25">
      <c r="A436" s="11"/>
      <c r="B436" s="11"/>
      <c r="C436" s="11"/>
      <c r="D436" s="11"/>
      <c r="E436" s="11"/>
      <c r="F436" s="11"/>
      <c r="G436" s="11"/>
      <c r="H436" s="11"/>
      <c r="I436" s="11"/>
      <c r="J436" s="11"/>
    </row>
    <row r="437" spans="1:12" s="10" customFormat="1" ht="20.100000000000001" customHeight="1" x14ac:dyDescent="0.35">
      <c r="A437" s="12" t="s">
        <v>457</v>
      </c>
      <c r="B437" s="12"/>
      <c r="C437" s="12"/>
      <c r="D437" s="12"/>
      <c r="E437" s="12"/>
      <c r="F437" s="12"/>
      <c r="G437" s="12"/>
      <c r="H437" s="12"/>
      <c r="I437" s="12"/>
      <c r="J437" s="12"/>
    </row>
    <row r="438" spans="1:12" x14ac:dyDescent="0.25">
      <c r="A438" s="11"/>
      <c r="B438" s="11"/>
      <c r="C438" s="11"/>
      <c r="D438" s="11"/>
      <c r="E438" s="11"/>
      <c r="F438" s="11"/>
      <c r="G438" s="11"/>
      <c r="H438" s="11"/>
      <c r="I438" s="11"/>
      <c r="J438" s="11"/>
    </row>
    <row r="439" spans="1:12" ht="30" x14ac:dyDescent="0.25">
      <c r="A439" s="2" t="s">
        <v>5</v>
      </c>
      <c r="B439" s="2" t="s">
        <v>6</v>
      </c>
      <c r="C439" s="2" t="s">
        <v>7</v>
      </c>
      <c r="D439" s="2" t="s">
        <v>8</v>
      </c>
      <c r="E439" s="2" t="s">
        <v>9</v>
      </c>
      <c r="F439" s="2" t="s">
        <v>10</v>
      </c>
      <c r="G439" s="2" t="s">
        <v>11</v>
      </c>
      <c r="H439" s="2" t="s">
        <v>12</v>
      </c>
      <c r="I439" s="2" t="s">
        <v>13</v>
      </c>
      <c r="J439" s="2" t="s">
        <v>14</v>
      </c>
      <c r="K439" s="2" t="s">
        <v>15</v>
      </c>
      <c r="L439" s="2" t="s">
        <v>16</v>
      </c>
    </row>
    <row r="440" spans="1:12" x14ac:dyDescent="0.25">
      <c r="A440" s="3">
        <v>45699.173287037032</v>
      </c>
      <c r="B440" t="s">
        <v>35</v>
      </c>
      <c r="C440" s="3">
        <v>45699.360868055555</v>
      </c>
      <c r="D440" t="s">
        <v>153</v>
      </c>
      <c r="E440" s="4">
        <v>82.805999999999997</v>
      </c>
      <c r="F440" s="4">
        <v>483847.47499999998</v>
      </c>
      <c r="G440" s="4">
        <v>483930.28100000002</v>
      </c>
      <c r="H440" s="5">
        <f>4779 / 86400</f>
        <v>5.5312500000000001E-2</v>
      </c>
      <c r="I440" t="s">
        <v>139</v>
      </c>
      <c r="J440" t="s">
        <v>26</v>
      </c>
      <c r="K440" s="5">
        <f>16206 / 86400</f>
        <v>0.18756944444444446</v>
      </c>
      <c r="L440" s="5">
        <f>15417 / 86400</f>
        <v>0.1784375</v>
      </c>
    </row>
    <row r="441" spans="1:12" x14ac:dyDescent="0.25">
      <c r="A441" s="3">
        <v>45699.366018518514</v>
      </c>
      <c r="B441" t="s">
        <v>153</v>
      </c>
      <c r="C441" s="3">
        <v>45699.366979166662</v>
      </c>
      <c r="D441" t="s">
        <v>280</v>
      </c>
      <c r="E441" s="4">
        <v>8.7999999999999995E-2</v>
      </c>
      <c r="F441" s="4">
        <v>483930.28100000002</v>
      </c>
      <c r="G441" s="4">
        <v>483930.36900000001</v>
      </c>
      <c r="H441" s="5">
        <f>19 / 86400</f>
        <v>2.199074074074074E-4</v>
      </c>
      <c r="I441" t="s">
        <v>127</v>
      </c>
      <c r="J441" t="s">
        <v>232</v>
      </c>
      <c r="K441" s="5">
        <f>82 / 86400</f>
        <v>9.4907407407407408E-4</v>
      </c>
      <c r="L441" s="5">
        <f>2281 / 86400</f>
        <v>2.6400462962962962E-2</v>
      </c>
    </row>
    <row r="442" spans="1:12" x14ac:dyDescent="0.25">
      <c r="A442" s="3">
        <v>45699.393379629633</v>
      </c>
      <c r="B442" t="s">
        <v>280</v>
      </c>
      <c r="C442" s="3">
        <v>45699.671666666662</v>
      </c>
      <c r="D442" t="s">
        <v>35</v>
      </c>
      <c r="E442" s="4">
        <v>94.301000000000002</v>
      </c>
      <c r="F442" s="4">
        <v>483930.36900000001</v>
      </c>
      <c r="G442" s="4">
        <v>484024.67</v>
      </c>
      <c r="H442" s="5">
        <f>8679 / 86400</f>
        <v>0.1004513888888889</v>
      </c>
      <c r="I442" t="s">
        <v>36</v>
      </c>
      <c r="J442" t="s">
        <v>31</v>
      </c>
      <c r="K442" s="5">
        <f>24044 / 86400</f>
        <v>0.27828703703703705</v>
      </c>
      <c r="L442" s="5">
        <f>28367 / 86400</f>
        <v>0.32832175925925927</v>
      </c>
    </row>
    <row r="443" spans="1:12" x14ac:dyDescent="0.25">
      <c r="A443" s="11"/>
      <c r="B443" s="11"/>
      <c r="C443" s="11"/>
      <c r="D443" s="11"/>
      <c r="E443" s="11"/>
      <c r="F443" s="11"/>
      <c r="G443" s="11"/>
      <c r="H443" s="11"/>
      <c r="I443" s="11"/>
      <c r="J443" s="11"/>
    </row>
    <row r="444" spans="1:12" x14ac:dyDescent="0.25">
      <c r="A444" s="11"/>
      <c r="B444" s="11"/>
      <c r="C444" s="11"/>
      <c r="D444" s="11"/>
      <c r="E444" s="11"/>
      <c r="F444" s="11"/>
      <c r="G444" s="11"/>
      <c r="H444" s="11"/>
      <c r="I444" s="11"/>
      <c r="J444" s="11"/>
    </row>
    <row r="445" spans="1:12" s="10" customFormat="1" ht="20.100000000000001" customHeight="1" x14ac:dyDescent="0.35">
      <c r="A445" s="12" t="s">
        <v>458</v>
      </c>
      <c r="B445" s="12"/>
      <c r="C445" s="12"/>
      <c r="D445" s="12"/>
      <c r="E445" s="12"/>
      <c r="F445" s="12"/>
      <c r="G445" s="12"/>
      <c r="H445" s="12"/>
      <c r="I445" s="12"/>
      <c r="J445" s="12"/>
    </row>
    <row r="446" spans="1:12" x14ac:dyDescent="0.25">
      <c r="A446" s="11"/>
      <c r="B446" s="11"/>
      <c r="C446" s="11"/>
      <c r="D446" s="11"/>
      <c r="E446" s="11"/>
      <c r="F446" s="11"/>
      <c r="G446" s="11"/>
      <c r="H446" s="11"/>
      <c r="I446" s="11"/>
      <c r="J446" s="11"/>
    </row>
    <row r="447" spans="1:12" ht="30" x14ac:dyDescent="0.25">
      <c r="A447" s="2" t="s">
        <v>5</v>
      </c>
      <c r="B447" s="2" t="s">
        <v>6</v>
      </c>
      <c r="C447" s="2" t="s">
        <v>7</v>
      </c>
      <c r="D447" s="2" t="s">
        <v>8</v>
      </c>
      <c r="E447" s="2" t="s">
        <v>9</v>
      </c>
      <c r="F447" s="2" t="s">
        <v>10</v>
      </c>
      <c r="G447" s="2" t="s">
        <v>11</v>
      </c>
      <c r="H447" s="2" t="s">
        <v>12</v>
      </c>
      <c r="I447" s="2" t="s">
        <v>13</v>
      </c>
      <c r="J447" s="2" t="s">
        <v>14</v>
      </c>
      <c r="K447" s="2" t="s">
        <v>15</v>
      </c>
      <c r="L447" s="2" t="s">
        <v>16</v>
      </c>
    </row>
    <row r="448" spans="1:12" x14ac:dyDescent="0.25">
      <c r="A448" s="3">
        <v>45699.29041666667</v>
      </c>
      <c r="B448" t="s">
        <v>38</v>
      </c>
      <c r="C448" s="3">
        <v>45699.309814814813</v>
      </c>
      <c r="D448" t="s">
        <v>278</v>
      </c>
      <c r="E448" s="4">
        <v>2.1970000000000001</v>
      </c>
      <c r="F448" s="4">
        <v>507706.61700000003</v>
      </c>
      <c r="G448" s="4">
        <v>507708.81400000001</v>
      </c>
      <c r="H448" s="5">
        <f>1159 / 86400</f>
        <v>1.3414351851851853E-2</v>
      </c>
      <c r="I448" t="s">
        <v>184</v>
      </c>
      <c r="J448" t="s">
        <v>148</v>
      </c>
      <c r="K448" s="5">
        <f>1675 / 86400</f>
        <v>1.9386574074074073E-2</v>
      </c>
      <c r="L448" s="5">
        <f>25479 / 86400</f>
        <v>0.29489583333333336</v>
      </c>
    </row>
    <row r="449" spans="1:12" x14ac:dyDescent="0.25">
      <c r="A449" s="3">
        <v>45699.314293981486</v>
      </c>
      <c r="B449" t="s">
        <v>278</v>
      </c>
      <c r="C449" s="3">
        <v>45699.55060185185</v>
      </c>
      <c r="D449" t="s">
        <v>153</v>
      </c>
      <c r="E449" s="4">
        <v>95.239000000000004</v>
      </c>
      <c r="F449" s="4">
        <v>507708.81400000001</v>
      </c>
      <c r="G449" s="4">
        <v>507804.05300000001</v>
      </c>
      <c r="H449" s="5">
        <f>6362 / 86400</f>
        <v>7.363425925925926E-2</v>
      </c>
      <c r="I449" t="s">
        <v>39</v>
      </c>
      <c r="J449" t="s">
        <v>42</v>
      </c>
      <c r="K449" s="5">
        <f>20417 / 86400</f>
        <v>0.23630787037037038</v>
      </c>
      <c r="L449" s="5">
        <f>1109 / 86400</f>
        <v>1.2835648148148148E-2</v>
      </c>
    </row>
    <row r="450" spans="1:12" x14ac:dyDescent="0.25">
      <c r="A450" s="3">
        <v>45699.563437500001</v>
      </c>
      <c r="B450" t="s">
        <v>153</v>
      </c>
      <c r="C450" s="3">
        <v>45699.564675925925</v>
      </c>
      <c r="D450" t="s">
        <v>155</v>
      </c>
      <c r="E450" s="4">
        <v>0.34499999999999997</v>
      </c>
      <c r="F450" s="4">
        <v>507804.05300000001</v>
      </c>
      <c r="G450" s="4">
        <v>507804.39799999999</v>
      </c>
      <c r="H450" s="5">
        <f>0 / 86400</f>
        <v>0</v>
      </c>
      <c r="I450" t="s">
        <v>108</v>
      </c>
      <c r="J450" t="s">
        <v>131</v>
      </c>
      <c r="K450" s="5">
        <f>106 / 86400</f>
        <v>1.2268518518518518E-3</v>
      </c>
      <c r="L450" s="5">
        <f>1043 / 86400</f>
        <v>1.207175925925926E-2</v>
      </c>
    </row>
    <row r="451" spans="1:12" x14ac:dyDescent="0.25">
      <c r="A451" s="3">
        <v>45699.576747685191</v>
      </c>
      <c r="B451" t="s">
        <v>155</v>
      </c>
      <c r="C451" s="3">
        <v>45699.58148148148</v>
      </c>
      <c r="D451" t="s">
        <v>278</v>
      </c>
      <c r="E451" s="4">
        <v>1.4059999999999999</v>
      </c>
      <c r="F451" s="4">
        <v>507804.39799999999</v>
      </c>
      <c r="G451" s="4">
        <v>507805.804</v>
      </c>
      <c r="H451" s="5">
        <f>60 / 86400</f>
        <v>6.9444444444444447E-4</v>
      </c>
      <c r="I451" t="s">
        <v>143</v>
      </c>
      <c r="J451" t="s">
        <v>131</v>
      </c>
      <c r="K451" s="5">
        <f>408 / 86400</f>
        <v>4.7222222222222223E-3</v>
      </c>
      <c r="L451" s="5">
        <f>148 / 86400</f>
        <v>1.712962962962963E-3</v>
      </c>
    </row>
    <row r="452" spans="1:12" x14ac:dyDescent="0.25">
      <c r="A452" s="3">
        <v>45699.583194444444</v>
      </c>
      <c r="B452" t="s">
        <v>278</v>
      </c>
      <c r="C452" s="3">
        <v>45699.705925925926</v>
      </c>
      <c r="D452" t="s">
        <v>369</v>
      </c>
      <c r="E452" s="4">
        <v>45.86</v>
      </c>
      <c r="F452" s="4">
        <v>507805.804</v>
      </c>
      <c r="G452" s="4">
        <v>507851.66399999999</v>
      </c>
      <c r="H452" s="5">
        <f>4211 / 86400</f>
        <v>4.8738425925925928E-2</v>
      </c>
      <c r="I452" t="s">
        <v>32</v>
      </c>
      <c r="J452" t="s">
        <v>37</v>
      </c>
      <c r="K452" s="5">
        <f>10603 / 86400</f>
        <v>0.1227199074074074</v>
      </c>
      <c r="L452" s="5">
        <f>144 / 86400</f>
        <v>1.6666666666666668E-3</v>
      </c>
    </row>
    <row r="453" spans="1:12" x14ac:dyDescent="0.25">
      <c r="A453" s="3">
        <v>45699.707592592589</v>
      </c>
      <c r="B453" t="s">
        <v>70</v>
      </c>
      <c r="C453" s="3">
        <v>45699.866018518514</v>
      </c>
      <c r="D453" t="s">
        <v>105</v>
      </c>
      <c r="E453" s="4">
        <v>46.348999999999997</v>
      </c>
      <c r="F453" s="4">
        <v>507851.66399999999</v>
      </c>
      <c r="G453" s="4">
        <v>507898.01299999998</v>
      </c>
      <c r="H453" s="5">
        <f>5699 / 86400</f>
        <v>6.5960648148148143E-2</v>
      </c>
      <c r="I453" t="s">
        <v>62</v>
      </c>
      <c r="J453" t="s">
        <v>131</v>
      </c>
      <c r="K453" s="5">
        <f>13688 / 86400</f>
        <v>0.15842592592592591</v>
      </c>
      <c r="L453" s="5">
        <f>480 / 86400</f>
        <v>5.5555555555555558E-3</v>
      </c>
    </row>
    <row r="454" spans="1:12" x14ac:dyDescent="0.25">
      <c r="A454" s="3">
        <v>45699.871574074074</v>
      </c>
      <c r="B454" t="s">
        <v>105</v>
      </c>
      <c r="C454" s="3">
        <v>45699.872488425928</v>
      </c>
      <c r="D454" t="s">
        <v>151</v>
      </c>
      <c r="E454" s="4">
        <v>0.186</v>
      </c>
      <c r="F454" s="4">
        <v>507898.01299999998</v>
      </c>
      <c r="G454" s="4">
        <v>507898.19900000002</v>
      </c>
      <c r="H454" s="5">
        <f>20 / 86400</f>
        <v>2.3148148148148149E-4</v>
      </c>
      <c r="I454" t="s">
        <v>42</v>
      </c>
      <c r="J454" t="s">
        <v>125</v>
      </c>
      <c r="K454" s="5">
        <f>79 / 86400</f>
        <v>9.1435185185185185E-4</v>
      </c>
      <c r="L454" s="5">
        <f>402 / 86400</f>
        <v>4.6527777777777774E-3</v>
      </c>
    </row>
    <row r="455" spans="1:12" x14ac:dyDescent="0.25">
      <c r="A455" s="3">
        <v>45699.877141203702</v>
      </c>
      <c r="B455" t="s">
        <v>151</v>
      </c>
      <c r="C455" s="3">
        <v>45699.888437500005</v>
      </c>
      <c r="D455" t="s">
        <v>38</v>
      </c>
      <c r="E455" s="4">
        <v>3.2919999999999998</v>
      </c>
      <c r="F455" s="4">
        <v>507898.19900000002</v>
      </c>
      <c r="G455" s="4">
        <v>507901.49099999998</v>
      </c>
      <c r="H455" s="5">
        <f>159 / 86400</f>
        <v>1.8402777777777777E-3</v>
      </c>
      <c r="I455" t="s">
        <v>203</v>
      </c>
      <c r="J455" t="s">
        <v>131</v>
      </c>
      <c r="K455" s="5">
        <f>976 / 86400</f>
        <v>1.1296296296296296E-2</v>
      </c>
      <c r="L455" s="5">
        <f>9638 / 86400</f>
        <v>0.11155092592592593</v>
      </c>
    </row>
    <row r="456" spans="1:12" x14ac:dyDescent="0.25">
      <c r="A456" s="11"/>
      <c r="B456" s="11"/>
      <c r="C456" s="11"/>
      <c r="D456" s="11"/>
      <c r="E456" s="11"/>
      <c r="F456" s="11"/>
      <c r="G456" s="11"/>
      <c r="H456" s="11"/>
      <c r="I456" s="11"/>
      <c r="J456" s="11"/>
    </row>
    <row r="457" spans="1:12" x14ac:dyDescent="0.25">
      <c r="A457" s="11"/>
      <c r="B457" s="11"/>
      <c r="C457" s="11"/>
      <c r="D457" s="11"/>
      <c r="E457" s="11"/>
      <c r="F457" s="11"/>
      <c r="G457" s="11"/>
      <c r="H457" s="11"/>
      <c r="I457" s="11"/>
      <c r="J457" s="11"/>
    </row>
    <row r="458" spans="1:12" s="10" customFormat="1" ht="20.100000000000001" customHeight="1" x14ac:dyDescent="0.35">
      <c r="A458" s="12" t="s">
        <v>459</v>
      </c>
      <c r="B458" s="12"/>
      <c r="C458" s="12"/>
      <c r="D458" s="12"/>
      <c r="E458" s="12"/>
      <c r="F458" s="12"/>
      <c r="G458" s="12"/>
      <c r="H458" s="12"/>
      <c r="I458" s="12"/>
      <c r="J458" s="12"/>
    </row>
    <row r="459" spans="1:12" x14ac:dyDescent="0.25">
      <c r="A459" s="11"/>
      <c r="B459" s="11"/>
      <c r="C459" s="11"/>
      <c r="D459" s="11"/>
      <c r="E459" s="11"/>
      <c r="F459" s="11"/>
      <c r="G459" s="11"/>
      <c r="H459" s="11"/>
      <c r="I459" s="11"/>
      <c r="J459" s="11"/>
    </row>
    <row r="460" spans="1:12" ht="30" x14ac:dyDescent="0.25">
      <c r="A460" s="2" t="s">
        <v>5</v>
      </c>
      <c r="B460" s="2" t="s">
        <v>6</v>
      </c>
      <c r="C460" s="2" t="s">
        <v>7</v>
      </c>
      <c r="D460" s="2" t="s">
        <v>8</v>
      </c>
      <c r="E460" s="2" t="s">
        <v>9</v>
      </c>
      <c r="F460" s="2" t="s">
        <v>10</v>
      </c>
      <c r="G460" s="2" t="s">
        <v>11</v>
      </c>
      <c r="H460" s="2" t="s">
        <v>12</v>
      </c>
      <c r="I460" s="2" t="s">
        <v>13</v>
      </c>
      <c r="J460" s="2" t="s">
        <v>14</v>
      </c>
      <c r="K460" s="2" t="s">
        <v>15</v>
      </c>
      <c r="L460" s="2" t="s">
        <v>16</v>
      </c>
    </row>
    <row r="461" spans="1:12" x14ac:dyDescent="0.25">
      <c r="A461" s="3">
        <v>45699.228425925925</v>
      </c>
      <c r="B461" t="s">
        <v>40</v>
      </c>
      <c r="C461" s="3">
        <v>45699.238356481481</v>
      </c>
      <c r="D461" t="s">
        <v>159</v>
      </c>
      <c r="E461" s="4">
        <v>1.6220000000000001</v>
      </c>
      <c r="F461" s="4">
        <v>407389.25799999997</v>
      </c>
      <c r="G461" s="4">
        <v>407390.88</v>
      </c>
      <c r="H461" s="5">
        <f>399 / 86400</f>
        <v>4.6180555555555558E-3</v>
      </c>
      <c r="I461" t="s">
        <v>152</v>
      </c>
      <c r="J461" t="s">
        <v>28</v>
      </c>
      <c r="K461" s="5">
        <f>858 / 86400</f>
        <v>9.9305555555555553E-3</v>
      </c>
      <c r="L461" s="5">
        <f>21425 / 86400</f>
        <v>0.24797453703703703</v>
      </c>
    </row>
    <row r="462" spans="1:12" x14ac:dyDescent="0.25">
      <c r="A462" s="3">
        <v>45699.257905092592</v>
      </c>
      <c r="B462" t="s">
        <v>159</v>
      </c>
      <c r="C462" s="3">
        <v>45699.40043981481</v>
      </c>
      <c r="D462" t="s">
        <v>370</v>
      </c>
      <c r="E462" s="4">
        <v>51.959000000000003</v>
      </c>
      <c r="F462" s="4">
        <v>407390.88</v>
      </c>
      <c r="G462" s="4">
        <v>407442.83899999998</v>
      </c>
      <c r="H462" s="5">
        <f>4619 / 86400</f>
        <v>5.3460648148148146E-2</v>
      </c>
      <c r="I462" t="s">
        <v>21</v>
      </c>
      <c r="J462" t="s">
        <v>19</v>
      </c>
      <c r="K462" s="5">
        <f>12314 / 86400</f>
        <v>0.14252314814814815</v>
      </c>
      <c r="L462" s="5">
        <f>5361 / 86400</f>
        <v>6.204861111111111E-2</v>
      </c>
    </row>
    <row r="463" spans="1:12" x14ac:dyDescent="0.25">
      <c r="A463" s="3">
        <v>45699.462488425925</v>
      </c>
      <c r="B463" t="s">
        <v>370</v>
      </c>
      <c r="C463" s="3">
        <v>45699.613819444443</v>
      </c>
      <c r="D463" t="s">
        <v>371</v>
      </c>
      <c r="E463" s="4">
        <v>50.267000000000003</v>
      </c>
      <c r="F463" s="4">
        <v>407442.83899999998</v>
      </c>
      <c r="G463" s="4">
        <v>407493.10600000003</v>
      </c>
      <c r="H463" s="5">
        <f>4798 / 86400</f>
        <v>5.5532407407407405E-2</v>
      </c>
      <c r="I463" t="s">
        <v>262</v>
      </c>
      <c r="J463" t="s">
        <v>31</v>
      </c>
      <c r="K463" s="5">
        <f>13074 / 86400</f>
        <v>0.15131944444444445</v>
      </c>
      <c r="L463" s="5">
        <f>133 / 86400</f>
        <v>1.5393518518518519E-3</v>
      </c>
    </row>
    <row r="464" spans="1:12" x14ac:dyDescent="0.25">
      <c r="A464" s="3">
        <v>45699.615358796298</v>
      </c>
      <c r="B464" t="s">
        <v>371</v>
      </c>
      <c r="C464" s="3">
        <v>45699.616516203707</v>
      </c>
      <c r="D464" t="s">
        <v>153</v>
      </c>
      <c r="E464" s="4">
        <v>0.13</v>
      </c>
      <c r="F464" s="4">
        <v>407493.10600000003</v>
      </c>
      <c r="G464" s="4">
        <v>407493.23599999998</v>
      </c>
      <c r="H464" s="5">
        <f>19 / 86400</f>
        <v>2.199074074074074E-4</v>
      </c>
      <c r="I464" t="s">
        <v>28</v>
      </c>
      <c r="J464" t="s">
        <v>148</v>
      </c>
      <c r="K464" s="5">
        <f>100 / 86400</f>
        <v>1.1574074074074073E-3</v>
      </c>
      <c r="L464" s="5">
        <f>2023 / 86400</f>
        <v>2.3414351851851853E-2</v>
      </c>
    </row>
    <row r="465" spans="1:12" x14ac:dyDescent="0.25">
      <c r="A465" s="3">
        <v>45699.639930555553</v>
      </c>
      <c r="B465" t="s">
        <v>153</v>
      </c>
      <c r="C465" s="3">
        <v>45699.643125000002</v>
      </c>
      <c r="D465" t="s">
        <v>151</v>
      </c>
      <c r="E465" s="4">
        <v>0.41699999999999998</v>
      </c>
      <c r="F465" s="4">
        <v>407493.23599999998</v>
      </c>
      <c r="G465" s="4">
        <v>407493.65299999999</v>
      </c>
      <c r="H465" s="5">
        <f>119 / 86400</f>
        <v>1.3773148148148147E-3</v>
      </c>
      <c r="I465" t="s">
        <v>160</v>
      </c>
      <c r="J465" t="s">
        <v>148</v>
      </c>
      <c r="K465" s="5">
        <f>276 / 86400</f>
        <v>3.1944444444444446E-3</v>
      </c>
      <c r="L465" s="5">
        <f>1326 / 86400</f>
        <v>1.5347222222222222E-2</v>
      </c>
    </row>
    <row r="466" spans="1:12" x14ac:dyDescent="0.25">
      <c r="A466" s="3">
        <v>45699.658472222218</v>
      </c>
      <c r="B466" t="s">
        <v>372</v>
      </c>
      <c r="C466" s="3">
        <v>45699.660428240742</v>
      </c>
      <c r="D466" t="s">
        <v>372</v>
      </c>
      <c r="E466" s="4">
        <v>0</v>
      </c>
      <c r="F466" s="4">
        <v>407493.65299999999</v>
      </c>
      <c r="G466" s="4">
        <v>407493.65299999999</v>
      </c>
      <c r="H466" s="5">
        <f>159 / 86400</f>
        <v>1.8402777777777777E-3</v>
      </c>
      <c r="I466" t="s">
        <v>88</v>
      </c>
      <c r="J466" t="s">
        <v>88</v>
      </c>
      <c r="K466" s="5">
        <f>168 / 86400</f>
        <v>1.9444444444444444E-3</v>
      </c>
      <c r="L466" s="5">
        <f>120 / 86400</f>
        <v>1.3888888888888889E-3</v>
      </c>
    </row>
    <row r="467" spans="1:12" x14ac:dyDescent="0.25">
      <c r="A467" s="3">
        <v>45699.661817129629</v>
      </c>
      <c r="B467" t="s">
        <v>373</v>
      </c>
      <c r="C467" s="3">
        <v>45699.66715277778</v>
      </c>
      <c r="D467" t="s">
        <v>105</v>
      </c>
      <c r="E467" s="4">
        <v>0.67800000000000005</v>
      </c>
      <c r="F467" s="4">
        <v>407493.65299999999</v>
      </c>
      <c r="G467" s="4">
        <v>407494.33100000001</v>
      </c>
      <c r="H467" s="5">
        <f>239 / 86400</f>
        <v>2.7662037037037039E-3</v>
      </c>
      <c r="I467" t="s">
        <v>130</v>
      </c>
      <c r="J467" t="s">
        <v>148</v>
      </c>
      <c r="K467" s="5">
        <f>460 / 86400</f>
        <v>5.324074074074074E-3</v>
      </c>
      <c r="L467" s="5">
        <f>6 / 86400</f>
        <v>6.9444444444444444E-5</v>
      </c>
    </row>
    <row r="468" spans="1:12" x14ac:dyDescent="0.25">
      <c r="A468" s="3">
        <v>45699.667222222226</v>
      </c>
      <c r="B468" t="s">
        <v>105</v>
      </c>
      <c r="C468" s="3">
        <v>45699.667372685188</v>
      </c>
      <c r="D468" t="s">
        <v>105</v>
      </c>
      <c r="E468" s="4">
        <v>0</v>
      </c>
      <c r="F468" s="4">
        <v>407494.33100000001</v>
      </c>
      <c r="G468" s="4">
        <v>407494.33100000001</v>
      </c>
      <c r="H468" s="5">
        <f>0 / 86400</f>
        <v>0</v>
      </c>
      <c r="I468" t="s">
        <v>88</v>
      </c>
      <c r="J468" t="s">
        <v>88</v>
      </c>
      <c r="K468" s="5">
        <f>13 / 86400</f>
        <v>1.5046296296296297E-4</v>
      </c>
      <c r="L468" s="5">
        <f>9 / 86400</f>
        <v>1.0416666666666667E-4</v>
      </c>
    </row>
    <row r="469" spans="1:12" x14ac:dyDescent="0.25">
      <c r="A469" s="3">
        <v>45699.667476851857</v>
      </c>
      <c r="B469" t="s">
        <v>105</v>
      </c>
      <c r="C469" s="3">
        <v>45699.667638888888</v>
      </c>
      <c r="D469" t="s">
        <v>105</v>
      </c>
      <c r="E469" s="4">
        <v>8.0000000000000002E-3</v>
      </c>
      <c r="F469" s="4">
        <v>407494.33100000001</v>
      </c>
      <c r="G469" s="4">
        <v>407494.33899999998</v>
      </c>
      <c r="H469" s="5">
        <f>0 / 86400</f>
        <v>0</v>
      </c>
      <c r="I469" t="s">
        <v>148</v>
      </c>
      <c r="J469" t="s">
        <v>57</v>
      </c>
      <c r="K469" s="5">
        <f>14 / 86400</f>
        <v>1.6203703703703703E-4</v>
      </c>
      <c r="L469" s="5">
        <f>281 / 86400</f>
        <v>3.2523148148148147E-3</v>
      </c>
    </row>
    <row r="470" spans="1:12" x14ac:dyDescent="0.25">
      <c r="A470" s="3">
        <v>45699.670891203699</v>
      </c>
      <c r="B470" t="s">
        <v>105</v>
      </c>
      <c r="C470" s="3">
        <v>45699.671342592592</v>
      </c>
      <c r="D470" t="s">
        <v>105</v>
      </c>
      <c r="E470" s="4">
        <v>1.6E-2</v>
      </c>
      <c r="F470" s="4">
        <v>407494.33899999998</v>
      </c>
      <c r="G470" s="4">
        <v>407494.35499999998</v>
      </c>
      <c r="H470" s="5">
        <f>0 / 86400</f>
        <v>0</v>
      </c>
      <c r="I470" t="s">
        <v>148</v>
      </c>
      <c r="J470" t="s">
        <v>29</v>
      </c>
      <c r="K470" s="5">
        <f>39 / 86400</f>
        <v>4.5138888888888887E-4</v>
      </c>
      <c r="L470" s="5">
        <f>1282 / 86400</f>
        <v>1.4837962962962963E-2</v>
      </c>
    </row>
    <row r="471" spans="1:12" x14ac:dyDescent="0.25">
      <c r="A471" s="3">
        <v>45699.686180555553</v>
      </c>
      <c r="B471" t="s">
        <v>105</v>
      </c>
      <c r="C471" s="3">
        <v>45699.804386574076</v>
      </c>
      <c r="D471" t="s">
        <v>369</v>
      </c>
      <c r="E471" s="4">
        <v>46.942</v>
      </c>
      <c r="F471" s="4">
        <v>407494.35499999998</v>
      </c>
      <c r="G471" s="4">
        <v>407541.29700000002</v>
      </c>
      <c r="H471" s="5">
        <f>3181 / 86400</f>
        <v>3.681712962962963E-2</v>
      </c>
      <c r="I471" t="s">
        <v>55</v>
      </c>
      <c r="J471" t="s">
        <v>42</v>
      </c>
      <c r="K471" s="5">
        <f>10212 / 86400</f>
        <v>0.11819444444444445</v>
      </c>
      <c r="L471" s="5">
        <f>61 / 86400</f>
        <v>7.0601851851851847E-4</v>
      </c>
    </row>
    <row r="472" spans="1:12" x14ac:dyDescent="0.25">
      <c r="A472" s="3">
        <v>45699.805092592593</v>
      </c>
      <c r="B472" t="s">
        <v>369</v>
      </c>
      <c r="C472" s="3">
        <v>45699.928067129629</v>
      </c>
      <c r="D472" t="s">
        <v>151</v>
      </c>
      <c r="E472" s="4">
        <v>46.317</v>
      </c>
      <c r="F472" s="4">
        <v>407541.29700000002</v>
      </c>
      <c r="G472" s="4">
        <v>407587.614</v>
      </c>
      <c r="H472" s="5">
        <f>3361 / 86400</f>
        <v>3.8900462962962963E-2</v>
      </c>
      <c r="I472" t="s">
        <v>111</v>
      </c>
      <c r="J472" t="s">
        <v>37</v>
      </c>
      <c r="K472" s="5">
        <f>10625 / 86400</f>
        <v>0.12297453703703703</v>
      </c>
      <c r="L472" s="5">
        <f>552 / 86400</f>
        <v>6.3888888888888893E-3</v>
      </c>
    </row>
    <row r="473" spans="1:12" x14ac:dyDescent="0.25">
      <c r="A473" s="3">
        <v>45699.93445601852</v>
      </c>
      <c r="B473" t="s">
        <v>151</v>
      </c>
      <c r="C473" s="3">
        <v>45699.935983796298</v>
      </c>
      <c r="D473" t="s">
        <v>371</v>
      </c>
      <c r="E473" s="4">
        <v>0.53700000000000003</v>
      </c>
      <c r="F473" s="4">
        <v>407587.614</v>
      </c>
      <c r="G473" s="4">
        <v>407588.15100000001</v>
      </c>
      <c r="H473" s="5">
        <f>20 / 86400</f>
        <v>2.3148148148148149E-4</v>
      </c>
      <c r="I473" t="s">
        <v>124</v>
      </c>
      <c r="J473" t="s">
        <v>19</v>
      </c>
      <c r="K473" s="5">
        <f>132 / 86400</f>
        <v>1.5277777777777779E-3</v>
      </c>
      <c r="L473" s="5">
        <f>296 / 86400</f>
        <v>3.425925925925926E-3</v>
      </c>
    </row>
    <row r="474" spans="1:12" x14ac:dyDescent="0.25">
      <c r="A474" s="3">
        <v>45699.939409722225</v>
      </c>
      <c r="B474" t="s">
        <v>371</v>
      </c>
      <c r="C474" s="3">
        <v>45699.944236111114</v>
      </c>
      <c r="D474" t="s">
        <v>40</v>
      </c>
      <c r="E474" s="4">
        <v>0.753</v>
      </c>
      <c r="F474" s="4">
        <v>407588.15100000001</v>
      </c>
      <c r="G474" s="4">
        <v>407588.90399999998</v>
      </c>
      <c r="H474" s="5">
        <f>119 / 86400</f>
        <v>1.3773148148148147E-3</v>
      </c>
      <c r="I474" t="s">
        <v>26</v>
      </c>
      <c r="J474" t="s">
        <v>28</v>
      </c>
      <c r="K474" s="5">
        <f>417 / 86400</f>
        <v>4.8263888888888887E-3</v>
      </c>
      <c r="L474" s="5">
        <f>4817 / 86400</f>
        <v>5.5752314814814817E-2</v>
      </c>
    </row>
    <row r="475" spans="1:12" x14ac:dyDescent="0.25">
      <c r="A475" s="11"/>
      <c r="B475" s="11"/>
      <c r="C475" s="11"/>
      <c r="D475" s="11"/>
      <c r="E475" s="11"/>
      <c r="F475" s="11"/>
      <c r="G475" s="11"/>
      <c r="H475" s="11"/>
      <c r="I475" s="11"/>
      <c r="J475" s="11"/>
    </row>
    <row r="476" spans="1:12" x14ac:dyDescent="0.25">
      <c r="A476" s="11"/>
      <c r="B476" s="11"/>
      <c r="C476" s="11"/>
      <c r="D476" s="11"/>
      <c r="E476" s="11"/>
      <c r="F476" s="11"/>
      <c r="G476" s="11"/>
      <c r="H476" s="11"/>
      <c r="I476" s="11"/>
      <c r="J476" s="11"/>
    </row>
    <row r="477" spans="1:12" s="10" customFormat="1" ht="20.100000000000001" customHeight="1" x14ac:dyDescent="0.35">
      <c r="A477" s="12" t="s">
        <v>460</v>
      </c>
      <c r="B477" s="12"/>
      <c r="C477" s="12"/>
      <c r="D477" s="12"/>
      <c r="E477" s="12"/>
      <c r="F477" s="12"/>
      <c r="G477" s="12"/>
      <c r="H477" s="12"/>
      <c r="I477" s="12"/>
      <c r="J477" s="12"/>
    </row>
    <row r="478" spans="1:12" x14ac:dyDescent="0.25">
      <c r="A478" s="11"/>
      <c r="B478" s="11"/>
      <c r="C478" s="11"/>
      <c r="D478" s="11"/>
      <c r="E478" s="11"/>
      <c r="F478" s="11"/>
      <c r="G478" s="11"/>
      <c r="H478" s="11"/>
      <c r="I478" s="11"/>
      <c r="J478" s="11"/>
    </row>
    <row r="479" spans="1:12" ht="30" x14ac:dyDescent="0.25">
      <c r="A479" s="2" t="s">
        <v>5</v>
      </c>
      <c r="B479" s="2" t="s">
        <v>6</v>
      </c>
      <c r="C479" s="2" t="s">
        <v>7</v>
      </c>
      <c r="D479" s="2" t="s">
        <v>8</v>
      </c>
      <c r="E479" s="2" t="s">
        <v>9</v>
      </c>
      <c r="F479" s="2" t="s">
        <v>10</v>
      </c>
      <c r="G479" s="2" t="s">
        <v>11</v>
      </c>
      <c r="H479" s="2" t="s">
        <v>12</v>
      </c>
      <c r="I479" s="2" t="s">
        <v>13</v>
      </c>
      <c r="J479" s="2" t="s">
        <v>14</v>
      </c>
      <c r="K479" s="2" t="s">
        <v>15</v>
      </c>
      <c r="L479" s="2" t="s">
        <v>16</v>
      </c>
    </row>
    <row r="480" spans="1:12" x14ac:dyDescent="0.25">
      <c r="A480" s="3">
        <v>45699.318773148145</v>
      </c>
      <c r="B480" t="s">
        <v>41</v>
      </c>
      <c r="C480" s="3">
        <v>45699.323113425926</v>
      </c>
      <c r="D480" t="s">
        <v>105</v>
      </c>
      <c r="E480" s="4">
        <v>1.127</v>
      </c>
      <c r="F480" s="4">
        <v>437117.84100000001</v>
      </c>
      <c r="G480" s="4">
        <v>437118.96799999999</v>
      </c>
      <c r="H480" s="5">
        <f>159 / 86400</f>
        <v>1.8402777777777777E-3</v>
      </c>
      <c r="I480" t="s">
        <v>124</v>
      </c>
      <c r="J480" t="s">
        <v>134</v>
      </c>
      <c r="K480" s="5">
        <f>374 / 86400</f>
        <v>4.3287037037037035E-3</v>
      </c>
      <c r="L480" s="5">
        <f>28010 / 86400</f>
        <v>0.32418981481481479</v>
      </c>
    </row>
    <row r="481" spans="1:12" x14ac:dyDescent="0.25">
      <c r="A481" s="3">
        <v>45699.328530092593</v>
      </c>
      <c r="B481" t="s">
        <v>105</v>
      </c>
      <c r="C481" s="3">
        <v>45699.344305555554</v>
      </c>
      <c r="D481" t="s">
        <v>41</v>
      </c>
      <c r="E481" s="4">
        <v>0.96099999999999997</v>
      </c>
      <c r="F481" s="4">
        <v>437118.96799999999</v>
      </c>
      <c r="G481" s="4">
        <v>437119.929</v>
      </c>
      <c r="H481" s="5">
        <f>1139 / 86400</f>
        <v>1.3182870370370371E-2</v>
      </c>
      <c r="I481" t="s">
        <v>184</v>
      </c>
      <c r="J481" t="s">
        <v>157</v>
      </c>
      <c r="K481" s="5">
        <f>1363 / 86400</f>
        <v>1.5775462962962963E-2</v>
      </c>
      <c r="L481" s="5">
        <f>551 / 86400</f>
        <v>6.3773148148148148E-3</v>
      </c>
    </row>
    <row r="482" spans="1:12" x14ac:dyDescent="0.25">
      <c r="A482" s="3">
        <v>45699.350682870368</v>
      </c>
      <c r="B482" t="s">
        <v>41</v>
      </c>
      <c r="C482" s="3">
        <v>45699.476099537038</v>
      </c>
      <c r="D482" t="s">
        <v>370</v>
      </c>
      <c r="E482" s="4">
        <v>51.542999999999999</v>
      </c>
      <c r="F482" s="4">
        <v>437119.929</v>
      </c>
      <c r="G482" s="4">
        <v>437171.47200000001</v>
      </c>
      <c r="H482" s="5">
        <f>3379 / 86400</f>
        <v>3.9108796296296294E-2</v>
      </c>
      <c r="I482" t="s">
        <v>55</v>
      </c>
      <c r="J482" t="s">
        <v>42</v>
      </c>
      <c r="K482" s="5">
        <f>10835 / 86400</f>
        <v>0.12540509259259258</v>
      </c>
      <c r="L482" s="5">
        <f>1405 / 86400</f>
        <v>1.6261574074074074E-2</v>
      </c>
    </row>
    <row r="483" spans="1:12" x14ac:dyDescent="0.25">
      <c r="A483" s="3">
        <v>45699.492361111115</v>
      </c>
      <c r="B483" t="s">
        <v>370</v>
      </c>
      <c r="C483" s="3">
        <v>45699.621863425928</v>
      </c>
      <c r="D483" t="s">
        <v>159</v>
      </c>
      <c r="E483" s="4">
        <v>50.787999999999997</v>
      </c>
      <c r="F483" s="4">
        <v>437171.47200000001</v>
      </c>
      <c r="G483" s="4">
        <v>437222.26</v>
      </c>
      <c r="H483" s="5">
        <f>3400 / 86400</f>
        <v>3.9351851851851853E-2</v>
      </c>
      <c r="I483" t="s">
        <v>55</v>
      </c>
      <c r="J483" t="s">
        <v>37</v>
      </c>
      <c r="K483" s="5">
        <f>11188 / 86400</f>
        <v>0.12949074074074074</v>
      </c>
      <c r="L483" s="5">
        <f>482 / 86400</f>
        <v>5.5787037037037038E-3</v>
      </c>
    </row>
    <row r="484" spans="1:12" x14ac:dyDescent="0.25">
      <c r="A484" s="3">
        <v>45699.627442129626</v>
      </c>
      <c r="B484" t="s">
        <v>159</v>
      </c>
      <c r="C484" s="3">
        <v>45699.631793981476</v>
      </c>
      <c r="D484" t="s">
        <v>105</v>
      </c>
      <c r="E484" s="4">
        <v>1.238</v>
      </c>
      <c r="F484" s="4">
        <v>437222.26</v>
      </c>
      <c r="G484" s="4">
        <v>437223.49800000002</v>
      </c>
      <c r="H484" s="5">
        <f>80 / 86400</f>
        <v>9.2592592592592596E-4</v>
      </c>
      <c r="I484" t="s">
        <v>137</v>
      </c>
      <c r="J484" t="s">
        <v>131</v>
      </c>
      <c r="K484" s="5">
        <f>375 / 86400</f>
        <v>4.340277777777778E-3</v>
      </c>
      <c r="L484" s="5">
        <f>38 / 86400</f>
        <v>4.3981481481481481E-4</v>
      </c>
    </row>
    <row r="485" spans="1:12" x14ac:dyDescent="0.25">
      <c r="A485" s="3">
        <v>45699.632233796292</v>
      </c>
      <c r="B485" t="s">
        <v>105</v>
      </c>
      <c r="C485" s="3">
        <v>45699.632326388892</v>
      </c>
      <c r="D485" t="s">
        <v>105</v>
      </c>
      <c r="E485" s="4">
        <v>0</v>
      </c>
      <c r="F485" s="4">
        <v>437223.49800000002</v>
      </c>
      <c r="G485" s="4">
        <v>437223.49800000002</v>
      </c>
      <c r="H485" s="5">
        <f>0 / 86400</f>
        <v>0</v>
      </c>
      <c r="I485" t="s">
        <v>88</v>
      </c>
      <c r="J485" t="s">
        <v>88</v>
      </c>
      <c r="K485" s="5">
        <f>7 / 86400</f>
        <v>8.1018518518518516E-5</v>
      </c>
      <c r="L485" s="5">
        <f>947 / 86400</f>
        <v>1.0960648148148148E-2</v>
      </c>
    </row>
    <row r="486" spans="1:12" x14ac:dyDescent="0.25">
      <c r="A486" s="3">
        <v>45699.643287037034</v>
      </c>
      <c r="B486" t="s">
        <v>105</v>
      </c>
      <c r="C486" s="3">
        <v>45699.826192129629</v>
      </c>
      <c r="D486" t="s">
        <v>105</v>
      </c>
      <c r="E486" s="4">
        <v>81.369</v>
      </c>
      <c r="F486" s="4">
        <v>437223.49800000002</v>
      </c>
      <c r="G486" s="4">
        <v>437304.86700000003</v>
      </c>
      <c r="H486" s="5">
        <f>4359 / 86400</f>
        <v>5.0451388888888886E-2</v>
      </c>
      <c r="I486" t="s">
        <v>39</v>
      </c>
      <c r="J486" t="s">
        <v>22</v>
      </c>
      <c r="K486" s="5">
        <f>15802 / 86400</f>
        <v>0.18289351851851851</v>
      </c>
      <c r="L486" s="5">
        <f>1075 / 86400</f>
        <v>1.2442129629629629E-2</v>
      </c>
    </row>
    <row r="487" spans="1:12" x14ac:dyDescent="0.25">
      <c r="A487" s="3">
        <v>45699.838634259257</v>
      </c>
      <c r="B487" t="s">
        <v>105</v>
      </c>
      <c r="C487" s="3">
        <v>45699.839849537035</v>
      </c>
      <c r="D487" t="s">
        <v>277</v>
      </c>
      <c r="E487" s="4">
        <v>0.13900000000000001</v>
      </c>
      <c r="F487" s="4">
        <v>437304.86700000003</v>
      </c>
      <c r="G487" s="4">
        <v>437305.00599999999</v>
      </c>
      <c r="H487" s="5">
        <f>20 / 86400</f>
        <v>2.3148148148148149E-4</v>
      </c>
      <c r="I487" t="s">
        <v>112</v>
      </c>
      <c r="J487" t="s">
        <v>148</v>
      </c>
      <c r="K487" s="5">
        <f>105 / 86400</f>
        <v>1.2152777777777778E-3</v>
      </c>
      <c r="L487" s="5">
        <f>741 / 86400</f>
        <v>8.5763888888888886E-3</v>
      </c>
    </row>
    <row r="488" spans="1:12" x14ac:dyDescent="0.25">
      <c r="A488" s="3">
        <v>45699.848425925928</v>
      </c>
      <c r="B488" t="s">
        <v>277</v>
      </c>
      <c r="C488" s="3">
        <v>45699.851851851854</v>
      </c>
      <c r="D488" t="s">
        <v>41</v>
      </c>
      <c r="E488" s="4">
        <v>0.91800000000000004</v>
      </c>
      <c r="F488" s="4">
        <v>437305.00599999999</v>
      </c>
      <c r="G488" s="4">
        <v>437305.924</v>
      </c>
      <c r="H488" s="5">
        <f>79 / 86400</f>
        <v>9.1435185185185185E-4</v>
      </c>
      <c r="I488" t="s">
        <v>178</v>
      </c>
      <c r="J488" t="s">
        <v>134</v>
      </c>
      <c r="K488" s="5">
        <f>296 / 86400</f>
        <v>3.425925925925926E-3</v>
      </c>
      <c r="L488" s="5">
        <f>12799 / 86400</f>
        <v>0.14813657407407407</v>
      </c>
    </row>
    <row r="489" spans="1:12" x14ac:dyDescent="0.25">
      <c r="A489" s="11"/>
      <c r="B489" s="11"/>
      <c r="C489" s="11"/>
      <c r="D489" s="11"/>
      <c r="E489" s="11"/>
      <c r="F489" s="11"/>
      <c r="G489" s="11"/>
      <c r="H489" s="11"/>
      <c r="I489" s="11"/>
      <c r="J489" s="11"/>
    </row>
    <row r="490" spans="1:12" x14ac:dyDescent="0.25">
      <c r="A490" s="11"/>
      <c r="B490" s="11"/>
      <c r="C490" s="11"/>
      <c r="D490" s="11"/>
      <c r="E490" s="11"/>
      <c r="F490" s="11"/>
      <c r="G490" s="11"/>
      <c r="H490" s="11"/>
      <c r="I490" s="11"/>
      <c r="J490" s="11"/>
    </row>
    <row r="491" spans="1:12" s="10" customFormat="1" ht="20.100000000000001" customHeight="1" x14ac:dyDescent="0.35">
      <c r="A491" s="12" t="s">
        <v>461</v>
      </c>
      <c r="B491" s="12"/>
      <c r="C491" s="12"/>
      <c r="D491" s="12"/>
      <c r="E491" s="12"/>
      <c r="F491" s="12"/>
      <c r="G491" s="12"/>
      <c r="H491" s="12"/>
      <c r="I491" s="12"/>
      <c r="J491" s="12"/>
    </row>
    <row r="492" spans="1:12" x14ac:dyDescent="0.25">
      <c r="A492" s="11"/>
      <c r="B492" s="11"/>
      <c r="C492" s="11"/>
      <c r="D492" s="11"/>
      <c r="E492" s="11"/>
      <c r="F492" s="11"/>
      <c r="G492" s="11"/>
      <c r="H492" s="11"/>
      <c r="I492" s="11"/>
      <c r="J492" s="11"/>
    </row>
    <row r="493" spans="1:12" ht="30" x14ac:dyDescent="0.25">
      <c r="A493" s="2" t="s">
        <v>5</v>
      </c>
      <c r="B493" s="2" t="s">
        <v>6</v>
      </c>
      <c r="C493" s="2" t="s">
        <v>7</v>
      </c>
      <c r="D493" s="2" t="s">
        <v>8</v>
      </c>
      <c r="E493" s="2" t="s">
        <v>9</v>
      </c>
      <c r="F493" s="2" t="s">
        <v>10</v>
      </c>
      <c r="G493" s="2" t="s">
        <v>11</v>
      </c>
      <c r="H493" s="2" t="s">
        <v>12</v>
      </c>
      <c r="I493" s="2" t="s">
        <v>13</v>
      </c>
      <c r="J493" s="2" t="s">
        <v>14</v>
      </c>
      <c r="K493" s="2" t="s">
        <v>15</v>
      </c>
      <c r="L493" s="2" t="s">
        <v>16</v>
      </c>
    </row>
    <row r="494" spans="1:12" x14ac:dyDescent="0.25">
      <c r="A494" s="3">
        <v>45699.135613425926</v>
      </c>
      <c r="B494" t="s">
        <v>20</v>
      </c>
      <c r="C494" s="3">
        <v>45699.31077546296</v>
      </c>
      <c r="D494" t="s">
        <v>161</v>
      </c>
      <c r="E494" s="4">
        <v>106.233</v>
      </c>
      <c r="F494" s="4">
        <v>53795.209000000003</v>
      </c>
      <c r="G494" s="4">
        <v>53901.442000000003</v>
      </c>
      <c r="H494" s="5">
        <f>3482 / 86400</f>
        <v>4.0300925925925928E-2</v>
      </c>
      <c r="I494" t="s">
        <v>43</v>
      </c>
      <c r="J494" t="s">
        <v>141</v>
      </c>
      <c r="K494" s="5">
        <f>15134 / 86400</f>
        <v>0.17516203703703703</v>
      </c>
      <c r="L494" s="5">
        <f>12406 / 86400</f>
        <v>0.14358796296296297</v>
      </c>
    </row>
    <row r="495" spans="1:12" x14ac:dyDescent="0.25">
      <c r="A495" s="3">
        <v>45699.318749999999</v>
      </c>
      <c r="B495" t="s">
        <v>161</v>
      </c>
      <c r="C495" s="3">
        <v>45699.319780092592</v>
      </c>
      <c r="D495" t="s">
        <v>159</v>
      </c>
      <c r="E495" s="4">
        <v>0.35299999999999998</v>
      </c>
      <c r="F495" s="4">
        <v>53901.442000000003</v>
      </c>
      <c r="G495" s="4">
        <v>53901.794999999998</v>
      </c>
      <c r="H495" s="5">
        <f>0 / 86400</f>
        <v>0</v>
      </c>
      <c r="I495" t="s">
        <v>22</v>
      </c>
      <c r="J495" t="s">
        <v>31</v>
      </c>
      <c r="K495" s="5">
        <f>89 / 86400</f>
        <v>1.0300925925925926E-3</v>
      </c>
      <c r="L495" s="5">
        <f>346 / 86400</f>
        <v>4.0046296296296297E-3</v>
      </c>
    </row>
    <row r="496" spans="1:12" x14ac:dyDescent="0.25">
      <c r="A496" s="3">
        <v>45699.323784722219</v>
      </c>
      <c r="B496" t="s">
        <v>159</v>
      </c>
      <c r="C496" s="3">
        <v>45699.326284722221</v>
      </c>
      <c r="D496" t="s">
        <v>277</v>
      </c>
      <c r="E496" s="4">
        <v>1.0660000000000001</v>
      </c>
      <c r="F496" s="4">
        <v>53901.794999999998</v>
      </c>
      <c r="G496" s="4">
        <v>53902.860999999997</v>
      </c>
      <c r="H496" s="5">
        <f>0 / 86400</f>
        <v>0</v>
      </c>
      <c r="I496" t="s">
        <v>178</v>
      </c>
      <c r="J496" t="s">
        <v>26</v>
      </c>
      <c r="K496" s="5">
        <f>216 / 86400</f>
        <v>2.5000000000000001E-3</v>
      </c>
      <c r="L496" s="5">
        <f>207 / 86400</f>
        <v>2.3958333333333331E-3</v>
      </c>
    </row>
    <row r="497" spans="1:12" x14ac:dyDescent="0.25">
      <c r="A497" s="3">
        <v>45699.328680555554</v>
      </c>
      <c r="B497" t="s">
        <v>277</v>
      </c>
      <c r="C497" s="3">
        <v>45699.564155092594</v>
      </c>
      <c r="D497" t="s">
        <v>105</v>
      </c>
      <c r="E497" s="4">
        <v>100.36199999999999</v>
      </c>
      <c r="F497" s="4">
        <v>53902.860999999997</v>
      </c>
      <c r="G497" s="4">
        <v>54003.222999999998</v>
      </c>
      <c r="H497" s="5">
        <f>6720 / 86400</f>
        <v>7.7777777777777779E-2</v>
      </c>
      <c r="I497" t="s">
        <v>86</v>
      </c>
      <c r="J497" t="s">
        <v>26</v>
      </c>
      <c r="K497" s="5">
        <f>20344 / 86400</f>
        <v>0.23546296296296296</v>
      </c>
      <c r="L497" s="5">
        <f>260 / 86400</f>
        <v>3.0092592592592593E-3</v>
      </c>
    </row>
    <row r="498" spans="1:12" x14ac:dyDescent="0.25">
      <c r="A498" s="3">
        <v>45699.567164351851</v>
      </c>
      <c r="B498" t="s">
        <v>105</v>
      </c>
      <c r="C498" s="3">
        <v>45699.568287037036</v>
      </c>
      <c r="D498" t="s">
        <v>151</v>
      </c>
      <c r="E498" s="4">
        <v>0.20499999999999999</v>
      </c>
      <c r="F498" s="4">
        <v>54003.222999999998</v>
      </c>
      <c r="G498" s="4">
        <v>54003.428</v>
      </c>
      <c r="H498" s="5">
        <f>20 / 86400</f>
        <v>2.3148148148148149E-4</v>
      </c>
      <c r="I498" t="s">
        <v>131</v>
      </c>
      <c r="J498" t="s">
        <v>125</v>
      </c>
      <c r="K498" s="5">
        <f>96 / 86400</f>
        <v>1.1111111111111111E-3</v>
      </c>
      <c r="L498" s="5">
        <f>316 / 86400</f>
        <v>3.6574074074074074E-3</v>
      </c>
    </row>
    <row r="499" spans="1:12" x14ac:dyDescent="0.25">
      <c r="A499" s="3">
        <v>45699.57194444444</v>
      </c>
      <c r="B499" t="s">
        <v>151</v>
      </c>
      <c r="C499" s="3">
        <v>45699.573136574079</v>
      </c>
      <c r="D499" t="s">
        <v>105</v>
      </c>
      <c r="E499" s="4">
        <v>0.23899999999999999</v>
      </c>
      <c r="F499" s="4">
        <v>54003.428</v>
      </c>
      <c r="G499" s="4">
        <v>54003.667000000001</v>
      </c>
      <c r="H499" s="5">
        <f>0 / 86400</f>
        <v>0</v>
      </c>
      <c r="I499" t="s">
        <v>19</v>
      </c>
      <c r="J499" t="s">
        <v>125</v>
      </c>
      <c r="K499" s="5">
        <f>103 / 86400</f>
        <v>1.1921296296296296E-3</v>
      </c>
      <c r="L499" s="5">
        <f>611 / 86400</f>
        <v>7.0717592592592594E-3</v>
      </c>
    </row>
    <row r="500" spans="1:12" x14ac:dyDescent="0.25">
      <c r="A500" s="3">
        <v>45699.580208333333</v>
      </c>
      <c r="B500" t="s">
        <v>105</v>
      </c>
      <c r="C500" s="3">
        <v>45699.582430555558</v>
      </c>
      <c r="D500" t="s">
        <v>276</v>
      </c>
      <c r="E500" s="4">
        <v>0.40899999999999997</v>
      </c>
      <c r="F500" s="4">
        <v>54003.667000000001</v>
      </c>
      <c r="G500" s="4">
        <v>54004.076000000001</v>
      </c>
      <c r="H500" s="5">
        <f>39 / 86400</f>
        <v>4.5138888888888887E-4</v>
      </c>
      <c r="I500" t="s">
        <v>26</v>
      </c>
      <c r="J500" t="s">
        <v>125</v>
      </c>
      <c r="K500" s="5">
        <f>192 / 86400</f>
        <v>2.2222222222222222E-3</v>
      </c>
      <c r="L500" s="5">
        <f>91 / 86400</f>
        <v>1.0532407407407407E-3</v>
      </c>
    </row>
    <row r="501" spans="1:12" x14ac:dyDescent="0.25">
      <c r="A501" s="3">
        <v>45699.583483796298</v>
      </c>
      <c r="B501" t="s">
        <v>276</v>
      </c>
      <c r="C501" s="3">
        <v>45699.684791666667</v>
      </c>
      <c r="D501" t="s">
        <v>70</v>
      </c>
      <c r="E501" s="4">
        <v>46.817999999999998</v>
      </c>
      <c r="F501" s="4">
        <v>54004.076000000001</v>
      </c>
      <c r="G501" s="4">
        <v>54050.894</v>
      </c>
      <c r="H501" s="5">
        <f>3119 / 86400</f>
        <v>3.6099537037037034E-2</v>
      </c>
      <c r="I501" t="s">
        <v>118</v>
      </c>
      <c r="J501" t="s">
        <v>22</v>
      </c>
      <c r="K501" s="5">
        <f>8752 / 86400</f>
        <v>0.1012962962962963</v>
      </c>
      <c r="L501" s="5">
        <f>713 / 86400</f>
        <v>8.2523148148148148E-3</v>
      </c>
    </row>
    <row r="502" spans="1:12" x14ac:dyDescent="0.25">
      <c r="A502" s="3">
        <v>45699.693043981482</v>
      </c>
      <c r="B502" t="s">
        <v>369</v>
      </c>
      <c r="C502" s="3">
        <v>45699.693749999999</v>
      </c>
      <c r="D502" t="s">
        <v>374</v>
      </c>
      <c r="E502" s="4">
        <v>3.3000000000000002E-2</v>
      </c>
      <c r="F502" s="4">
        <v>54050.894</v>
      </c>
      <c r="G502" s="4">
        <v>54050.927000000003</v>
      </c>
      <c r="H502" s="5">
        <f>40 / 86400</f>
        <v>4.6296296296296298E-4</v>
      </c>
      <c r="I502" t="s">
        <v>42</v>
      </c>
      <c r="J502" t="s">
        <v>57</v>
      </c>
      <c r="K502" s="5">
        <f>61 / 86400</f>
        <v>7.0601851851851847E-4</v>
      </c>
      <c r="L502" s="5">
        <f>255 / 86400</f>
        <v>2.9513888888888888E-3</v>
      </c>
    </row>
    <row r="503" spans="1:12" x14ac:dyDescent="0.25">
      <c r="A503" s="3">
        <v>45699.696701388893</v>
      </c>
      <c r="B503" t="s">
        <v>374</v>
      </c>
      <c r="C503" s="3">
        <v>45699.841053240743</v>
      </c>
      <c r="D503" t="s">
        <v>375</v>
      </c>
      <c r="E503" s="4">
        <v>46.262</v>
      </c>
      <c r="F503" s="4">
        <v>54050.927000000003</v>
      </c>
      <c r="G503" s="4">
        <v>54097.188999999998</v>
      </c>
      <c r="H503" s="5">
        <f>4455 / 86400</f>
        <v>5.1562499999999997E-2</v>
      </c>
      <c r="I503" t="s">
        <v>107</v>
      </c>
      <c r="J503" t="s">
        <v>56</v>
      </c>
      <c r="K503" s="5">
        <f>12472 / 86400</f>
        <v>0.14435185185185184</v>
      </c>
      <c r="L503" s="5">
        <f>350 / 86400</f>
        <v>4.0509259259259257E-3</v>
      </c>
    </row>
    <row r="504" spans="1:12" x14ac:dyDescent="0.25">
      <c r="A504" s="3">
        <v>45699.84510416667</v>
      </c>
      <c r="B504" t="s">
        <v>375</v>
      </c>
      <c r="C504" s="3">
        <v>45699.846921296295</v>
      </c>
      <c r="D504" t="s">
        <v>94</v>
      </c>
      <c r="E504" s="4">
        <v>0.436</v>
      </c>
      <c r="F504" s="4">
        <v>54097.188999999998</v>
      </c>
      <c r="G504" s="4">
        <v>54097.625</v>
      </c>
      <c r="H504" s="5">
        <f>40 / 86400</f>
        <v>4.6296296296296298E-4</v>
      </c>
      <c r="I504" t="s">
        <v>152</v>
      </c>
      <c r="J504" t="s">
        <v>112</v>
      </c>
      <c r="K504" s="5">
        <f>156 / 86400</f>
        <v>1.8055555555555555E-3</v>
      </c>
      <c r="L504" s="5">
        <f>403 / 86400</f>
        <v>4.6643518518518518E-3</v>
      </c>
    </row>
    <row r="505" spans="1:12" x14ac:dyDescent="0.25">
      <c r="A505" s="3">
        <v>45699.851585648154</v>
      </c>
      <c r="B505" t="s">
        <v>94</v>
      </c>
      <c r="C505" s="3">
        <v>45699.853749999995</v>
      </c>
      <c r="D505" t="s">
        <v>20</v>
      </c>
      <c r="E505" s="4">
        <v>0.28999999999999998</v>
      </c>
      <c r="F505" s="4">
        <v>54097.625</v>
      </c>
      <c r="G505" s="4">
        <v>54097.915000000001</v>
      </c>
      <c r="H505" s="5">
        <f>60 / 86400</f>
        <v>6.9444444444444447E-4</v>
      </c>
      <c r="I505" t="s">
        <v>31</v>
      </c>
      <c r="J505" t="s">
        <v>128</v>
      </c>
      <c r="K505" s="5">
        <f>186 / 86400</f>
        <v>2.1527777777777778E-3</v>
      </c>
      <c r="L505" s="5">
        <f>9455 / 86400</f>
        <v>0.10943287037037037</v>
      </c>
    </row>
    <row r="506" spans="1:12" x14ac:dyDescent="0.25">
      <c r="A506" s="3">
        <v>45699.963182870371</v>
      </c>
      <c r="B506" t="s">
        <v>20</v>
      </c>
      <c r="C506" s="3">
        <v>45699.963460648149</v>
      </c>
      <c r="D506" t="s">
        <v>20</v>
      </c>
      <c r="E506" s="4">
        <v>1.0999999999999999E-2</v>
      </c>
      <c r="F506" s="4">
        <v>54097.915000000001</v>
      </c>
      <c r="G506" s="4">
        <v>54097.925999999999</v>
      </c>
      <c r="H506" s="5">
        <f>19 / 86400</f>
        <v>2.199074074074074E-4</v>
      </c>
      <c r="I506" t="s">
        <v>88</v>
      </c>
      <c r="J506" t="s">
        <v>57</v>
      </c>
      <c r="K506" s="5">
        <f>23 / 86400</f>
        <v>2.6620370370370372E-4</v>
      </c>
      <c r="L506" s="5">
        <f>3156 / 86400</f>
        <v>3.6527777777777777E-2</v>
      </c>
    </row>
    <row r="507" spans="1:12" x14ac:dyDescent="0.25">
      <c r="A507" s="11"/>
      <c r="B507" s="11"/>
      <c r="C507" s="11"/>
      <c r="D507" s="11"/>
      <c r="E507" s="11"/>
      <c r="F507" s="11"/>
      <c r="G507" s="11"/>
      <c r="H507" s="11"/>
      <c r="I507" s="11"/>
      <c r="J507" s="11"/>
    </row>
    <row r="508" spans="1:12" x14ac:dyDescent="0.25">
      <c r="A508" s="11"/>
      <c r="B508" s="11"/>
      <c r="C508" s="11"/>
      <c r="D508" s="11"/>
      <c r="E508" s="11"/>
      <c r="F508" s="11"/>
      <c r="G508" s="11"/>
      <c r="H508" s="11"/>
      <c r="I508" s="11"/>
      <c r="J508" s="11"/>
    </row>
    <row r="509" spans="1:12" s="10" customFormat="1" ht="20.100000000000001" customHeight="1" x14ac:dyDescent="0.35">
      <c r="A509" s="12" t="s">
        <v>462</v>
      </c>
      <c r="B509" s="12"/>
      <c r="C509" s="12"/>
      <c r="D509" s="12"/>
      <c r="E509" s="12"/>
      <c r="F509" s="12"/>
      <c r="G509" s="12"/>
      <c r="H509" s="12"/>
      <c r="I509" s="12"/>
      <c r="J509" s="12"/>
    </row>
    <row r="510" spans="1:12" x14ac:dyDescent="0.25">
      <c r="A510" s="11"/>
      <c r="B510" s="11"/>
      <c r="C510" s="11"/>
      <c r="D510" s="11"/>
      <c r="E510" s="11"/>
      <c r="F510" s="11"/>
      <c r="G510" s="11"/>
      <c r="H510" s="11"/>
      <c r="I510" s="11"/>
      <c r="J510" s="11"/>
    </row>
    <row r="511" spans="1:12" ht="30" x14ac:dyDescent="0.25">
      <c r="A511" s="2" t="s">
        <v>5</v>
      </c>
      <c r="B511" s="2" t="s">
        <v>6</v>
      </c>
      <c r="C511" s="2" t="s">
        <v>7</v>
      </c>
      <c r="D511" s="2" t="s">
        <v>8</v>
      </c>
      <c r="E511" s="2" t="s">
        <v>9</v>
      </c>
      <c r="F511" s="2" t="s">
        <v>10</v>
      </c>
      <c r="G511" s="2" t="s">
        <v>11</v>
      </c>
      <c r="H511" s="2" t="s">
        <v>12</v>
      </c>
      <c r="I511" s="2" t="s">
        <v>13</v>
      </c>
      <c r="J511" s="2" t="s">
        <v>14</v>
      </c>
      <c r="K511" s="2" t="s">
        <v>15</v>
      </c>
      <c r="L511" s="2" t="s">
        <v>16</v>
      </c>
    </row>
    <row r="512" spans="1:12" x14ac:dyDescent="0.25">
      <c r="A512" s="3">
        <v>45699.22892361111</v>
      </c>
      <c r="B512" t="s">
        <v>44</v>
      </c>
      <c r="C512" s="3">
        <v>45699.229155092587</v>
      </c>
      <c r="D512" t="s">
        <v>44</v>
      </c>
      <c r="E512" s="4">
        <v>0</v>
      </c>
      <c r="F512" s="4">
        <v>215674.39799999999</v>
      </c>
      <c r="G512" s="4">
        <v>215674.39799999999</v>
      </c>
      <c r="H512" s="5">
        <f>0 / 86400</f>
        <v>0</v>
      </c>
      <c r="I512" t="s">
        <v>88</v>
      </c>
      <c r="J512" t="s">
        <v>88</v>
      </c>
      <c r="K512" s="5">
        <f>19 / 86400</f>
        <v>2.199074074074074E-4</v>
      </c>
      <c r="L512" s="5">
        <f>23191 / 86400</f>
        <v>0.26841435185185186</v>
      </c>
    </row>
    <row r="513" spans="1:12" x14ac:dyDescent="0.25">
      <c r="A513" s="3">
        <v>45699.268645833334</v>
      </c>
      <c r="B513" t="s">
        <v>44</v>
      </c>
      <c r="C513" s="3">
        <v>45699.26971064815</v>
      </c>
      <c r="D513" t="s">
        <v>44</v>
      </c>
      <c r="E513" s="4">
        <v>0.16700000000000001</v>
      </c>
      <c r="F513" s="4">
        <v>215674.39799999999</v>
      </c>
      <c r="G513" s="4">
        <v>215674.565</v>
      </c>
      <c r="H513" s="5">
        <f>40 / 86400</f>
        <v>4.6296296296296298E-4</v>
      </c>
      <c r="I513" t="s">
        <v>127</v>
      </c>
      <c r="J513" t="s">
        <v>28</v>
      </c>
      <c r="K513" s="5">
        <f>92 / 86400</f>
        <v>1.0648148148148149E-3</v>
      </c>
      <c r="L513" s="5">
        <f>797 / 86400</f>
        <v>9.2245370370370363E-3</v>
      </c>
    </row>
    <row r="514" spans="1:12" x14ac:dyDescent="0.25">
      <c r="A514" s="3">
        <v>45699.278935185182</v>
      </c>
      <c r="B514" t="s">
        <v>44</v>
      </c>
      <c r="C514" s="3">
        <v>45699.53770833333</v>
      </c>
      <c r="D514" t="s">
        <v>144</v>
      </c>
      <c r="E514" s="4">
        <v>101.259</v>
      </c>
      <c r="F514" s="4">
        <v>215674.565</v>
      </c>
      <c r="G514" s="4">
        <v>215775.82399999999</v>
      </c>
      <c r="H514" s="5">
        <f>7276 / 86400</f>
        <v>8.4212962962962962E-2</v>
      </c>
      <c r="I514" t="s">
        <v>45</v>
      </c>
      <c r="J514" t="s">
        <v>37</v>
      </c>
      <c r="K514" s="5">
        <f>22358 / 86400</f>
        <v>0.25877314814814817</v>
      </c>
      <c r="L514" s="5">
        <f>635 / 86400</f>
        <v>7.3495370370370372E-3</v>
      </c>
    </row>
    <row r="515" spans="1:12" x14ac:dyDescent="0.25">
      <c r="A515" s="3">
        <v>45699.545057870375</v>
      </c>
      <c r="B515" t="s">
        <v>144</v>
      </c>
      <c r="C515" s="3">
        <v>45699.54923611111</v>
      </c>
      <c r="D515" t="s">
        <v>105</v>
      </c>
      <c r="E515" s="4">
        <v>1.3380000000000001</v>
      </c>
      <c r="F515" s="4">
        <v>215775.82399999999</v>
      </c>
      <c r="G515" s="4">
        <v>215777.16200000001</v>
      </c>
      <c r="H515" s="5">
        <f>19 / 86400</f>
        <v>2.199074074074074E-4</v>
      </c>
      <c r="I515" t="s">
        <v>137</v>
      </c>
      <c r="J515" t="s">
        <v>56</v>
      </c>
      <c r="K515" s="5">
        <f>360 / 86400</f>
        <v>4.1666666666666666E-3</v>
      </c>
      <c r="L515" s="5">
        <f>601 / 86400</f>
        <v>6.9560185185185185E-3</v>
      </c>
    </row>
    <row r="516" spans="1:12" x14ac:dyDescent="0.25">
      <c r="A516" s="3">
        <v>45699.556192129632</v>
      </c>
      <c r="B516" t="s">
        <v>105</v>
      </c>
      <c r="C516" s="3">
        <v>45699.557962962965</v>
      </c>
      <c r="D516" t="s">
        <v>158</v>
      </c>
      <c r="E516" s="4">
        <v>0.58399999999999996</v>
      </c>
      <c r="F516" s="4">
        <v>215777.16200000001</v>
      </c>
      <c r="G516" s="4">
        <v>215777.74600000001</v>
      </c>
      <c r="H516" s="5">
        <f>0 / 86400</f>
        <v>0</v>
      </c>
      <c r="I516" t="s">
        <v>178</v>
      </c>
      <c r="J516" t="s">
        <v>31</v>
      </c>
      <c r="K516" s="5">
        <f>152 / 86400</f>
        <v>1.7592592592592592E-3</v>
      </c>
      <c r="L516" s="5">
        <f>3737 / 86400</f>
        <v>4.3252314814814813E-2</v>
      </c>
    </row>
    <row r="517" spans="1:12" x14ac:dyDescent="0.25">
      <c r="A517" s="3">
        <v>45699.601215277777</v>
      </c>
      <c r="B517" t="s">
        <v>158</v>
      </c>
      <c r="C517" s="3">
        <v>45699.602858796294</v>
      </c>
      <c r="D517" t="s">
        <v>282</v>
      </c>
      <c r="E517" s="4">
        <v>0.191</v>
      </c>
      <c r="F517" s="4">
        <v>215777.74600000001</v>
      </c>
      <c r="G517" s="4">
        <v>215777.93700000001</v>
      </c>
      <c r="H517" s="5">
        <f>19 / 86400</f>
        <v>2.199074074074074E-4</v>
      </c>
      <c r="I517" t="s">
        <v>56</v>
      </c>
      <c r="J517" t="s">
        <v>148</v>
      </c>
      <c r="K517" s="5">
        <f>142 / 86400</f>
        <v>1.6435185185185185E-3</v>
      </c>
      <c r="L517" s="5">
        <f>682 / 86400</f>
        <v>7.8935185185185185E-3</v>
      </c>
    </row>
    <row r="518" spans="1:12" x14ac:dyDescent="0.25">
      <c r="A518" s="3">
        <v>45699.610752314809</v>
      </c>
      <c r="B518" t="s">
        <v>158</v>
      </c>
      <c r="C518" s="3">
        <v>45699.615231481483</v>
      </c>
      <c r="D518" t="s">
        <v>275</v>
      </c>
      <c r="E518" s="4">
        <v>1.113</v>
      </c>
      <c r="F518" s="4">
        <v>215777.93700000001</v>
      </c>
      <c r="G518" s="4">
        <v>215779.05</v>
      </c>
      <c r="H518" s="5">
        <f>120 / 86400</f>
        <v>1.3888888888888889E-3</v>
      </c>
      <c r="I518" t="s">
        <v>137</v>
      </c>
      <c r="J518" t="s">
        <v>112</v>
      </c>
      <c r="K518" s="5">
        <f>387 / 86400</f>
        <v>4.4791666666666669E-3</v>
      </c>
      <c r="L518" s="5">
        <f>139 / 86400</f>
        <v>1.6087962962962963E-3</v>
      </c>
    </row>
    <row r="519" spans="1:12" x14ac:dyDescent="0.25">
      <c r="A519" s="3">
        <v>45699.616840277777</v>
      </c>
      <c r="B519" t="s">
        <v>275</v>
      </c>
      <c r="C519" s="3">
        <v>45699.625127314815</v>
      </c>
      <c r="D519" t="s">
        <v>44</v>
      </c>
      <c r="E519" s="4">
        <v>1.641</v>
      </c>
      <c r="F519" s="4">
        <v>215779.05</v>
      </c>
      <c r="G519" s="4">
        <v>215780.69099999999</v>
      </c>
      <c r="H519" s="5">
        <f>281 / 86400</f>
        <v>3.2523148148148147E-3</v>
      </c>
      <c r="I519" t="s">
        <v>34</v>
      </c>
      <c r="J519" t="s">
        <v>125</v>
      </c>
      <c r="K519" s="5">
        <f>716 / 86400</f>
        <v>8.2870370370370372E-3</v>
      </c>
      <c r="L519" s="5">
        <f>174 / 86400</f>
        <v>2.0138888888888888E-3</v>
      </c>
    </row>
    <row r="520" spans="1:12" x14ac:dyDescent="0.25">
      <c r="A520" s="3">
        <v>45699.627141203702</v>
      </c>
      <c r="B520" t="s">
        <v>44</v>
      </c>
      <c r="C520" s="3">
        <v>45699.62777777778</v>
      </c>
      <c r="D520" t="s">
        <v>44</v>
      </c>
      <c r="E520" s="4">
        <v>0</v>
      </c>
      <c r="F520" s="4">
        <v>215780.69099999999</v>
      </c>
      <c r="G520" s="4">
        <v>215780.69099999999</v>
      </c>
      <c r="H520" s="5">
        <f>39 / 86400</f>
        <v>4.5138888888888887E-4</v>
      </c>
      <c r="I520" t="s">
        <v>88</v>
      </c>
      <c r="J520" t="s">
        <v>88</v>
      </c>
      <c r="K520" s="5">
        <f>54 / 86400</f>
        <v>6.2500000000000001E-4</v>
      </c>
      <c r="L520" s="5">
        <f>356 / 86400</f>
        <v>4.1203703703703706E-3</v>
      </c>
    </row>
    <row r="521" spans="1:12" x14ac:dyDescent="0.25">
      <c r="A521" s="3">
        <v>45699.631898148145</v>
      </c>
      <c r="B521" t="s">
        <v>44</v>
      </c>
      <c r="C521" s="3">
        <v>45699.633310185185</v>
      </c>
      <c r="D521" t="s">
        <v>153</v>
      </c>
      <c r="E521" s="4">
        <v>0.251</v>
      </c>
      <c r="F521" s="4">
        <v>215780.69099999999</v>
      </c>
      <c r="G521" s="4">
        <v>215780.94200000001</v>
      </c>
      <c r="H521" s="5">
        <f>0 / 86400</f>
        <v>0</v>
      </c>
      <c r="I521" t="s">
        <v>37</v>
      </c>
      <c r="J521" t="s">
        <v>28</v>
      </c>
      <c r="K521" s="5">
        <f>121 / 86400</f>
        <v>1.4004629629629629E-3</v>
      </c>
      <c r="L521" s="5">
        <f>5709 / 86400</f>
        <v>6.6076388888888893E-2</v>
      </c>
    </row>
    <row r="522" spans="1:12" x14ac:dyDescent="0.25">
      <c r="A522" s="3">
        <v>45699.699386574073</v>
      </c>
      <c r="B522" t="s">
        <v>153</v>
      </c>
      <c r="C522" s="3">
        <v>45699.701701388884</v>
      </c>
      <c r="D522" t="s">
        <v>153</v>
      </c>
      <c r="E522" s="4">
        <v>3.5999999999999997E-2</v>
      </c>
      <c r="F522" s="4">
        <v>215780.94200000001</v>
      </c>
      <c r="G522" s="4">
        <v>215780.978</v>
      </c>
      <c r="H522" s="5">
        <f>140 / 86400</f>
        <v>1.6203703703703703E-3</v>
      </c>
      <c r="I522" t="s">
        <v>28</v>
      </c>
      <c r="J522" t="s">
        <v>29</v>
      </c>
      <c r="K522" s="5">
        <f>199 / 86400</f>
        <v>2.3032407407407407E-3</v>
      </c>
      <c r="L522" s="5">
        <f>28 / 86400</f>
        <v>3.2407407407407406E-4</v>
      </c>
    </row>
    <row r="523" spans="1:12" x14ac:dyDescent="0.25">
      <c r="A523" s="3">
        <v>45699.702025462961</v>
      </c>
      <c r="B523" t="s">
        <v>153</v>
      </c>
      <c r="C523" s="3">
        <v>45699.70211805556</v>
      </c>
      <c r="D523" t="s">
        <v>153</v>
      </c>
      <c r="E523" s="4">
        <v>2E-3</v>
      </c>
      <c r="F523" s="4">
        <v>215780.978</v>
      </c>
      <c r="G523" s="4">
        <v>215780.98</v>
      </c>
      <c r="H523" s="5">
        <f>0 / 86400</f>
        <v>0</v>
      </c>
      <c r="I523" t="s">
        <v>88</v>
      </c>
      <c r="J523" t="s">
        <v>29</v>
      </c>
      <c r="K523" s="5">
        <f>7 / 86400</f>
        <v>8.1018518518518516E-5</v>
      </c>
      <c r="L523" s="5">
        <f>3835 / 86400</f>
        <v>4.4386574074074071E-2</v>
      </c>
    </row>
    <row r="524" spans="1:12" x14ac:dyDescent="0.25">
      <c r="A524" s="3">
        <v>45699.746504629627</v>
      </c>
      <c r="B524" t="s">
        <v>153</v>
      </c>
      <c r="C524" s="3">
        <v>45699.752106481479</v>
      </c>
      <c r="D524" t="s">
        <v>44</v>
      </c>
      <c r="E524" s="4">
        <v>0.81399999999999995</v>
      </c>
      <c r="F524" s="4">
        <v>215780.98</v>
      </c>
      <c r="G524" s="4">
        <v>215781.79399999999</v>
      </c>
      <c r="H524" s="5">
        <f>140 / 86400</f>
        <v>1.6203703703703703E-3</v>
      </c>
      <c r="I524" t="s">
        <v>152</v>
      </c>
      <c r="J524" t="s">
        <v>128</v>
      </c>
      <c r="K524" s="5">
        <f>483 / 86400</f>
        <v>5.5902777777777773E-3</v>
      </c>
      <c r="L524" s="5">
        <f>48 / 86400</f>
        <v>5.5555555555555556E-4</v>
      </c>
    </row>
    <row r="525" spans="1:12" x14ac:dyDescent="0.25">
      <c r="A525" s="3">
        <v>45699.752662037034</v>
      </c>
      <c r="B525" t="s">
        <v>44</v>
      </c>
      <c r="C525" s="3">
        <v>45699.752708333333</v>
      </c>
      <c r="D525" t="s">
        <v>44</v>
      </c>
      <c r="E525" s="4">
        <v>0</v>
      </c>
      <c r="F525" s="4">
        <v>215781.79399999999</v>
      </c>
      <c r="G525" s="4">
        <v>215781.79399999999</v>
      </c>
      <c r="H525" s="5">
        <f>0 / 86400</f>
        <v>0</v>
      </c>
      <c r="I525" t="s">
        <v>88</v>
      </c>
      <c r="J525" t="s">
        <v>88</v>
      </c>
      <c r="K525" s="5">
        <f>4 / 86400</f>
        <v>4.6296296296296294E-5</v>
      </c>
      <c r="L525" s="5">
        <f>21365 / 86400</f>
        <v>0.24728009259259259</v>
      </c>
    </row>
    <row r="526" spans="1:12" x14ac:dyDescent="0.25">
      <c r="A526" s="11"/>
      <c r="B526" s="11"/>
      <c r="C526" s="11"/>
      <c r="D526" s="11"/>
      <c r="E526" s="11"/>
      <c r="F526" s="11"/>
      <c r="G526" s="11"/>
      <c r="H526" s="11"/>
      <c r="I526" s="11"/>
      <c r="J526" s="11"/>
    </row>
    <row r="527" spans="1:12" x14ac:dyDescent="0.25">
      <c r="A527" s="11"/>
      <c r="B527" s="11"/>
      <c r="C527" s="11"/>
      <c r="D527" s="11"/>
      <c r="E527" s="11"/>
      <c r="F527" s="11"/>
      <c r="G527" s="11"/>
      <c r="H527" s="11"/>
      <c r="I527" s="11"/>
      <c r="J527" s="11"/>
    </row>
    <row r="528" spans="1:12" s="10" customFormat="1" ht="20.100000000000001" customHeight="1" x14ac:dyDescent="0.35">
      <c r="A528" s="12" t="s">
        <v>463</v>
      </c>
      <c r="B528" s="12"/>
      <c r="C528" s="12"/>
      <c r="D528" s="12"/>
      <c r="E528" s="12"/>
      <c r="F528" s="12"/>
      <c r="G528" s="12"/>
      <c r="H528" s="12"/>
      <c r="I528" s="12"/>
      <c r="J528" s="12"/>
    </row>
    <row r="529" spans="1:12" x14ac:dyDescent="0.25">
      <c r="A529" s="11"/>
      <c r="B529" s="11"/>
      <c r="C529" s="11"/>
      <c r="D529" s="11"/>
      <c r="E529" s="11"/>
      <c r="F529" s="11"/>
      <c r="G529" s="11"/>
      <c r="H529" s="11"/>
      <c r="I529" s="11"/>
      <c r="J529" s="11"/>
    </row>
    <row r="530" spans="1:12" ht="30" x14ac:dyDescent="0.25">
      <c r="A530" s="2" t="s">
        <v>5</v>
      </c>
      <c r="B530" s="2" t="s">
        <v>6</v>
      </c>
      <c r="C530" s="2" t="s">
        <v>7</v>
      </c>
      <c r="D530" s="2" t="s">
        <v>8</v>
      </c>
      <c r="E530" s="2" t="s">
        <v>9</v>
      </c>
      <c r="F530" s="2" t="s">
        <v>10</v>
      </c>
      <c r="G530" s="2" t="s">
        <v>11</v>
      </c>
      <c r="H530" s="2" t="s">
        <v>12</v>
      </c>
      <c r="I530" s="2" t="s">
        <v>13</v>
      </c>
      <c r="J530" s="2" t="s">
        <v>14</v>
      </c>
      <c r="K530" s="2" t="s">
        <v>15</v>
      </c>
      <c r="L530" s="2" t="s">
        <v>16</v>
      </c>
    </row>
    <row r="531" spans="1:12" x14ac:dyDescent="0.25">
      <c r="A531" s="3">
        <v>45699.255474537036</v>
      </c>
      <c r="B531" t="s">
        <v>46</v>
      </c>
      <c r="C531" s="3">
        <v>45699.559189814812</v>
      </c>
      <c r="D531" t="s">
        <v>376</v>
      </c>
      <c r="E531" s="4">
        <v>99.587999999999994</v>
      </c>
      <c r="F531" s="4">
        <v>524832.973</v>
      </c>
      <c r="G531" s="4">
        <v>524932.56099999999</v>
      </c>
      <c r="H531" s="5">
        <f>11395 / 86400</f>
        <v>0.13188657407407409</v>
      </c>
      <c r="I531" t="s">
        <v>47</v>
      </c>
      <c r="J531" t="s">
        <v>31</v>
      </c>
      <c r="K531" s="5">
        <f>26240 / 86400</f>
        <v>0.3037037037037037</v>
      </c>
      <c r="L531" s="5">
        <f>23838 / 86400</f>
        <v>0.27590277777777777</v>
      </c>
    </row>
    <row r="532" spans="1:12" x14ac:dyDescent="0.25">
      <c r="A532" s="3">
        <v>45699.579618055555</v>
      </c>
      <c r="B532" t="s">
        <v>376</v>
      </c>
      <c r="C532" s="3">
        <v>45699.582905092597</v>
      </c>
      <c r="D532" t="s">
        <v>219</v>
      </c>
      <c r="E532" s="4">
        <v>0.28699999999999998</v>
      </c>
      <c r="F532" s="4">
        <v>524932.56099999999</v>
      </c>
      <c r="G532" s="4">
        <v>524932.848</v>
      </c>
      <c r="H532" s="5">
        <f>180 / 86400</f>
        <v>2.0833333333333333E-3</v>
      </c>
      <c r="I532" t="s">
        <v>34</v>
      </c>
      <c r="J532" t="s">
        <v>232</v>
      </c>
      <c r="K532" s="5">
        <f>284 / 86400</f>
        <v>3.2870370370370371E-3</v>
      </c>
      <c r="L532" s="5">
        <f>582 / 86400</f>
        <v>6.7361111111111111E-3</v>
      </c>
    </row>
    <row r="533" spans="1:12" x14ac:dyDescent="0.25">
      <c r="A533" s="3">
        <v>45699.589641203704</v>
      </c>
      <c r="B533" t="s">
        <v>377</v>
      </c>
      <c r="C533" s="3">
        <v>45699.727337962962</v>
      </c>
      <c r="D533" t="s">
        <v>105</v>
      </c>
      <c r="E533" s="4">
        <v>50.677999999940397</v>
      </c>
      <c r="F533" s="4">
        <v>524932.848</v>
      </c>
      <c r="G533" s="4">
        <v>524983.52599999995</v>
      </c>
      <c r="H533" s="5">
        <f>4000 / 86400</f>
        <v>4.6296296296296294E-2</v>
      </c>
      <c r="I533" t="s">
        <v>55</v>
      </c>
      <c r="J533" t="s">
        <v>19</v>
      </c>
      <c r="K533" s="5">
        <f>11897 / 86400</f>
        <v>0.13769675925925925</v>
      </c>
      <c r="L533" s="5">
        <f>220 / 86400</f>
        <v>2.5462962962962965E-3</v>
      </c>
    </row>
    <row r="534" spans="1:12" x14ac:dyDescent="0.25">
      <c r="A534" s="3">
        <v>45699.729884259257</v>
      </c>
      <c r="B534" t="s">
        <v>105</v>
      </c>
      <c r="C534" s="3">
        <v>45699.838171296295</v>
      </c>
      <c r="D534" t="s">
        <v>35</v>
      </c>
      <c r="E534" s="4">
        <v>52.638000000059606</v>
      </c>
      <c r="F534" s="4">
        <v>524983.52599999995</v>
      </c>
      <c r="G534" s="4">
        <v>525036.16399999999</v>
      </c>
      <c r="H534" s="5">
        <f>2480 / 86400</f>
        <v>2.8703703703703703E-2</v>
      </c>
      <c r="I534" t="s">
        <v>25</v>
      </c>
      <c r="J534" t="s">
        <v>152</v>
      </c>
      <c r="K534" s="5">
        <f>9356 / 86400</f>
        <v>0.10828703703703704</v>
      </c>
      <c r="L534" s="5">
        <f>1003 / 86400</f>
        <v>1.1608796296296296E-2</v>
      </c>
    </row>
    <row r="535" spans="1:12" x14ac:dyDescent="0.25">
      <c r="A535" s="3">
        <v>45699.849780092598</v>
      </c>
      <c r="B535" t="s">
        <v>378</v>
      </c>
      <c r="C535" s="3">
        <v>45699.856342592597</v>
      </c>
      <c r="D535" t="s">
        <v>46</v>
      </c>
      <c r="E535" s="4">
        <v>2.1640000000000001</v>
      </c>
      <c r="F535" s="4">
        <v>525036.16399999999</v>
      </c>
      <c r="G535" s="4">
        <v>525038.32799999998</v>
      </c>
      <c r="H535" s="5">
        <f>79 / 86400</f>
        <v>9.1435185185185185E-4</v>
      </c>
      <c r="I535" t="s">
        <v>285</v>
      </c>
      <c r="J535" t="s">
        <v>31</v>
      </c>
      <c r="K535" s="5">
        <f>566 / 86400</f>
        <v>6.5509259259259262E-3</v>
      </c>
      <c r="L535" s="5">
        <f>12411 / 86400</f>
        <v>0.14364583333333333</v>
      </c>
    </row>
    <row r="536" spans="1:12" x14ac:dyDescent="0.25">
      <c r="A536" s="11"/>
      <c r="B536" s="11"/>
      <c r="C536" s="11"/>
      <c r="D536" s="11"/>
      <c r="E536" s="11"/>
      <c r="F536" s="11"/>
      <c r="G536" s="11"/>
      <c r="H536" s="11"/>
      <c r="I536" s="11"/>
      <c r="J536" s="11"/>
    </row>
    <row r="537" spans="1:12" x14ac:dyDescent="0.25">
      <c r="A537" s="11"/>
      <c r="B537" s="11"/>
      <c r="C537" s="11"/>
      <c r="D537" s="11"/>
      <c r="E537" s="11"/>
      <c r="F537" s="11"/>
      <c r="G537" s="11"/>
      <c r="H537" s="11"/>
      <c r="I537" s="11"/>
      <c r="J537" s="11"/>
    </row>
    <row r="538" spans="1:12" s="10" customFormat="1" ht="20.100000000000001" customHeight="1" x14ac:dyDescent="0.35">
      <c r="A538" s="12" t="s">
        <v>464</v>
      </c>
      <c r="B538" s="12"/>
      <c r="C538" s="12"/>
      <c r="D538" s="12"/>
      <c r="E538" s="12"/>
      <c r="F538" s="12"/>
      <c r="G538" s="12"/>
      <c r="H538" s="12"/>
      <c r="I538" s="12"/>
      <c r="J538" s="12"/>
    </row>
    <row r="539" spans="1:12" x14ac:dyDescent="0.25">
      <c r="A539" s="11"/>
      <c r="B539" s="11"/>
      <c r="C539" s="11"/>
      <c r="D539" s="11"/>
      <c r="E539" s="11"/>
      <c r="F539" s="11"/>
      <c r="G539" s="11"/>
      <c r="H539" s="11"/>
      <c r="I539" s="11"/>
      <c r="J539" s="11"/>
    </row>
    <row r="540" spans="1:12" ht="30" x14ac:dyDescent="0.25">
      <c r="A540" s="2" t="s">
        <v>5</v>
      </c>
      <c r="B540" s="2" t="s">
        <v>6</v>
      </c>
      <c r="C540" s="2" t="s">
        <v>7</v>
      </c>
      <c r="D540" s="2" t="s">
        <v>8</v>
      </c>
      <c r="E540" s="2" t="s">
        <v>9</v>
      </c>
      <c r="F540" s="2" t="s">
        <v>10</v>
      </c>
      <c r="G540" s="2" t="s">
        <v>11</v>
      </c>
      <c r="H540" s="2" t="s">
        <v>12</v>
      </c>
      <c r="I540" s="2" t="s">
        <v>13</v>
      </c>
      <c r="J540" s="2" t="s">
        <v>14</v>
      </c>
      <c r="K540" s="2" t="s">
        <v>15</v>
      </c>
      <c r="L540" s="2" t="s">
        <v>16</v>
      </c>
    </row>
    <row r="541" spans="1:12" x14ac:dyDescent="0.25">
      <c r="A541" s="3">
        <v>45699.20212962963</v>
      </c>
      <c r="B541" t="s">
        <v>48</v>
      </c>
      <c r="C541" s="3">
        <v>45699.209641203706</v>
      </c>
      <c r="D541" t="s">
        <v>48</v>
      </c>
      <c r="E541" s="4">
        <v>1.6E-2</v>
      </c>
      <c r="F541" s="4">
        <v>344269.30800000002</v>
      </c>
      <c r="G541" s="4">
        <v>344269.32400000002</v>
      </c>
      <c r="H541" s="5">
        <f>639 / 86400</f>
        <v>7.3958333333333333E-3</v>
      </c>
      <c r="I541" t="s">
        <v>148</v>
      </c>
      <c r="J541" t="s">
        <v>88</v>
      </c>
      <c r="K541" s="5">
        <f>649 / 86400</f>
        <v>7.5115740740740742E-3</v>
      </c>
      <c r="L541" s="5">
        <f>17820 / 86400</f>
        <v>0.20624999999999999</v>
      </c>
    </row>
    <row r="542" spans="1:12" x14ac:dyDescent="0.25">
      <c r="A542" s="3">
        <v>45699.213761574079</v>
      </c>
      <c r="B542" t="s">
        <v>48</v>
      </c>
      <c r="C542" s="3">
        <v>45699.214189814811</v>
      </c>
      <c r="D542" t="s">
        <v>48</v>
      </c>
      <c r="E542" s="4">
        <v>0.02</v>
      </c>
      <c r="F542" s="4">
        <v>344269.32400000002</v>
      </c>
      <c r="G542" s="4">
        <v>344269.34399999998</v>
      </c>
      <c r="H542" s="5">
        <f>20 / 86400</f>
        <v>2.3148148148148149E-4</v>
      </c>
      <c r="I542" t="s">
        <v>128</v>
      </c>
      <c r="J542" t="s">
        <v>57</v>
      </c>
      <c r="K542" s="5">
        <f>36 / 86400</f>
        <v>4.1666666666666669E-4</v>
      </c>
      <c r="L542" s="5">
        <f>66 / 86400</f>
        <v>7.6388888888888893E-4</v>
      </c>
    </row>
    <row r="543" spans="1:12" x14ac:dyDescent="0.25">
      <c r="A543" s="3">
        <v>45699.214953703704</v>
      </c>
      <c r="B543" t="s">
        <v>48</v>
      </c>
      <c r="C543" s="3">
        <v>45699.227754629625</v>
      </c>
      <c r="D543" t="s">
        <v>360</v>
      </c>
      <c r="E543" s="4">
        <v>7.6749999999999998</v>
      </c>
      <c r="F543" s="4">
        <v>344269.34399999998</v>
      </c>
      <c r="G543" s="4">
        <v>344277.01899999997</v>
      </c>
      <c r="H543" s="5">
        <f>300 / 86400</f>
        <v>3.472222222222222E-3</v>
      </c>
      <c r="I543" t="s">
        <v>110</v>
      </c>
      <c r="J543" t="s">
        <v>141</v>
      </c>
      <c r="K543" s="5">
        <f>1106 / 86400</f>
        <v>1.2800925925925926E-2</v>
      </c>
      <c r="L543" s="5">
        <f>59 / 86400</f>
        <v>6.8287037037037036E-4</v>
      </c>
    </row>
    <row r="544" spans="1:12" x14ac:dyDescent="0.25">
      <c r="A544" s="3">
        <v>45699.228437500002</v>
      </c>
      <c r="B544" t="s">
        <v>360</v>
      </c>
      <c r="C544" s="3">
        <v>45699.260972222226</v>
      </c>
      <c r="D544" t="s">
        <v>277</v>
      </c>
      <c r="E544" s="4">
        <v>22.408000000000001</v>
      </c>
      <c r="F544" s="4">
        <v>344277.01899999997</v>
      </c>
      <c r="G544" s="4">
        <v>344299.42700000003</v>
      </c>
      <c r="H544" s="5">
        <f>440 / 86400</f>
        <v>5.092592592592593E-3</v>
      </c>
      <c r="I544" t="s">
        <v>263</v>
      </c>
      <c r="J544" t="s">
        <v>203</v>
      </c>
      <c r="K544" s="5">
        <f>2810 / 86400</f>
        <v>3.2523148148148148E-2</v>
      </c>
      <c r="L544" s="5">
        <f>129 / 86400</f>
        <v>1.4930555555555556E-3</v>
      </c>
    </row>
    <row r="545" spans="1:12" x14ac:dyDescent="0.25">
      <c r="A545" s="3">
        <v>45699.262465277774</v>
      </c>
      <c r="B545" t="s">
        <v>277</v>
      </c>
      <c r="C545" s="3">
        <v>45699.376446759255</v>
      </c>
      <c r="D545" t="s">
        <v>336</v>
      </c>
      <c r="E545" s="4">
        <v>51.466999999999999</v>
      </c>
      <c r="F545" s="4">
        <v>344299.42700000003</v>
      </c>
      <c r="G545" s="4">
        <v>344350.89399999997</v>
      </c>
      <c r="H545" s="5">
        <f>2958 / 86400</f>
        <v>3.4236111111111113E-2</v>
      </c>
      <c r="I545" t="s">
        <v>50</v>
      </c>
      <c r="J545" t="s">
        <v>22</v>
      </c>
      <c r="K545" s="5">
        <f>9848 / 86400</f>
        <v>0.11398148148148148</v>
      </c>
      <c r="L545" s="5">
        <f>117 / 86400</f>
        <v>1.3541666666666667E-3</v>
      </c>
    </row>
    <row r="546" spans="1:12" x14ac:dyDescent="0.25">
      <c r="A546" s="3">
        <v>45699.377800925926</v>
      </c>
      <c r="B546" t="s">
        <v>336</v>
      </c>
      <c r="C546" s="3">
        <v>45699.380057870367</v>
      </c>
      <c r="D546" t="s">
        <v>379</v>
      </c>
      <c r="E546" s="4">
        <v>0.48899999999999999</v>
      </c>
      <c r="F546" s="4">
        <v>344350.89399999997</v>
      </c>
      <c r="G546" s="4">
        <v>344351.38299999997</v>
      </c>
      <c r="H546" s="5">
        <f>80 / 86400</f>
        <v>9.2592592592592596E-4</v>
      </c>
      <c r="I546" t="s">
        <v>137</v>
      </c>
      <c r="J546" t="s">
        <v>127</v>
      </c>
      <c r="K546" s="5">
        <f>195 / 86400</f>
        <v>2.2569444444444442E-3</v>
      </c>
      <c r="L546" s="5">
        <f>305 / 86400</f>
        <v>3.5300925925925925E-3</v>
      </c>
    </row>
    <row r="547" spans="1:12" x14ac:dyDescent="0.25">
      <c r="A547" s="3">
        <v>45699.383587962962</v>
      </c>
      <c r="B547" t="s">
        <v>379</v>
      </c>
      <c r="C547" s="3">
        <v>45699.387986111113</v>
      </c>
      <c r="D547" t="s">
        <v>380</v>
      </c>
      <c r="E547" s="4">
        <v>0.873</v>
      </c>
      <c r="F547" s="4">
        <v>344351.38299999997</v>
      </c>
      <c r="G547" s="4">
        <v>344352.25599999999</v>
      </c>
      <c r="H547" s="5">
        <f>180 / 86400</f>
        <v>2.0833333333333333E-3</v>
      </c>
      <c r="I547" t="s">
        <v>147</v>
      </c>
      <c r="J547" t="s">
        <v>125</v>
      </c>
      <c r="K547" s="5">
        <f>380 / 86400</f>
        <v>4.3981481481481484E-3</v>
      </c>
      <c r="L547" s="5">
        <f>314 / 86400</f>
        <v>3.6342592592592594E-3</v>
      </c>
    </row>
    <row r="548" spans="1:12" x14ac:dyDescent="0.25">
      <c r="A548" s="3">
        <v>45699.39162037037</v>
      </c>
      <c r="B548" t="s">
        <v>381</v>
      </c>
      <c r="C548" s="3">
        <v>45699.392407407402</v>
      </c>
      <c r="D548" t="s">
        <v>380</v>
      </c>
      <c r="E548" s="4">
        <v>5.8000000000000003E-2</v>
      </c>
      <c r="F548" s="4">
        <v>344352.25599999999</v>
      </c>
      <c r="G548" s="4">
        <v>344352.31400000001</v>
      </c>
      <c r="H548" s="5">
        <f>19 / 86400</f>
        <v>2.199074074074074E-4</v>
      </c>
      <c r="I548" t="s">
        <v>128</v>
      </c>
      <c r="J548" t="s">
        <v>157</v>
      </c>
      <c r="K548" s="5">
        <f>67 / 86400</f>
        <v>7.7546296296296293E-4</v>
      </c>
      <c r="L548" s="5">
        <f>91 / 86400</f>
        <v>1.0532407407407407E-3</v>
      </c>
    </row>
    <row r="549" spans="1:12" x14ac:dyDescent="0.25">
      <c r="A549" s="3">
        <v>45699.393460648149</v>
      </c>
      <c r="B549" t="s">
        <v>380</v>
      </c>
      <c r="C549" s="3">
        <v>45699.429097222222</v>
      </c>
      <c r="D549" t="s">
        <v>349</v>
      </c>
      <c r="E549" s="4">
        <v>7.944</v>
      </c>
      <c r="F549" s="4">
        <v>344352.31400000001</v>
      </c>
      <c r="G549" s="4">
        <v>344360.25799999997</v>
      </c>
      <c r="H549" s="5">
        <f>1340 / 86400</f>
        <v>1.5509259259259259E-2</v>
      </c>
      <c r="I549" t="s">
        <v>162</v>
      </c>
      <c r="J549" t="s">
        <v>127</v>
      </c>
      <c r="K549" s="5">
        <f>3079 / 86400</f>
        <v>3.5636574074074077E-2</v>
      </c>
      <c r="L549" s="5">
        <f>18 / 86400</f>
        <v>2.0833333333333335E-4</v>
      </c>
    </row>
    <row r="550" spans="1:12" x14ac:dyDescent="0.25">
      <c r="A550" s="3">
        <v>45699.429305555561</v>
      </c>
      <c r="B550" t="s">
        <v>349</v>
      </c>
      <c r="C550" s="3">
        <v>45699.44494212963</v>
      </c>
      <c r="D550" t="s">
        <v>382</v>
      </c>
      <c r="E550" s="4">
        <v>6.117</v>
      </c>
      <c r="F550" s="4">
        <v>344360.25799999997</v>
      </c>
      <c r="G550" s="4">
        <v>344366.375</v>
      </c>
      <c r="H550" s="5">
        <f>499 / 86400</f>
        <v>5.7754629629629631E-3</v>
      </c>
      <c r="I550" t="s">
        <v>62</v>
      </c>
      <c r="J550" t="s">
        <v>37</v>
      </c>
      <c r="K550" s="5">
        <f>1351 / 86400</f>
        <v>1.5636574074074074E-2</v>
      </c>
      <c r="L550" s="5">
        <f>120 / 86400</f>
        <v>1.3888888888888889E-3</v>
      </c>
    </row>
    <row r="551" spans="1:12" x14ac:dyDescent="0.25">
      <c r="A551" s="3">
        <v>45699.446331018524</v>
      </c>
      <c r="B551" t="s">
        <v>382</v>
      </c>
      <c r="C551" s="3">
        <v>45699.518553240741</v>
      </c>
      <c r="D551" t="s">
        <v>159</v>
      </c>
      <c r="E551" s="4">
        <v>36.792000000000002</v>
      </c>
      <c r="F551" s="4">
        <v>344366.375</v>
      </c>
      <c r="G551" s="4">
        <v>344403.16700000002</v>
      </c>
      <c r="H551" s="5">
        <f>1400 / 86400</f>
        <v>1.6203703703703703E-2</v>
      </c>
      <c r="I551" t="s">
        <v>107</v>
      </c>
      <c r="J551" t="s">
        <v>108</v>
      </c>
      <c r="K551" s="5">
        <f>6240 / 86400</f>
        <v>7.2222222222222215E-2</v>
      </c>
      <c r="L551" s="5">
        <f>140 / 86400</f>
        <v>1.6203703703703703E-3</v>
      </c>
    </row>
    <row r="552" spans="1:12" x14ac:dyDescent="0.25">
      <c r="A552" s="3">
        <v>45699.520173611112</v>
      </c>
      <c r="B552" t="s">
        <v>159</v>
      </c>
      <c r="C552" s="3">
        <v>45699.524560185186</v>
      </c>
      <c r="D552" t="s">
        <v>105</v>
      </c>
      <c r="E552" s="4">
        <v>1.232</v>
      </c>
      <c r="F552" s="4">
        <v>344403.16700000002</v>
      </c>
      <c r="G552" s="4">
        <v>344404.39899999998</v>
      </c>
      <c r="H552" s="5">
        <f>80 / 86400</f>
        <v>9.2592592592592596E-4</v>
      </c>
      <c r="I552" t="s">
        <v>108</v>
      </c>
      <c r="J552" t="s">
        <v>131</v>
      </c>
      <c r="K552" s="5">
        <f>379 / 86400</f>
        <v>4.386574074074074E-3</v>
      </c>
      <c r="L552" s="5">
        <f>4529 / 86400</f>
        <v>5.2418981481481483E-2</v>
      </c>
    </row>
    <row r="553" spans="1:12" x14ac:dyDescent="0.25">
      <c r="A553" s="3">
        <v>45699.576979166668</v>
      </c>
      <c r="B553" t="s">
        <v>105</v>
      </c>
      <c r="C553" s="3">
        <v>45699.578703703708</v>
      </c>
      <c r="D553" t="s">
        <v>151</v>
      </c>
      <c r="E553" s="4">
        <v>0.155</v>
      </c>
      <c r="F553" s="4">
        <v>344404.39899999998</v>
      </c>
      <c r="G553" s="4">
        <v>344404.554</v>
      </c>
      <c r="H553" s="5">
        <f>79 / 86400</f>
        <v>9.1435185185185185E-4</v>
      </c>
      <c r="I553" t="s">
        <v>127</v>
      </c>
      <c r="J553" t="s">
        <v>232</v>
      </c>
      <c r="K553" s="5">
        <f>149 / 86400</f>
        <v>1.724537037037037E-3</v>
      </c>
      <c r="L553" s="5">
        <f>122 / 86400</f>
        <v>1.4120370370370369E-3</v>
      </c>
    </row>
    <row r="554" spans="1:12" x14ac:dyDescent="0.25">
      <c r="A554" s="3">
        <v>45699.58011574074</v>
      </c>
      <c r="B554" t="s">
        <v>151</v>
      </c>
      <c r="C554" s="3">
        <v>45699.692731481482</v>
      </c>
      <c r="D554" t="s">
        <v>336</v>
      </c>
      <c r="E554" s="4">
        <v>49.914000000000001</v>
      </c>
      <c r="F554" s="4">
        <v>344404.554</v>
      </c>
      <c r="G554" s="4">
        <v>344454.46799999999</v>
      </c>
      <c r="H554" s="5">
        <f>3320 / 86400</f>
        <v>3.8425925925925926E-2</v>
      </c>
      <c r="I554" t="s">
        <v>59</v>
      </c>
      <c r="J554" t="s">
        <v>26</v>
      </c>
      <c r="K554" s="5">
        <f>9729 / 86400</f>
        <v>0.11260416666666667</v>
      </c>
      <c r="L554" s="5">
        <f>141 / 86400</f>
        <v>1.6319444444444445E-3</v>
      </c>
    </row>
    <row r="555" spans="1:12" x14ac:dyDescent="0.25">
      <c r="A555" s="3">
        <v>45699.694363425922</v>
      </c>
      <c r="B555" t="s">
        <v>336</v>
      </c>
      <c r="C555" s="3">
        <v>45699.697638888887</v>
      </c>
      <c r="D555" t="s">
        <v>218</v>
      </c>
      <c r="E555" s="4">
        <v>0.11</v>
      </c>
      <c r="F555" s="4">
        <v>344454.46799999999</v>
      </c>
      <c r="G555" s="4">
        <v>344454.57799999998</v>
      </c>
      <c r="H555" s="5">
        <f>161 / 86400</f>
        <v>1.8634259259259259E-3</v>
      </c>
      <c r="I555" t="s">
        <v>131</v>
      </c>
      <c r="J555" t="s">
        <v>29</v>
      </c>
      <c r="K555" s="5">
        <f>283 / 86400</f>
        <v>3.2754629629629631E-3</v>
      </c>
      <c r="L555" s="5">
        <f>40 / 86400</f>
        <v>4.6296296296296298E-4</v>
      </c>
    </row>
    <row r="556" spans="1:12" x14ac:dyDescent="0.25">
      <c r="A556" s="3">
        <v>45699.698101851856</v>
      </c>
      <c r="B556" t="s">
        <v>218</v>
      </c>
      <c r="C556" s="3">
        <v>45699.84951388889</v>
      </c>
      <c r="D556" t="s">
        <v>105</v>
      </c>
      <c r="E556" s="4">
        <v>50.234000000000002</v>
      </c>
      <c r="F556" s="4">
        <v>344454.57799999998</v>
      </c>
      <c r="G556" s="4">
        <v>344504.81199999998</v>
      </c>
      <c r="H556" s="5">
        <f>5137 / 86400</f>
        <v>5.9456018518518519E-2</v>
      </c>
      <c r="I556" t="s">
        <v>32</v>
      </c>
      <c r="J556" t="s">
        <v>31</v>
      </c>
      <c r="K556" s="5">
        <f>13082 / 86400</f>
        <v>0.15141203703703704</v>
      </c>
      <c r="L556" s="5">
        <f>249 / 86400</f>
        <v>2.8819444444444444E-3</v>
      </c>
    </row>
    <row r="557" spans="1:12" x14ac:dyDescent="0.25">
      <c r="A557" s="3">
        <v>45699.852395833332</v>
      </c>
      <c r="B557" t="s">
        <v>105</v>
      </c>
      <c r="C557" s="3">
        <v>45699.854004629626</v>
      </c>
      <c r="D557" t="s">
        <v>151</v>
      </c>
      <c r="E557" s="4">
        <v>0.216</v>
      </c>
      <c r="F557" s="4">
        <v>344504.81199999998</v>
      </c>
      <c r="G557" s="4">
        <v>344505.02799999999</v>
      </c>
      <c r="H557" s="5">
        <f>39 / 86400</f>
        <v>4.5138888888888887E-4</v>
      </c>
      <c r="I557" t="s">
        <v>42</v>
      </c>
      <c r="J557" t="s">
        <v>128</v>
      </c>
      <c r="K557" s="5">
        <f>139 / 86400</f>
        <v>1.6087962962962963E-3</v>
      </c>
      <c r="L557" s="5">
        <f>441 / 86400</f>
        <v>5.1041666666666666E-3</v>
      </c>
    </row>
    <row r="558" spans="1:12" x14ac:dyDescent="0.25">
      <c r="A558" s="3">
        <v>45699.8591087963</v>
      </c>
      <c r="B558" t="s">
        <v>151</v>
      </c>
      <c r="C558" s="3">
        <v>45699.863344907411</v>
      </c>
      <c r="D558" t="s">
        <v>383</v>
      </c>
      <c r="E558" s="4">
        <v>0.83099999999999996</v>
      </c>
      <c r="F558" s="4">
        <v>344505.02799999999</v>
      </c>
      <c r="G558" s="4">
        <v>344505.859</v>
      </c>
      <c r="H558" s="5">
        <f>140 / 86400</f>
        <v>1.6203703703703703E-3</v>
      </c>
      <c r="I558" t="s">
        <v>143</v>
      </c>
      <c r="J558" t="s">
        <v>125</v>
      </c>
      <c r="K558" s="5">
        <f>366 / 86400</f>
        <v>4.2361111111111115E-3</v>
      </c>
      <c r="L558" s="5">
        <f>198 / 86400</f>
        <v>2.2916666666666667E-3</v>
      </c>
    </row>
    <row r="559" spans="1:12" x14ac:dyDescent="0.25">
      <c r="A559" s="3">
        <v>45699.865636574075</v>
      </c>
      <c r="B559" t="s">
        <v>383</v>
      </c>
      <c r="C559" s="3">
        <v>45699.866701388892</v>
      </c>
      <c r="D559" t="s">
        <v>49</v>
      </c>
      <c r="E559" s="4">
        <v>2.8000000000000001E-2</v>
      </c>
      <c r="F559" s="4">
        <v>344505.859</v>
      </c>
      <c r="G559" s="4">
        <v>344505.88699999999</v>
      </c>
      <c r="H559" s="5">
        <f>20 / 86400</f>
        <v>2.3148148148148149E-4</v>
      </c>
      <c r="I559" t="s">
        <v>28</v>
      </c>
      <c r="J559" t="s">
        <v>29</v>
      </c>
      <c r="K559" s="5">
        <f>91 / 86400</f>
        <v>1.0532407407407407E-3</v>
      </c>
      <c r="L559" s="5">
        <f>11516 / 86400</f>
        <v>0.13328703703703704</v>
      </c>
    </row>
    <row r="560" spans="1:12" x14ac:dyDescent="0.25">
      <c r="A560" s="11"/>
      <c r="B560" s="11"/>
      <c r="C560" s="11"/>
      <c r="D560" s="11"/>
      <c r="E560" s="11"/>
      <c r="F560" s="11"/>
      <c r="G560" s="11"/>
      <c r="H560" s="11"/>
      <c r="I560" s="11"/>
      <c r="J560" s="11"/>
    </row>
    <row r="561" spans="1:12" x14ac:dyDescent="0.25">
      <c r="A561" s="11"/>
      <c r="B561" s="11"/>
      <c r="C561" s="11"/>
      <c r="D561" s="11"/>
      <c r="E561" s="11"/>
      <c r="F561" s="11"/>
      <c r="G561" s="11"/>
      <c r="H561" s="11"/>
      <c r="I561" s="11"/>
      <c r="J561" s="11"/>
    </row>
    <row r="562" spans="1:12" s="10" customFormat="1" ht="20.100000000000001" customHeight="1" x14ac:dyDescent="0.35">
      <c r="A562" s="12" t="s">
        <v>465</v>
      </c>
      <c r="B562" s="12"/>
      <c r="C562" s="12"/>
      <c r="D562" s="12"/>
      <c r="E562" s="12"/>
      <c r="F562" s="12"/>
      <c r="G562" s="12"/>
      <c r="H562" s="12"/>
      <c r="I562" s="12"/>
      <c r="J562" s="12"/>
    </row>
    <row r="563" spans="1:12" x14ac:dyDescent="0.25">
      <c r="A563" s="11"/>
      <c r="B563" s="11"/>
      <c r="C563" s="11"/>
      <c r="D563" s="11"/>
      <c r="E563" s="11"/>
      <c r="F563" s="11"/>
      <c r="G563" s="11"/>
      <c r="H563" s="11"/>
      <c r="I563" s="11"/>
      <c r="J563" s="11"/>
    </row>
    <row r="564" spans="1:12" ht="30" x14ac:dyDescent="0.25">
      <c r="A564" s="2" t="s">
        <v>5</v>
      </c>
      <c r="B564" s="2" t="s">
        <v>6</v>
      </c>
      <c r="C564" s="2" t="s">
        <v>7</v>
      </c>
      <c r="D564" s="2" t="s">
        <v>8</v>
      </c>
      <c r="E564" s="2" t="s">
        <v>9</v>
      </c>
      <c r="F564" s="2" t="s">
        <v>10</v>
      </c>
      <c r="G564" s="2" t="s">
        <v>11</v>
      </c>
      <c r="H564" s="2" t="s">
        <v>12</v>
      </c>
      <c r="I564" s="2" t="s">
        <v>13</v>
      </c>
      <c r="J564" s="2" t="s">
        <v>14</v>
      </c>
      <c r="K564" s="2" t="s">
        <v>15</v>
      </c>
      <c r="L564" s="2" t="s">
        <v>16</v>
      </c>
    </row>
    <row r="565" spans="1:12" x14ac:dyDescent="0.25">
      <c r="A565" s="3">
        <v>45699.25135416667</v>
      </c>
      <c r="B565" t="s">
        <v>51</v>
      </c>
      <c r="C565" s="3">
        <v>45699.256898148145</v>
      </c>
      <c r="D565" t="s">
        <v>126</v>
      </c>
      <c r="E565" s="4">
        <v>0.36199999999999999</v>
      </c>
      <c r="F565" s="4">
        <v>425708.739</v>
      </c>
      <c r="G565" s="4">
        <v>425709.10100000002</v>
      </c>
      <c r="H565" s="5">
        <f>299 / 86400</f>
        <v>3.460648148148148E-3</v>
      </c>
      <c r="I565" t="s">
        <v>42</v>
      </c>
      <c r="J565" t="s">
        <v>157</v>
      </c>
      <c r="K565" s="5">
        <f>479 / 86400</f>
        <v>5.5439814814814813E-3</v>
      </c>
      <c r="L565" s="5">
        <f>21771 / 86400</f>
        <v>0.25197916666666664</v>
      </c>
    </row>
    <row r="566" spans="1:12" x14ac:dyDescent="0.25">
      <c r="A566" s="3">
        <v>45699.257523148146</v>
      </c>
      <c r="B566" t="s">
        <v>126</v>
      </c>
      <c r="C566" s="3">
        <v>45699.361539351856</v>
      </c>
      <c r="D566" t="s">
        <v>159</v>
      </c>
      <c r="E566" s="4">
        <v>46.320999999999998</v>
      </c>
      <c r="F566" s="4">
        <v>425709.10100000002</v>
      </c>
      <c r="G566" s="4">
        <v>425755.42200000002</v>
      </c>
      <c r="H566" s="5">
        <f>2540 / 86400</f>
        <v>2.9398148148148149E-2</v>
      </c>
      <c r="I566" t="s">
        <v>263</v>
      </c>
      <c r="J566" t="s">
        <v>22</v>
      </c>
      <c r="K566" s="5">
        <f>8987 / 86400</f>
        <v>0.10401620370370371</v>
      </c>
      <c r="L566" s="5">
        <f>694 / 86400</f>
        <v>8.0324074074074082E-3</v>
      </c>
    </row>
    <row r="567" spans="1:12" x14ac:dyDescent="0.25">
      <c r="A567" s="3">
        <v>45699.369571759264</v>
      </c>
      <c r="B567" t="s">
        <v>159</v>
      </c>
      <c r="C567" s="3">
        <v>45699.497256944444</v>
      </c>
      <c r="D567" t="s">
        <v>384</v>
      </c>
      <c r="E567" s="4">
        <v>51.098999999999997</v>
      </c>
      <c r="F567" s="4">
        <v>425755.42200000002</v>
      </c>
      <c r="G567" s="4">
        <v>425806.52100000001</v>
      </c>
      <c r="H567" s="5">
        <f>3618 / 86400</f>
        <v>4.1875000000000002E-2</v>
      </c>
      <c r="I567" t="s">
        <v>36</v>
      </c>
      <c r="J567" t="s">
        <v>42</v>
      </c>
      <c r="K567" s="5">
        <f>11032 / 86400</f>
        <v>0.12768518518518518</v>
      </c>
      <c r="L567" s="5">
        <f>2895 / 86400</f>
        <v>3.3506944444444443E-2</v>
      </c>
    </row>
    <row r="568" spans="1:12" x14ac:dyDescent="0.25">
      <c r="A568" s="3">
        <v>45699.530763888892</v>
      </c>
      <c r="B568" t="s">
        <v>384</v>
      </c>
      <c r="C568" s="3">
        <v>45699.660428240742</v>
      </c>
      <c r="D568" t="s">
        <v>105</v>
      </c>
      <c r="E568" s="4">
        <v>49.93</v>
      </c>
      <c r="F568" s="4">
        <v>425806.52100000001</v>
      </c>
      <c r="G568" s="4">
        <v>425856.451</v>
      </c>
      <c r="H568" s="5">
        <f>3478 / 86400</f>
        <v>4.0254629629629626E-2</v>
      </c>
      <c r="I568" t="s">
        <v>62</v>
      </c>
      <c r="J568" t="s">
        <v>37</v>
      </c>
      <c r="K568" s="5">
        <f>11202 / 86400</f>
        <v>0.12965277777777778</v>
      </c>
      <c r="L568" s="5">
        <f>508 / 86400</f>
        <v>5.8796296296296296E-3</v>
      </c>
    </row>
    <row r="569" spans="1:12" x14ac:dyDescent="0.25">
      <c r="A569" s="3">
        <v>45699.666307870371</v>
      </c>
      <c r="B569" t="s">
        <v>105</v>
      </c>
      <c r="C569" s="3">
        <v>45699.756701388891</v>
      </c>
      <c r="D569" t="s">
        <v>385</v>
      </c>
      <c r="E569" s="4">
        <v>34.305999999999997</v>
      </c>
      <c r="F569" s="4">
        <v>425856.451</v>
      </c>
      <c r="G569" s="4">
        <v>425890.75699999998</v>
      </c>
      <c r="H569" s="5">
        <f>3418 / 86400</f>
        <v>3.9560185185185184E-2</v>
      </c>
      <c r="I569" t="s">
        <v>36</v>
      </c>
      <c r="J569" t="s">
        <v>37</v>
      </c>
      <c r="K569" s="5">
        <f>7809 / 86400</f>
        <v>9.0381944444444445E-2</v>
      </c>
      <c r="L569" s="5">
        <f>201 / 86400</f>
        <v>2.3263888888888887E-3</v>
      </c>
    </row>
    <row r="570" spans="1:12" x14ac:dyDescent="0.25">
      <c r="A570" s="3">
        <v>45699.759027777778</v>
      </c>
      <c r="B570" t="s">
        <v>191</v>
      </c>
      <c r="C570" s="3">
        <v>45699.761944444443</v>
      </c>
      <c r="D570" t="s">
        <v>126</v>
      </c>
      <c r="E570" s="4">
        <v>1.133</v>
      </c>
      <c r="F570" s="4">
        <v>425890.75699999998</v>
      </c>
      <c r="G570" s="4">
        <v>425891.89</v>
      </c>
      <c r="H570" s="5">
        <f>20 / 86400</f>
        <v>2.3148148148148149E-4</v>
      </c>
      <c r="I570" t="s">
        <v>143</v>
      </c>
      <c r="J570" t="s">
        <v>37</v>
      </c>
      <c r="K570" s="5">
        <f>252 / 86400</f>
        <v>2.9166666666666668E-3</v>
      </c>
      <c r="L570" s="5">
        <f>725 / 86400</f>
        <v>8.3912037037037045E-3</v>
      </c>
    </row>
    <row r="571" spans="1:12" x14ac:dyDescent="0.25">
      <c r="A571" s="3">
        <v>45699.770335648151</v>
      </c>
      <c r="B571" t="s">
        <v>126</v>
      </c>
      <c r="C571" s="3">
        <v>45699.771296296298</v>
      </c>
      <c r="D571" t="s">
        <v>51</v>
      </c>
      <c r="E571" s="4">
        <v>0.23300000000000001</v>
      </c>
      <c r="F571" s="4">
        <v>425891.89</v>
      </c>
      <c r="G571" s="4">
        <v>425892.12300000002</v>
      </c>
      <c r="H571" s="5">
        <f>0 / 86400</f>
        <v>0</v>
      </c>
      <c r="I571" t="s">
        <v>26</v>
      </c>
      <c r="J571" t="s">
        <v>112</v>
      </c>
      <c r="K571" s="5">
        <f>83 / 86400</f>
        <v>9.6064814814814819E-4</v>
      </c>
      <c r="L571" s="5">
        <f>131 / 86400</f>
        <v>1.5162037037037036E-3</v>
      </c>
    </row>
    <row r="572" spans="1:12" x14ac:dyDescent="0.25">
      <c r="A572" s="3">
        <v>45699.772812499999</v>
      </c>
      <c r="B572" t="s">
        <v>51</v>
      </c>
      <c r="C572" s="3">
        <v>45699.774270833332</v>
      </c>
      <c r="D572" t="s">
        <v>51</v>
      </c>
      <c r="E572" s="4">
        <v>2.5000000000000001E-2</v>
      </c>
      <c r="F572" s="4">
        <v>425892.12300000002</v>
      </c>
      <c r="G572" s="4">
        <v>425892.14799999999</v>
      </c>
      <c r="H572" s="5">
        <f>80 / 86400</f>
        <v>9.2592592592592596E-4</v>
      </c>
      <c r="I572" t="s">
        <v>157</v>
      </c>
      <c r="J572" t="s">
        <v>29</v>
      </c>
      <c r="K572" s="5">
        <f>125 / 86400</f>
        <v>1.4467592592592592E-3</v>
      </c>
      <c r="L572" s="5">
        <f>19502 / 86400</f>
        <v>0.22571759259259258</v>
      </c>
    </row>
    <row r="573" spans="1:12" x14ac:dyDescent="0.25">
      <c r="A573" s="11"/>
      <c r="B573" s="11"/>
      <c r="C573" s="11"/>
      <c r="D573" s="11"/>
      <c r="E573" s="11"/>
      <c r="F573" s="11"/>
      <c r="G573" s="11"/>
      <c r="H573" s="11"/>
      <c r="I573" s="11"/>
      <c r="J573" s="11"/>
    </row>
    <row r="574" spans="1:12" x14ac:dyDescent="0.25">
      <c r="A574" s="11"/>
      <c r="B574" s="11"/>
      <c r="C574" s="11"/>
      <c r="D574" s="11"/>
      <c r="E574" s="11"/>
      <c r="F574" s="11"/>
      <c r="G574" s="11"/>
      <c r="H574" s="11"/>
      <c r="I574" s="11"/>
      <c r="J574" s="11"/>
    </row>
    <row r="575" spans="1:12" s="10" customFormat="1" ht="20.100000000000001" customHeight="1" x14ac:dyDescent="0.35">
      <c r="A575" s="12" t="s">
        <v>466</v>
      </c>
      <c r="B575" s="12"/>
      <c r="C575" s="12"/>
      <c r="D575" s="12"/>
      <c r="E575" s="12"/>
      <c r="F575" s="12"/>
      <c r="G575" s="12"/>
      <c r="H575" s="12"/>
      <c r="I575" s="12"/>
      <c r="J575" s="12"/>
    </row>
    <row r="576" spans="1:12" x14ac:dyDescent="0.25">
      <c r="A576" s="11"/>
      <c r="B576" s="11"/>
      <c r="C576" s="11"/>
      <c r="D576" s="11"/>
      <c r="E576" s="11"/>
      <c r="F576" s="11"/>
      <c r="G576" s="11"/>
      <c r="H576" s="11"/>
      <c r="I576" s="11"/>
      <c r="J576" s="11"/>
    </row>
    <row r="577" spans="1:12" ht="30" x14ac:dyDescent="0.25">
      <c r="A577" s="2" t="s">
        <v>5</v>
      </c>
      <c r="B577" s="2" t="s">
        <v>6</v>
      </c>
      <c r="C577" s="2" t="s">
        <v>7</v>
      </c>
      <c r="D577" s="2" t="s">
        <v>8</v>
      </c>
      <c r="E577" s="2" t="s">
        <v>9</v>
      </c>
      <c r="F577" s="2" t="s">
        <v>10</v>
      </c>
      <c r="G577" s="2" t="s">
        <v>11</v>
      </c>
      <c r="H577" s="2" t="s">
        <v>12</v>
      </c>
      <c r="I577" s="2" t="s">
        <v>13</v>
      </c>
      <c r="J577" s="2" t="s">
        <v>14</v>
      </c>
      <c r="K577" s="2" t="s">
        <v>15</v>
      </c>
      <c r="L577" s="2" t="s">
        <v>16</v>
      </c>
    </row>
    <row r="578" spans="1:12" x14ac:dyDescent="0.25">
      <c r="A578" s="3">
        <v>45699.229189814811</v>
      </c>
      <c r="B578" t="s">
        <v>30</v>
      </c>
      <c r="C578" s="3">
        <v>45699.322939814811</v>
      </c>
      <c r="D578" t="s">
        <v>386</v>
      </c>
      <c r="E578" s="4">
        <v>30.856000000000002</v>
      </c>
      <c r="F578" s="4">
        <v>12478.583000000001</v>
      </c>
      <c r="G578" s="4">
        <v>12509.439</v>
      </c>
      <c r="H578" s="5">
        <f>3119 / 86400</f>
        <v>3.6099537037037034E-2</v>
      </c>
      <c r="I578" t="s">
        <v>62</v>
      </c>
      <c r="J578" t="s">
        <v>31</v>
      </c>
      <c r="K578" s="5">
        <f>8100 / 86400</f>
        <v>9.375E-2</v>
      </c>
      <c r="L578" s="5">
        <f>19854 / 86400</f>
        <v>0.22979166666666667</v>
      </c>
    </row>
    <row r="579" spans="1:12" x14ac:dyDescent="0.25">
      <c r="A579" s="3">
        <v>45699.323541666672</v>
      </c>
      <c r="B579" t="s">
        <v>386</v>
      </c>
      <c r="C579" s="3">
        <v>45699.513344907406</v>
      </c>
      <c r="D579" t="s">
        <v>105</v>
      </c>
      <c r="E579" s="4">
        <v>67.524000000000001</v>
      </c>
      <c r="F579" s="4">
        <v>12509.439</v>
      </c>
      <c r="G579" s="4">
        <v>12576.963</v>
      </c>
      <c r="H579" s="5">
        <f>6608 / 86400</f>
        <v>7.6481481481481484E-2</v>
      </c>
      <c r="I579" t="s">
        <v>52</v>
      </c>
      <c r="J579" t="s">
        <v>19</v>
      </c>
      <c r="K579" s="5">
        <f>16399 / 86400</f>
        <v>0.18980324074074073</v>
      </c>
      <c r="L579" s="5">
        <f>100 / 86400</f>
        <v>1.1574074074074073E-3</v>
      </c>
    </row>
    <row r="580" spans="1:12" x14ac:dyDescent="0.25">
      <c r="A580" s="3">
        <v>45699.514502314814</v>
      </c>
      <c r="B580" t="s">
        <v>105</v>
      </c>
      <c r="C580" s="3">
        <v>45699.516805555555</v>
      </c>
      <c r="D580" t="s">
        <v>279</v>
      </c>
      <c r="E580" s="4">
        <v>0.67300000000000004</v>
      </c>
      <c r="F580" s="4">
        <v>12576.963</v>
      </c>
      <c r="G580" s="4">
        <v>12577.636</v>
      </c>
      <c r="H580" s="5">
        <f>58 / 86400</f>
        <v>6.7129629629629625E-4</v>
      </c>
      <c r="I580" t="s">
        <v>137</v>
      </c>
      <c r="J580" t="s">
        <v>131</v>
      </c>
      <c r="K580" s="5">
        <f>199 / 86400</f>
        <v>2.3032407407407407E-3</v>
      </c>
      <c r="L580" s="5">
        <f>1224 / 86400</f>
        <v>1.4166666666666666E-2</v>
      </c>
    </row>
    <row r="581" spans="1:12" x14ac:dyDescent="0.25">
      <c r="A581" s="3">
        <v>45699.530972222223</v>
      </c>
      <c r="B581" t="s">
        <v>279</v>
      </c>
      <c r="C581" s="3">
        <v>45699.533738425926</v>
      </c>
      <c r="D581" t="s">
        <v>44</v>
      </c>
      <c r="E581" s="4">
        <v>0.217</v>
      </c>
      <c r="F581" s="4">
        <v>12577.636</v>
      </c>
      <c r="G581" s="4">
        <v>12577.852999999999</v>
      </c>
      <c r="H581" s="5">
        <f>120 / 86400</f>
        <v>1.3888888888888889E-3</v>
      </c>
      <c r="I581" t="s">
        <v>131</v>
      </c>
      <c r="J581" t="s">
        <v>157</v>
      </c>
      <c r="K581" s="5">
        <f>238 / 86400</f>
        <v>2.7546296296296294E-3</v>
      </c>
      <c r="L581" s="5">
        <f>181 / 86400</f>
        <v>2.0949074074074073E-3</v>
      </c>
    </row>
    <row r="582" spans="1:12" x14ac:dyDescent="0.25">
      <c r="A582" s="3">
        <v>45699.535833333328</v>
      </c>
      <c r="B582" t="s">
        <v>44</v>
      </c>
      <c r="C582" s="3">
        <v>45699.538240740745</v>
      </c>
      <c r="D582" t="s">
        <v>159</v>
      </c>
      <c r="E582" s="4">
        <v>0.74099999999999999</v>
      </c>
      <c r="F582" s="4">
        <v>12577.852999999999</v>
      </c>
      <c r="G582" s="4">
        <v>12578.593999999999</v>
      </c>
      <c r="H582" s="5">
        <f>40 / 86400</f>
        <v>4.6296296296296298E-4</v>
      </c>
      <c r="I582" t="s">
        <v>108</v>
      </c>
      <c r="J582" t="s">
        <v>56</v>
      </c>
      <c r="K582" s="5">
        <f>207 / 86400</f>
        <v>2.3958333333333331E-3</v>
      </c>
      <c r="L582" s="5">
        <f>340 / 86400</f>
        <v>3.9351851851851848E-3</v>
      </c>
    </row>
    <row r="583" spans="1:12" x14ac:dyDescent="0.25">
      <c r="A583" s="3">
        <v>45699.542175925926</v>
      </c>
      <c r="B583" t="s">
        <v>159</v>
      </c>
      <c r="C583" s="3">
        <v>45699.548993055556</v>
      </c>
      <c r="D583" t="s">
        <v>387</v>
      </c>
      <c r="E583" s="4">
        <v>1.1100000000000001</v>
      </c>
      <c r="F583" s="4">
        <v>12578.593999999999</v>
      </c>
      <c r="G583" s="4">
        <v>12579.704</v>
      </c>
      <c r="H583" s="5">
        <f>339 / 86400</f>
        <v>3.9236111111111112E-3</v>
      </c>
      <c r="I583" t="s">
        <v>34</v>
      </c>
      <c r="J583" t="s">
        <v>28</v>
      </c>
      <c r="K583" s="5">
        <f>589 / 86400</f>
        <v>6.8171296296296296E-3</v>
      </c>
      <c r="L583" s="5">
        <f>371 / 86400</f>
        <v>4.2939814814814811E-3</v>
      </c>
    </row>
    <row r="584" spans="1:12" x14ac:dyDescent="0.25">
      <c r="A584" s="3">
        <v>45699.553287037037</v>
      </c>
      <c r="B584" t="s">
        <v>387</v>
      </c>
      <c r="C584" s="3">
        <v>45699.627939814818</v>
      </c>
      <c r="D584" t="s">
        <v>388</v>
      </c>
      <c r="E584" s="4">
        <v>37.04</v>
      </c>
      <c r="F584" s="4">
        <v>12579.704</v>
      </c>
      <c r="G584" s="4">
        <v>12616.744000000001</v>
      </c>
      <c r="H584" s="5">
        <f>1638 / 86400</f>
        <v>1.8958333333333334E-2</v>
      </c>
      <c r="I584" t="s">
        <v>18</v>
      </c>
      <c r="J584" t="s">
        <v>108</v>
      </c>
      <c r="K584" s="5">
        <f>6449 / 86400</f>
        <v>7.464120370370371E-2</v>
      </c>
      <c r="L584" s="5">
        <f>422 / 86400</f>
        <v>4.8842592592592592E-3</v>
      </c>
    </row>
    <row r="585" spans="1:12" x14ac:dyDescent="0.25">
      <c r="A585" s="3">
        <v>45699.63282407407</v>
      </c>
      <c r="B585" t="s">
        <v>388</v>
      </c>
      <c r="C585" s="3">
        <v>45699.633252314816</v>
      </c>
      <c r="D585" t="s">
        <v>388</v>
      </c>
      <c r="E585" s="4">
        <v>4.1000000000000002E-2</v>
      </c>
      <c r="F585" s="4">
        <v>12616.744000000001</v>
      </c>
      <c r="G585" s="4">
        <v>12616.785</v>
      </c>
      <c r="H585" s="5">
        <f>0 / 86400</f>
        <v>0</v>
      </c>
      <c r="I585" t="s">
        <v>112</v>
      </c>
      <c r="J585" t="s">
        <v>232</v>
      </c>
      <c r="K585" s="5">
        <f>36 / 86400</f>
        <v>4.1666666666666669E-4</v>
      </c>
      <c r="L585" s="5">
        <f>1332 / 86400</f>
        <v>1.5416666666666667E-2</v>
      </c>
    </row>
    <row r="586" spans="1:12" x14ac:dyDescent="0.25">
      <c r="A586" s="3">
        <v>45699.648668981477</v>
      </c>
      <c r="B586" t="s">
        <v>388</v>
      </c>
      <c r="C586" s="3">
        <v>45699.649143518516</v>
      </c>
      <c r="D586" t="s">
        <v>388</v>
      </c>
      <c r="E586" s="4">
        <v>5.0000000000000001E-3</v>
      </c>
      <c r="F586" s="4">
        <v>12616.785</v>
      </c>
      <c r="G586" s="4">
        <v>12616.79</v>
      </c>
      <c r="H586" s="5">
        <f>20 / 86400</f>
        <v>2.3148148148148149E-4</v>
      </c>
      <c r="I586" t="s">
        <v>148</v>
      </c>
      <c r="J586" t="s">
        <v>88</v>
      </c>
      <c r="K586" s="5">
        <f>41 / 86400</f>
        <v>4.7453703703703704E-4</v>
      </c>
      <c r="L586" s="5">
        <f>227 / 86400</f>
        <v>2.627314814814815E-3</v>
      </c>
    </row>
    <row r="587" spans="1:12" x14ac:dyDescent="0.25">
      <c r="A587" s="3">
        <v>45699.651770833334</v>
      </c>
      <c r="B587" t="s">
        <v>388</v>
      </c>
      <c r="C587" s="3">
        <v>45699.659942129627</v>
      </c>
      <c r="D587" t="s">
        <v>388</v>
      </c>
      <c r="E587" s="4">
        <v>6.4000000000000001E-2</v>
      </c>
      <c r="F587" s="4">
        <v>12616.79</v>
      </c>
      <c r="G587" s="4">
        <v>12616.853999999999</v>
      </c>
      <c r="H587" s="5">
        <f>640 / 86400</f>
        <v>7.4074074074074077E-3</v>
      </c>
      <c r="I587" t="s">
        <v>127</v>
      </c>
      <c r="J587" t="s">
        <v>88</v>
      </c>
      <c r="K587" s="5">
        <f>705 / 86400</f>
        <v>8.1597222222222227E-3</v>
      </c>
      <c r="L587" s="5">
        <f>706 / 86400</f>
        <v>8.1712962962962963E-3</v>
      </c>
    </row>
    <row r="588" spans="1:12" x14ac:dyDescent="0.25">
      <c r="A588" s="3">
        <v>45699.668113425927</v>
      </c>
      <c r="B588" t="s">
        <v>388</v>
      </c>
      <c r="C588" s="3">
        <v>45699.674502314811</v>
      </c>
      <c r="D588" t="s">
        <v>192</v>
      </c>
      <c r="E588" s="4">
        <v>2.3010000000000002</v>
      </c>
      <c r="F588" s="4">
        <v>12616.853999999999</v>
      </c>
      <c r="G588" s="4">
        <v>12619.155000000001</v>
      </c>
      <c r="H588" s="5">
        <f>40 / 86400</f>
        <v>4.6296296296296298E-4</v>
      </c>
      <c r="I588" t="s">
        <v>203</v>
      </c>
      <c r="J588" t="s">
        <v>19</v>
      </c>
      <c r="K588" s="5">
        <f>552 / 86400</f>
        <v>6.3888888888888893E-3</v>
      </c>
      <c r="L588" s="5">
        <f>225 / 86400</f>
        <v>2.6041666666666665E-3</v>
      </c>
    </row>
    <row r="589" spans="1:12" x14ac:dyDescent="0.25">
      <c r="A589" s="3">
        <v>45699.677106481482</v>
      </c>
      <c r="B589" t="s">
        <v>192</v>
      </c>
      <c r="C589" s="3">
        <v>45699.678344907406</v>
      </c>
      <c r="D589" t="s">
        <v>192</v>
      </c>
      <c r="E589" s="4">
        <v>0.38700000000000001</v>
      </c>
      <c r="F589" s="4">
        <v>12619.155000000001</v>
      </c>
      <c r="G589" s="4">
        <v>12619.541999999999</v>
      </c>
      <c r="H589" s="5">
        <f>0 / 86400</f>
        <v>0</v>
      </c>
      <c r="I589" t="s">
        <v>19</v>
      </c>
      <c r="J589" t="s">
        <v>56</v>
      </c>
      <c r="K589" s="5">
        <f>106 / 86400</f>
        <v>1.2268518518518518E-3</v>
      </c>
      <c r="L589" s="5">
        <f>240 / 86400</f>
        <v>2.7777777777777779E-3</v>
      </c>
    </row>
    <row r="590" spans="1:12" x14ac:dyDescent="0.25">
      <c r="A590" s="3">
        <v>45699.681122685186</v>
      </c>
      <c r="B590" t="s">
        <v>192</v>
      </c>
      <c r="C590" s="3">
        <v>45699.731273148151</v>
      </c>
      <c r="D590" t="s">
        <v>389</v>
      </c>
      <c r="E590" s="4">
        <v>18.780999999999999</v>
      </c>
      <c r="F590" s="4">
        <v>12619.541999999999</v>
      </c>
      <c r="G590" s="4">
        <v>12638.323</v>
      </c>
      <c r="H590" s="5">
        <f>1520 / 86400</f>
        <v>1.7592592592592594E-2</v>
      </c>
      <c r="I590" t="s">
        <v>111</v>
      </c>
      <c r="J590" t="s">
        <v>37</v>
      </c>
      <c r="K590" s="5">
        <f>4333 / 86400</f>
        <v>5.0150462962962966E-2</v>
      </c>
      <c r="L590" s="5">
        <f>96 / 86400</f>
        <v>1.1111111111111111E-3</v>
      </c>
    </row>
    <row r="591" spans="1:12" x14ac:dyDescent="0.25">
      <c r="A591" s="3">
        <v>45699.73238425926</v>
      </c>
      <c r="B591" t="s">
        <v>389</v>
      </c>
      <c r="C591" s="3">
        <v>45699.758252314816</v>
      </c>
      <c r="D591" t="s">
        <v>82</v>
      </c>
      <c r="E591" s="4">
        <v>9.0109999999999992</v>
      </c>
      <c r="F591" s="4">
        <v>12638.323</v>
      </c>
      <c r="G591" s="4">
        <v>12647.334000000001</v>
      </c>
      <c r="H591" s="5">
        <f>601 / 86400</f>
        <v>6.9560185185185185E-3</v>
      </c>
      <c r="I591" t="s">
        <v>182</v>
      </c>
      <c r="J591" t="s">
        <v>19</v>
      </c>
      <c r="K591" s="5">
        <f>2235 / 86400</f>
        <v>2.5868055555555554E-2</v>
      </c>
      <c r="L591" s="5">
        <f>137 / 86400</f>
        <v>1.5856481481481481E-3</v>
      </c>
    </row>
    <row r="592" spans="1:12" x14ac:dyDescent="0.25">
      <c r="A592" s="3">
        <v>45699.759837962964</v>
      </c>
      <c r="B592" t="s">
        <v>82</v>
      </c>
      <c r="C592" s="3">
        <v>45699.760949074072</v>
      </c>
      <c r="D592" t="s">
        <v>390</v>
      </c>
      <c r="E592" s="4">
        <v>0.371</v>
      </c>
      <c r="F592" s="4">
        <v>12647.334000000001</v>
      </c>
      <c r="G592" s="4">
        <v>12647.705</v>
      </c>
      <c r="H592" s="5">
        <f>20 / 86400</f>
        <v>2.3148148148148149E-4</v>
      </c>
      <c r="I592" t="s">
        <v>34</v>
      </c>
      <c r="J592" t="s">
        <v>31</v>
      </c>
      <c r="K592" s="5">
        <f>95 / 86400</f>
        <v>1.0995370370370371E-3</v>
      </c>
      <c r="L592" s="5">
        <f>118 / 86400</f>
        <v>1.3657407407407407E-3</v>
      </c>
    </row>
    <row r="593" spans="1:12" x14ac:dyDescent="0.25">
      <c r="A593" s="3">
        <v>45699.762314814812</v>
      </c>
      <c r="B593" t="s">
        <v>390</v>
      </c>
      <c r="C593" s="3">
        <v>45699.763217592597</v>
      </c>
      <c r="D593" t="s">
        <v>23</v>
      </c>
      <c r="E593" s="4">
        <v>0.28699999999999998</v>
      </c>
      <c r="F593" s="4">
        <v>12647.705</v>
      </c>
      <c r="G593" s="4">
        <v>12647.992</v>
      </c>
      <c r="H593" s="5">
        <f>0 / 86400</f>
        <v>0</v>
      </c>
      <c r="I593" t="s">
        <v>152</v>
      </c>
      <c r="J593" t="s">
        <v>56</v>
      </c>
      <c r="K593" s="5">
        <f>77 / 86400</f>
        <v>8.9120370370370373E-4</v>
      </c>
      <c r="L593" s="5">
        <f>55 / 86400</f>
        <v>6.3657407407407413E-4</v>
      </c>
    </row>
    <row r="594" spans="1:12" x14ac:dyDescent="0.25">
      <c r="A594" s="3">
        <v>45699.763854166667</v>
      </c>
      <c r="B594" t="s">
        <v>23</v>
      </c>
      <c r="C594" s="3">
        <v>45699.764965277776</v>
      </c>
      <c r="D594" t="s">
        <v>30</v>
      </c>
      <c r="E594" s="4">
        <v>0.17799999999999999</v>
      </c>
      <c r="F594" s="4">
        <v>12647.992</v>
      </c>
      <c r="G594" s="4">
        <v>12648.17</v>
      </c>
      <c r="H594" s="5">
        <f>40 / 86400</f>
        <v>4.6296296296296298E-4</v>
      </c>
      <c r="I594" t="s">
        <v>37</v>
      </c>
      <c r="J594" t="s">
        <v>28</v>
      </c>
      <c r="K594" s="5">
        <f>96 / 86400</f>
        <v>1.1111111111111111E-3</v>
      </c>
      <c r="L594" s="5">
        <f>475 / 86400</f>
        <v>5.4976851851851853E-3</v>
      </c>
    </row>
    <row r="595" spans="1:12" x14ac:dyDescent="0.25">
      <c r="A595" s="3">
        <v>45699.770462962959</v>
      </c>
      <c r="B595" t="s">
        <v>30</v>
      </c>
      <c r="C595" s="3">
        <v>45699.770902777775</v>
      </c>
      <c r="D595" t="s">
        <v>30</v>
      </c>
      <c r="E595" s="4">
        <v>3.0000000000000001E-3</v>
      </c>
      <c r="F595" s="4">
        <v>12648.17</v>
      </c>
      <c r="G595" s="4">
        <v>12648.173000000001</v>
      </c>
      <c r="H595" s="5">
        <f>19 / 86400</f>
        <v>2.199074074074074E-4</v>
      </c>
      <c r="I595" t="s">
        <v>88</v>
      </c>
      <c r="J595" t="s">
        <v>88</v>
      </c>
      <c r="K595" s="5">
        <f>38 / 86400</f>
        <v>4.3981481481481481E-4</v>
      </c>
      <c r="L595" s="5">
        <f>141 / 86400</f>
        <v>1.6319444444444445E-3</v>
      </c>
    </row>
    <row r="596" spans="1:12" x14ac:dyDescent="0.25">
      <c r="A596" s="3">
        <v>45699.772534722222</v>
      </c>
      <c r="B596" t="s">
        <v>30</v>
      </c>
      <c r="C596" s="3">
        <v>45699.773148148146</v>
      </c>
      <c r="D596" t="s">
        <v>23</v>
      </c>
      <c r="E596" s="4">
        <v>0.10100000000000001</v>
      </c>
      <c r="F596" s="4">
        <v>12648.173000000001</v>
      </c>
      <c r="G596" s="4">
        <v>12648.273999999999</v>
      </c>
      <c r="H596" s="5">
        <f>0 / 86400</f>
        <v>0</v>
      </c>
      <c r="I596" t="s">
        <v>42</v>
      </c>
      <c r="J596" t="s">
        <v>28</v>
      </c>
      <c r="K596" s="5">
        <f>53 / 86400</f>
        <v>6.134259259259259E-4</v>
      </c>
      <c r="L596" s="5">
        <f>19599 / 86400</f>
        <v>0.22684027777777777</v>
      </c>
    </row>
    <row r="597" spans="1:12" x14ac:dyDescent="0.25">
      <c r="A597" s="11"/>
      <c r="B597" s="11"/>
      <c r="C597" s="11"/>
      <c r="D597" s="11"/>
      <c r="E597" s="11"/>
      <c r="F597" s="11"/>
      <c r="G597" s="11"/>
      <c r="H597" s="11"/>
      <c r="I597" s="11"/>
      <c r="J597" s="11"/>
    </row>
    <row r="598" spans="1:12" x14ac:dyDescent="0.25">
      <c r="A598" s="11"/>
      <c r="B598" s="11"/>
      <c r="C598" s="11"/>
      <c r="D598" s="11"/>
      <c r="E598" s="11"/>
      <c r="F598" s="11"/>
      <c r="G598" s="11"/>
      <c r="H598" s="11"/>
      <c r="I598" s="11"/>
      <c r="J598" s="11"/>
    </row>
    <row r="599" spans="1:12" s="10" customFormat="1" ht="20.100000000000001" customHeight="1" x14ac:dyDescent="0.35">
      <c r="A599" s="12" t="s">
        <v>467</v>
      </c>
      <c r="B599" s="12"/>
      <c r="C599" s="12"/>
      <c r="D599" s="12"/>
      <c r="E599" s="12"/>
      <c r="F599" s="12"/>
      <c r="G599" s="12"/>
      <c r="H599" s="12"/>
      <c r="I599" s="12"/>
      <c r="J599" s="12"/>
    </row>
    <row r="600" spans="1:12" x14ac:dyDescent="0.25">
      <c r="A600" s="11"/>
      <c r="B600" s="11"/>
      <c r="C600" s="11"/>
      <c r="D600" s="11"/>
      <c r="E600" s="11"/>
      <c r="F600" s="11"/>
      <c r="G600" s="11"/>
      <c r="H600" s="11"/>
      <c r="I600" s="11"/>
      <c r="J600" s="11"/>
    </row>
    <row r="601" spans="1:12" ht="30" x14ac:dyDescent="0.25">
      <c r="A601" s="2" t="s">
        <v>5</v>
      </c>
      <c r="B601" s="2" t="s">
        <v>6</v>
      </c>
      <c r="C601" s="2" t="s">
        <v>7</v>
      </c>
      <c r="D601" s="2" t="s">
        <v>8</v>
      </c>
      <c r="E601" s="2" t="s">
        <v>9</v>
      </c>
      <c r="F601" s="2" t="s">
        <v>10</v>
      </c>
      <c r="G601" s="2" t="s">
        <v>11</v>
      </c>
      <c r="H601" s="2" t="s">
        <v>12</v>
      </c>
      <c r="I601" s="2" t="s">
        <v>13</v>
      </c>
      <c r="J601" s="2" t="s">
        <v>14</v>
      </c>
      <c r="K601" s="2" t="s">
        <v>15</v>
      </c>
      <c r="L601" s="2" t="s">
        <v>16</v>
      </c>
    </row>
    <row r="602" spans="1:12" x14ac:dyDescent="0.25">
      <c r="A602" s="3">
        <v>45699.163564814815</v>
      </c>
      <c r="B602" t="s">
        <v>53</v>
      </c>
      <c r="C602" s="3">
        <v>45699.175057870365</v>
      </c>
      <c r="D602" t="s">
        <v>391</v>
      </c>
      <c r="E602" s="4">
        <v>3.4350000000000001</v>
      </c>
      <c r="F602" s="4">
        <v>138338.49600000001</v>
      </c>
      <c r="G602" s="4">
        <v>138341.93100000001</v>
      </c>
      <c r="H602" s="5">
        <f>399 / 86400</f>
        <v>4.6180555555555558E-3</v>
      </c>
      <c r="I602" t="s">
        <v>36</v>
      </c>
      <c r="J602" t="s">
        <v>131</v>
      </c>
      <c r="K602" s="5">
        <f>993 / 86400</f>
        <v>1.1493055555555555E-2</v>
      </c>
      <c r="L602" s="5">
        <f>14960 / 86400</f>
        <v>0.17314814814814813</v>
      </c>
    </row>
    <row r="603" spans="1:12" x14ac:dyDescent="0.25">
      <c r="A603" s="3">
        <v>45699.184641203705</v>
      </c>
      <c r="B603" t="s">
        <v>391</v>
      </c>
      <c r="C603" s="3">
        <v>45699.225347222222</v>
      </c>
      <c r="D603" t="s">
        <v>277</v>
      </c>
      <c r="E603" s="4">
        <v>24.992999999999999</v>
      </c>
      <c r="F603" s="4">
        <v>138341.93100000001</v>
      </c>
      <c r="G603" s="4">
        <v>138366.924</v>
      </c>
      <c r="H603" s="5">
        <f>518 / 86400</f>
        <v>5.9953703703703705E-3</v>
      </c>
      <c r="I603" t="s">
        <v>139</v>
      </c>
      <c r="J603" t="s">
        <v>137</v>
      </c>
      <c r="K603" s="5">
        <f>3517 / 86400</f>
        <v>4.0706018518518516E-2</v>
      </c>
      <c r="L603" s="5">
        <f>2271 / 86400</f>
        <v>2.6284722222222223E-2</v>
      </c>
    </row>
    <row r="604" spans="1:12" x14ac:dyDescent="0.25">
      <c r="A604" s="3">
        <v>45699.25163194444</v>
      </c>
      <c r="B604" t="s">
        <v>277</v>
      </c>
      <c r="C604" s="3">
        <v>45699.330208333333</v>
      </c>
      <c r="D604" t="s">
        <v>392</v>
      </c>
      <c r="E604" s="4">
        <v>43.386000000000003</v>
      </c>
      <c r="F604" s="4">
        <v>138366.924</v>
      </c>
      <c r="G604" s="4">
        <v>138410.31</v>
      </c>
      <c r="H604" s="5">
        <f>1719 / 86400</f>
        <v>1.9895833333333335E-2</v>
      </c>
      <c r="I604" t="s">
        <v>54</v>
      </c>
      <c r="J604" t="s">
        <v>160</v>
      </c>
      <c r="K604" s="5">
        <f>6789 / 86400</f>
        <v>7.857638888888889E-2</v>
      </c>
      <c r="L604" s="5">
        <f>299 / 86400</f>
        <v>3.460648148148148E-3</v>
      </c>
    </row>
    <row r="605" spans="1:12" x14ac:dyDescent="0.25">
      <c r="A605" s="3">
        <v>45699.333668981482</v>
      </c>
      <c r="B605" t="s">
        <v>392</v>
      </c>
      <c r="C605" s="3">
        <v>45699.335787037038</v>
      </c>
      <c r="D605" t="s">
        <v>393</v>
      </c>
      <c r="E605" s="4">
        <v>0.53100000000000003</v>
      </c>
      <c r="F605" s="4">
        <v>138410.31</v>
      </c>
      <c r="G605" s="4">
        <v>138410.84099999999</v>
      </c>
      <c r="H605" s="5">
        <f>40 / 86400</f>
        <v>4.6296296296296298E-4</v>
      </c>
      <c r="I605" t="s">
        <v>130</v>
      </c>
      <c r="J605" t="s">
        <v>112</v>
      </c>
      <c r="K605" s="5">
        <f>183 / 86400</f>
        <v>2.1180555555555558E-3</v>
      </c>
      <c r="L605" s="5">
        <f>86 / 86400</f>
        <v>9.9537037037037042E-4</v>
      </c>
    </row>
    <row r="606" spans="1:12" x14ac:dyDescent="0.25">
      <c r="A606" s="3">
        <v>45699.336782407408</v>
      </c>
      <c r="B606" t="s">
        <v>393</v>
      </c>
      <c r="C606" s="3">
        <v>45699.337002314816</v>
      </c>
      <c r="D606" t="s">
        <v>393</v>
      </c>
      <c r="E606" s="4">
        <v>0</v>
      </c>
      <c r="F606" s="4">
        <v>138410.84099999999</v>
      </c>
      <c r="G606" s="4">
        <v>138410.84099999999</v>
      </c>
      <c r="H606" s="5">
        <f>0 / 86400</f>
        <v>0</v>
      </c>
      <c r="I606" t="s">
        <v>88</v>
      </c>
      <c r="J606" t="s">
        <v>88</v>
      </c>
      <c r="K606" s="5">
        <f>19 / 86400</f>
        <v>2.199074074074074E-4</v>
      </c>
      <c r="L606" s="5">
        <f>5729 / 86400</f>
        <v>6.6307870370370364E-2</v>
      </c>
    </row>
    <row r="607" spans="1:12" x14ac:dyDescent="0.25">
      <c r="A607" s="3">
        <v>45699.403310185182</v>
      </c>
      <c r="B607" t="s">
        <v>393</v>
      </c>
      <c r="C607" s="3">
        <v>45699.414027777777</v>
      </c>
      <c r="D607" t="s">
        <v>394</v>
      </c>
      <c r="E607" s="4">
        <v>2.1269999999999998</v>
      </c>
      <c r="F607" s="4">
        <v>138410.84099999999</v>
      </c>
      <c r="G607" s="4">
        <v>138412.96799999999</v>
      </c>
      <c r="H607" s="5">
        <f>340 / 86400</f>
        <v>3.9351851851851848E-3</v>
      </c>
      <c r="I607" t="s">
        <v>149</v>
      </c>
      <c r="J607" t="s">
        <v>125</v>
      </c>
      <c r="K607" s="5">
        <f>925 / 86400</f>
        <v>1.0706018518518519E-2</v>
      </c>
      <c r="L607" s="5">
        <f>42 / 86400</f>
        <v>4.861111111111111E-4</v>
      </c>
    </row>
    <row r="608" spans="1:12" x14ac:dyDescent="0.25">
      <c r="A608" s="3">
        <v>45699.414513888885</v>
      </c>
      <c r="B608" t="s">
        <v>394</v>
      </c>
      <c r="C608" s="3">
        <v>45699.414768518516</v>
      </c>
      <c r="D608" t="s">
        <v>394</v>
      </c>
      <c r="E608" s="4">
        <v>0</v>
      </c>
      <c r="F608" s="4">
        <v>138412.96799999999</v>
      </c>
      <c r="G608" s="4">
        <v>138412.96799999999</v>
      </c>
      <c r="H608" s="5">
        <f>19 / 86400</f>
        <v>2.199074074074074E-4</v>
      </c>
      <c r="I608" t="s">
        <v>88</v>
      </c>
      <c r="J608" t="s">
        <v>88</v>
      </c>
      <c r="K608" s="5">
        <f>21 / 86400</f>
        <v>2.4305555555555555E-4</v>
      </c>
      <c r="L608" s="5">
        <f>6104 / 86400</f>
        <v>7.0648148148148154E-2</v>
      </c>
    </row>
    <row r="609" spans="1:12" x14ac:dyDescent="0.25">
      <c r="A609" s="3">
        <v>45699.485416666663</v>
      </c>
      <c r="B609" t="s">
        <v>394</v>
      </c>
      <c r="C609" s="3">
        <v>45699.49083333333</v>
      </c>
      <c r="D609" t="s">
        <v>395</v>
      </c>
      <c r="E609" s="4">
        <v>1.4279999999999999</v>
      </c>
      <c r="F609" s="4">
        <v>138412.96799999999</v>
      </c>
      <c r="G609" s="4">
        <v>138414.39600000001</v>
      </c>
      <c r="H609" s="5">
        <f>219 / 86400</f>
        <v>2.5347222222222221E-3</v>
      </c>
      <c r="I609" t="s">
        <v>198</v>
      </c>
      <c r="J609" t="s">
        <v>134</v>
      </c>
      <c r="K609" s="5">
        <f>467 / 86400</f>
        <v>5.4050925925925924E-3</v>
      </c>
      <c r="L609" s="5">
        <f>3014 / 86400</f>
        <v>3.4884259259259261E-2</v>
      </c>
    </row>
    <row r="610" spans="1:12" x14ac:dyDescent="0.25">
      <c r="A610" s="3">
        <v>45699.525717592594</v>
      </c>
      <c r="B610" t="s">
        <v>395</v>
      </c>
      <c r="C610" s="3">
        <v>45699.531898148147</v>
      </c>
      <c r="D610" t="s">
        <v>126</v>
      </c>
      <c r="E610" s="4">
        <v>1.5780000000000001</v>
      </c>
      <c r="F610" s="4">
        <v>138414.39600000001</v>
      </c>
      <c r="G610" s="4">
        <v>138415.97399999999</v>
      </c>
      <c r="H610" s="5">
        <f>200 / 86400</f>
        <v>2.3148148148148147E-3</v>
      </c>
      <c r="I610" t="s">
        <v>174</v>
      </c>
      <c r="J610" t="s">
        <v>134</v>
      </c>
      <c r="K610" s="5">
        <f>534 / 86400</f>
        <v>6.1805555555555555E-3</v>
      </c>
      <c r="L610" s="5">
        <f>2249 / 86400</f>
        <v>2.6030092592592594E-2</v>
      </c>
    </row>
    <row r="611" spans="1:12" x14ac:dyDescent="0.25">
      <c r="A611" s="3">
        <v>45699.557928240742</v>
      </c>
      <c r="B611" t="s">
        <v>126</v>
      </c>
      <c r="C611" s="3">
        <v>45699.560162037036</v>
      </c>
      <c r="D611" t="s">
        <v>396</v>
      </c>
      <c r="E611" s="4">
        <v>0.86299999999999999</v>
      </c>
      <c r="F611" s="4">
        <v>138415.97399999999</v>
      </c>
      <c r="G611" s="4">
        <v>138416.837</v>
      </c>
      <c r="H611" s="5">
        <f>19 / 86400</f>
        <v>2.199074074074074E-4</v>
      </c>
      <c r="I611" t="s">
        <v>34</v>
      </c>
      <c r="J611" t="s">
        <v>37</v>
      </c>
      <c r="K611" s="5">
        <f>192 / 86400</f>
        <v>2.2222222222222222E-3</v>
      </c>
      <c r="L611" s="5">
        <f>2672 / 86400</f>
        <v>3.0925925925925926E-2</v>
      </c>
    </row>
    <row r="612" spans="1:12" x14ac:dyDescent="0.25">
      <c r="A612" s="3">
        <v>45699.591087962966</v>
      </c>
      <c r="B612" t="s">
        <v>396</v>
      </c>
      <c r="C612" s="3">
        <v>45699.595393518517</v>
      </c>
      <c r="D612" t="s">
        <v>113</v>
      </c>
      <c r="E612" s="4">
        <v>2.2200000000000002</v>
      </c>
      <c r="F612" s="4">
        <v>138416.837</v>
      </c>
      <c r="G612" s="4">
        <v>138419.057</v>
      </c>
      <c r="H612" s="5">
        <f>59 / 86400</f>
        <v>6.8287037037037036E-4</v>
      </c>
      <c r="I612" t="s">
        <v>210</v>
      </c>
      <c r="J612" t="s">
        <v>108</v>
      </c>
      <c r="K612" s="5">
        <f>372 / 86400</f>
        <v>4.3055555555555555E-3</v>
      </c>
      <c r="L612" s="5">
        <f>547 / 86400</f>
        <v>6.3310185185185188E-3</v>
      </c>
    </row>
    <row r="613" spans="1:12" x14ac:dyDescent="0.25">
      <c r="A613" s="3">
        <v>45699.601724537039</v>
      </c>
      <c r="B613" t="s">
        <v>397</v>
      </c>
      <c r="C613" s="3">
        <v>45699.646956018521</v>
      </c>
      <c r="D613" t="s">
        <v>53</v>
      </c>
      <c r="E613" s="4">
        <v>16.018000000000001</v>
      </c>
      <c r="F613" s="4">
        <v>138419.057</v>
      </c>
      <c r="G613" s="4">
        <v>138435.07500000001</v>
      </c>
      <c r="H613" s="5">
        <f>1439 / 86400</f>
        <v>1.6655092592592593E-2</v>
      </c>
      <c r="I613" t="s">
        <v>32</v>
      </c>
      <c r="J613" t="s">
        <v>19</v>
      </c>
      <c r="K613" s="5">
        <f>3907 / 86400</f>
        <v>4.521990740740741E-2</v>
      </c>
      <c r="L613" s="5">
        <f>30502 / 86400</f>
        <v>0.35303240740740743</v>
      </c>
    </row>
    <row r="614" spans="1:12" x14ac:dyDescent="0.25">
      <c r="A614" s="11"/>
      <c r="B614" s="11"/>
      <c r="C614" s="11"/>
      <c r="D614" s="11"/>
      <c r="E614" s="11"/>
      <c r="F614" s="11"/>
      <c r="G614" s="11"/>
      <c r="H614" s="11"/>
      <c r="I614" s="11"/>
      <c r="J614" s="11"/>
    </row>
    <row r="615" spans="1:12" x14ac:dyDescent="0.25">
      <c r="A615" s="11"/>
      <c r="B615" s="11"/>
      <c r="C615" s="11"/>
      <c r="D615" s="11"/>
      <c r="E615" s="11"/>
      <c r="F615" s="11"/>
      <c r="G615" s="11"/>
      <c r="H615" s="11"/>
      <c r="I615" s="11"/>
      <c r="J615" s="11"/>
    </row>
    <row r="616" spans="1:12" s="10" customFormat="1" ht="20.100000000000001" customHeight="1" x14ac:dyDescent="0.35">
      <c r="A616" s="12" t="s">
        <v>458</v>
      </c>
      <c r="B616" s="12"/>
      <c r="C616" s="12"/>
      <c r="D616" s="12"/>
      <c r="E616" s="12"/>
      <c r="F616" s="12"/>
      <c r="G616" s="12"/>
      <c r="H616" s="12"/>
      <c r="I616" s="12"/>
      <c r="J616" s="12"/>
    </row>
    <row r="617" spans="1:12" x14ac:dyDescent="0.25">
      <c r="A617" s="11"/>
      <c r="B617" s="11"/>
      <c r="C617" s="11"/>
      <c r="D617" s="11"/>
      <c r="E617" s="11"/>
      <c r="F617" s="11"/>
      <c r="G617" s="11"/>
      <c r="H617" s="11"/>
      <c r="I617" s="11"/>
      <c r="J617" s="11"/>
    </row>
    <row r="618" spans="1:12" ht="30" x14ac:dyDescent="0.25">
      <c r="A618" s="2" t="s">
        <v>5</v>
      </c>
      <c r="B618" s="2" t="s">
        <v>6</v>
      </c>
      <c r="C618" s="2" t="s">
        <v>7</v>
      </c>
      <c r="D618" s="2" t="s">
        <v>8</v>
      </c>
      <c r="E618" s="2" t="s">
        <v>9</v>
      </c>
      <c r="F618" s="2" t="s">
        <v>10</v>
      </c>
      <c r="G618" s="2" t="s">
        <v>11</v>
      </c>
      <c r="H618" s="2" t="s">
        <v>12</v>
      </c>
      <c r="I618" s="2" t="s">
        <v>13</v>
      </c>
      <c r="J618" s="2" t="s">
        <v>14</v>
      </c>
      <c r="K618" s="2" t="s">
        <v>15</v>
      </c>
      <c r="L618" s="2" t="s">
        <v>16</v>
      </c>
    </row>
    <row r="619" spans="1:12" x14ac:dyDescent="0.25">
      <c r="A619" s="3">
        <v>45699.229201388887</v>
      </c>
      <c r="B619" t="s">
        <v>30</v>
      </c>
      <c r="C619" s="3">
        <v>45699.231724537036</v>
      </c>
      <c r="D619" t="s">
        <v>30</v>
      </c>
      <c r="E619" s="4">
        <v>0</v>
      </c>
      <c r="F619" s="4">
        <v>5232.9390000000003</v>
      </c>
      <c r="G619" s="4">
        <v>5232.9390000000003</v>
      </c>
      <c r="H619" s="5">
        <f>199 / 86400</f>
        <v>2.3032407407407407E-3</v>
      </c>
      <c r="I619" t="s">
        <v>88</v>
      </c>
      <c r="J619" t="s">
        <v>88</v>
      </c>
      <c r="K619" s="5">
        <f>218 / 86400</f>
        <v>2.5231481481481481E-3</v>
      </c>
      <c r="L619" s="5">
        <f>23158 / 86400</f>
        <v>0.26803240740740741</v>
      </c>
    </row>
    <row r="620" spans="1:12" x14ac:dyDescent="0.25">
      <c r="A620" s="3">
        <v>45699.270555555559</v>
      </c>
      <c r="B620" t="s">
        <v>30</v>
      </c>
      <c r="C620" s="3">
        <v>45699.531122685185</v>
      </c>
      <c r="D620" t="s">
        <v>105</v>
      </c>
      <c r="E620" s="4">
        <v>83.956999999999994</v>
      </c>
      <c r="F620" s="4">
        <v>5232.9390000000003</v>
      </c>
      <c r="G620" s="4">
        <v>5316.8959999999997</v>
      </c>
      <c r="H620" s="5">
        <f>10239 / 86400</f>
        <v>0.11850694444444444</v>
      </c>
      <c r="I620" t="s">
        <v>177</v>
      </c>
      <c r="J620" t="s">
        <v>56</v>
      </c>
      <c r="K620" s="5">
        <f>22512 / 86400</f>
        <v>0.26055555555555554</v>
      </c>
      <c r="L620" s="5">
        <f>355 / 86400</f>
        <v>4.1087962962962962E-3</v>
      </c>
    </row>
    <row r="621" spans="1:12" x14ac:dyDescent="0.25">
      <c r="A621" s="3">
        <v>45699.535231481481</v>
      </c>
      <c r="B621" t="s">
        <v>105</v>
      </c>
      <c r="C621" s="3">
        <v>45699.53738425926</v>
      </c>
      <c r="D621" t="s">
        <v>105</v>
      </c>
      <c r="E621" s="4">
        <v>0.11700000000000001</v>
      </c>
      <c r="F621" s="4">
        <v>5316.8959999999997</v>
      </c>
      <c r="G621" s="4">
        <v>5317.0129999999999</v>
      </c>
      <c r="H621" s="5">
        <f>120 / 86400</f>
        <v>1.3888888888888889E-3</v>
      </c>
      <c r="I621" t="s">
        <v>134</v>
      </c>
      <c r="J621" t="s">
        <v>57</v>
      </c>
      <c r="K621" s="5">
        <f>185 / 86400</f>
        <v>2.1412037037037038E-3</v>
      </c>
      <c r="L621" s="5">
        <f>662 / 86400</f>
        <v>7.6620370370370366E-3</v>
      </c>
    </row>
    <row r="622" spans="1:12" x14ac:dyDescent="0.25">
      <c r="A622" s="3">
        <v>45699.545046296298</v>
      </c>
      <c r="B622" t="s">
        <v>105</v>
      </c>
      <c r="C622" s="3">
        <v>45699.549780092595</v>
      </c>
      <c r="D622" t="s">
        <v>159</v>
      </c>
      <c r="E622" s="4">
        <v>1.2509999999999999</v>
      </c>
      <c r="F622" s="4">
        <v>5317.0129999999999</v>
      </c>
      <c r="G622" s="4">
        <v>5318.2640000000001</v>
      </c>
      <c r="H622" s="5">
        <f>79 / 86400</f>
        <v>9.1435185185185185E-4</v>
      </c>
      <c r="I622" t="s">
        <v>203</v>
      </c>
      <c r="J622" t="s">
        <v>134</v>
      </c>
      <c r="K622" s="5">
        <f>408 / 86400</f>
        <v>4.7222222222222223E-3</v>
      </c>
      <c r="L622" s="5">
        <f>449 / 86400</f>
        <v>5.1967592592592595E-3</v>
      </c>
    </row>
    <row r="623" spans="1:12" x14ac:dyDescent="0.25">
      <c r="A623" s="3">
        <v>45699.554976851854</v>
      </c>
      <c r="B623" t="s">
        <v>159</v>
      </c>
      <c r="C623" s="3">
        <v>45699.559803240743</v>
      </c>
      <c r="D623" t="s">
        <v>158</v>
      </c>
      <c r="E623" s="4">
        <v>0.60699999999999998</v>
      </c>
      <c r="F623" s="4">
        <v>5318.2640000000001</v>
      </c>
      <c r="G623" s="4">
        <v>5318.8710000000001</v>
      </c>
      <c r="H623" s="5">
        <f>159 / 86400</f>
        <v>1.8402777777777777E-3</v>
      </c>
      <c r="I623" t="s">
        <v>31</v>
      </c>
      <c r="J623" t="s">
        <v>148</v>
      </c>
      <c r="K623" s="5">
        <f>417 / 86400</f>
        <v>4.8263888888888887E-3</v>
      </c>
      <c r="L623" s="5">
        <f>3151 / 86400</f>
        <v>3.6469907407407409E-2</v>
      </c>
    </row>
    <row r="624" spans="1:12" x14ac:dyDescent="0.25">
      <c r="A624" s="3">
        <v>45699.596273148149</v>
      </c>
      <c r="B624" t="s">
        <v>158</v>
      </c>
      <c r="C624" s="3">
        <v>45699.879386574074</v>
      </c>
      <c r="D624" t="s">
        <v>23</v>
      </c>
      <c r="E624" s="4">
        <v>90.25</v>
      </c>
      <c r="F624" s="4">
        <v>5318.8710000000001</v>
      </c>
      <c r="G624" s="4">
        <v>5409.1210000000001</v>
      </c>
      <c r="H624" s="5">
        <f>12024 / 86400</f>
        <v>0.13916666666666666</v>
      </c>
      <c r="I624" t="s">
        <v>55</v>
      </c>
      <c r="J624" t="s">
        <v>56</v>
      </c>
      <c r="K624" s="5">
        <f>24461 / 86400</f>
        <v>0.28311342592592592</v>
      </c>
      <c r="L624" s="5">
        <f>746 / 86400</f>
        <v>8.6342592592592599E-3</v>
      </c>
    </row>
    <row r="625" spans="1:12" x14ac:dyDescent="0.25">
      <c r="A625" s="3">
        <v>45699.888020833328</v>
      </c>
      <c r="B625" t="s">
        <v>23</v>
      </c>
      <c r="C625" s="3">
        <v>45699.895555555559</v>
      </c>
      <c r="D625" t="s">
        <v>30</v>
      </c>
      <c r="E625" s="4">
        <v>0.44500000000000001</v>
      </c>
      <c r="F625" s="4">
        <v>5409.1210000000001</v>
      </c>
      <c r="G625" s="4">
        <v>5409.5659999999998</v>
      </c>
      <c r="H625" s="5">
        <f>440 / 86400</f>
        <v>5.092592592592593E-3</v>
      </c>
      <c r="I625" t="s">
        <v>26</v>
      </c>
      <c r="J625" t="s">
        <v>57</v>
      </c>
      <c r="K625" s="5">
        <f>651 / 86400</f>
        <v>7.5347222222222222E-3</v>
      </c>
      <c r="L625" s="5">
        <f>9023 / 86400</f>
        <v>0.10443287037037037</v>
      </c>
    </row>
    <row r="626" spans="1:12" x14ac:dyDescent="0.25">
      <c r="A626" s="11"/>
      <c r="B626" s="11"/>
      <c r="C626" s="11"/>
      <c r="D626" s="11"/>
      <c r="E626" s="11"/>
      <c r="F626" s="11"/>
      <c r="G626" s="11"/>
      <c r="H626" s="11"/>
      <c r="I626" s="11"/>
      <c r="J626" s="11"/>
    </row>
    <row r="627" spans="1:12" x14ac:dyDescent="0.25">
      <c r="A627" s="11"/>
      <c r="B627" s="11"/>
      <c r="C627" s="11"/>
      <c r="D627" s="11"/>
      <c r="E627" s="11"/>
      <c r="F627" s="11"/>
      <c r="G627" s="11"/>
      <c r="H627" s="11"/>
      <c r="I627" s="11"/>
      <c r="J627" s="11"/>
    </row>
    <row r="628" spans="1:12" s="10" customFormat="1" ht="20.100000000000001" customHeight="1" x14ac:dyDescent="0.35">
      <c r="A628" s="12" t="s">
        <v>459</v>
      </c>
      <c r="B628" s="12"/>
      <c r="C628" s="12"/>
      <c r="D628" s="12"/>
      <c r="E628" s="12"/>
      <c r="F628" s="12"/>
      <c r="G628" s="12"/>
      <c r="H628" s="12"/>
      <c r="I628" s="12"/>
      <c r="J628" s="12"/>
    </row>
    <row r="629" spans="1:12" x14ac:dyDescent="0.25">
      <c r="A629" s="11"/>
      <c r="B629" s="11"/>
      <c r="C629" s="11"/>
      <c r="D629" s="11"/>
      <c r="E629" s="11"/>
      <c r="F629" s="11"/>
      <c r="G629" s="11"/>
      <c r="H629" s="11"/>
      <c r="I629" s="11"/>
      <c r="J629" s="11"/>
    </row>
    <row r="630" spans="1:12" ht="30" x14ac:dyDescent="0.25">
      <c r="A630" s="2" t="s">
        <v>5</v>
      </c>
      <c r="B630" s="2" t="s">
        <v>6</v>
      </c>
      <c r="C630" s="2" t="s">
        <v>7</v>
      </c>
      <c r="D630" s="2" t="s">
        <v>8</v>
      </c>
      <c r="E630" s="2" t="s">
        <v>9</v>
      </c>
      <c r="F630" s="2" t="s">
        <v>10</v>
      </c>
      <c r="G630" s="2" t="s">
        <v>11</v>
      </c>
      <c r="H630" s="2" t="s">
        <v>12</v>
      </c>
      <c r="I630" s="2" t="s">
        <v>13</v>
      </c>
      <c r="J630" s="2" t="s">
        <v>14</v>
      </c>
      <c r="K630" s="2" t="s">
        <v>15</v>
      </c>
      <c r="L630" s="2" t="s">
        <v>16</v>
      </c>
    </row>
    <row r="631" spans="1:12" x14ac:dyDescent="0.25">
      <c r="A631" s="3">
        <v>45699.205625000002</v>
      </c>
      <c r="B631" t="s">
        <v>35</v>
      </c>
      <c r="C631" s="3">
        <v>45699.427118055552</v>
      </c>
      <c r="D631" t="s">
        <v>387</v>
      </c>
      <c r="E631" s="4">
        <v>81.551000000000002</v>
      </c>
      <c r="F631" s="4">
        <v>386585.34899999999</v>
      </c>
      <c r="G631" s="4">
        <v>386666.9</v>
      </c>
      <c r="H631" s="5">
        <f>6959 / 86400</f>
        <v>8.054398148148148E-2</v>
      </c>
      <c r="I631" t="s">
        <v>32</v>
      </c>
      <c r="J631" t="s">
        <v>19</v>
      </c>
      <c r="K631" s="5">
        <f>19136 / 86400</f>
        <v>0.22148148148148147</v>
      </c>
      <c r="L631" s="5">
        <f>17985 / 86400</f>
        <v>0.20815972222222223</v>
      </c>
    </row>
    <row r="632" spans="1:12" x14ac:dyDescent="0.25">
      <c r="A632" s="3">
        <v>45699.429652777777</v>
      </c>
      <c r="B632" t="s">
        <v>387</v>
      </c>
      <c r="C632" s="3">
        <v>45699.429837962962</v>
      </c>
      <c r="D632" t="s">
        <v>387</v>
      </c>
      <c r="E632" s="4">
        <v>0</v>
      </c>
      <c r="F632" s="4">
        <v>386666.9</v>
      </c>
      <c r="G632" s="4">
        <v>386666.9</v>
      </c>
      <c r="H632" s="5">
        <f>0 / 86400</f>
        <v>0</v>
      </c>
      <c r="I632" t="s">
        <v>88</v>
      </c>
      <c r="J632" t="s">
        <v>88</v>
      </c>
      <c r="K632" s="5">
        <f>15 / 86400</f>
        <v>1.7361111111111112E-4</v>
      </c>
      <c r="L632" s="5">
        <f>1343 / 86400</f>
        <v>1.5543981481481482E-2</v>
      </c>
    </row>
    <row r="633" spans="1:12" x14ac:dyDescent="0.25">
      <c r="A633" s="3">
        <v>45699.445381944446</v>
      </c>
      <c r="B633" t="s">
        <v>387</v>
      </c>
      <c r="C633" s="3">
        <v>45699.446863425925</v>
      </c>
      <c r="D633" t="s">
        <v>153</v>
      </c>
      <c r="E633" s="4">
        <v>0.316</v>
      </c>
      <c r="F633" s="4">
        <v>386666.9</v>
      </c>
      <c r="G633" s="4">
        <v>386667.21600000001</v>
      </c>
      <c r="H633" s="5">
        <f>0 / 86400</f>
        <v>0</v>
      </c>
      <c r="I633" t="s">
        <v>152</v>
      </c>
      <c r="J633" t="s">
        <v>127</v>
      </c>
      <c r="K633" s="5">
        <f>128 / 86400</f>
        <v>1.4814814814814814E-3</v>
      </c>
      <c r="L633" s="5">
        <f>1664 / 86400</f>
        <v>1.9259259259259261E-2</v>
      </c>
    </row>
    <row r="634" spans="1:12" x14ac:dyDescent="0.25">
      <c r="A634" s="3">
        <v>45699.466122685189</v>
      </c>
      <c r="B634" t="s">
        <v>153</v>
      </c>
      <c r="C634" s="3">
        <v>45699.471284722225</v>
      </c>
      <c r="D634" t="s">
        <v>144</v>
      </c>
      <c r="E634" s="4">
        <v>1.242</v>
      </c>
      <c r="F634" s="4">
        <v>386667.21600000001</v>
      </c>
      <c r="G634" s="4">
        <v>386668.45799999998</v>
      </c>
      <c r="H634" s="5">
        <f>100 / 86400</f>
        <v>1.1574074074074073E-3</v>
      </c>
      <c r="I634" t="s">
        <v>203</v>
      </c>
      <c r="J634" t="s">
        <v>112</v>
      </c>
      <c r="K634" s="5">
        <f>445 / 86400</f>
        <v>5.1504629629629626E-3</v>
      </c>
      <c r="L634" s="5">
        <f>1785 / 86400</f>
        <v>2.0659722222222222E-2</v>
      </c>
    </row>
    <row r="635" spans="1:12" x14ac:dyDescent="0.25">
      <c r="A635" s="3">
        <v>45699.491944444446</v>
      </c>
      <c r="B635" t="s">
        <v>144</v>
      </c>
      <c r="C635" s="3">
        <v>45699.603101851855</v>
      </c>
      <c r="D635" t="s">
        <v>398</v>
      </c>
      <c r="E635" s="4">
        <v>47.276000000000003</v>
      </c>
      <c r="F635" s="4">
        <v>386668.45799999998</v>
      </c>
      <c r="G635" s="4">
        <v>386715.734</v>
      </c>
      <c r="H635" s="5">
        <f>3160 / 86400</f>
        <v>3.6574074074074071E-2</v>
      </c>
      <c r="I635" t="s">
        <v>55</v>
      </c>
      <c r="J635" t="s">
        <v>26</v>
      </c>
      <c r="K635" s="5">
        <f>9604 / 86400</f>
        <v>0.11115740740740741</v>
      </c>
      <c r="L635" s="5">
        <f>173 / 86400</f>
        <v>2.0023148148148148E-3</v>
      </c>
    </row>
    <row r="636" spans="1:12" x14ac:dyDescent="0.25">
      <c r="A636" s="3">
        <v>45699.605104166665</v>
      </c>
      <c r="B636" t="s">
        <v>398</v>
      </c>
      <c r="C636" s="3">
        <v>45699.736990740741</v>
      </c>
      <c r="D636" t="s">
        <v>35</v>
      </c>
      <c r="E636" s="4">
        <v>57.225000000000001</v>
      </c>
      <c r="F636" s="4">
        <v>386715.734</v>
      </c>
      <c r="G636" s="4">
        <v>386772.95899999997</v>
      </c>
      <c r="H636" s="5">
        <f>3360 / 86400</f>
        <v>3.888888888888889E-2</v>
      </c>
      <c r="I636" t="s">
        <v>107</v>
      </c>
      <c r="J636" t="s">
        <v>26</v>
      </c>
      <c r="K636" s="5">
        <f>11395 / 86400</f>
        <v>0.13188657407407409</v>
      </c>
      <c r="L636" s="5">
        <f>550 / 86400</f>
        <v>6.3657407407407404E-3</v>
      </c>
    </row>
    <row r="637" spans="1:12" x14ac:dyDescent="0.25">
      <c r="A637" s="3">
        <v>45699.743356481486</v>
      </c>
      <c r="B637" t="s">
        <v>35</v>
      </c>
      <c r="C637" s="3">
        <v>45699.748148148152</v>
      </c>
      <c r="D637" t="s">
        <v>35</v>
      </c>
      <c r="E637" s="4">
        <v>1.3720000000000001</v>
      </c>
      <c r="F637" s="4">
        <v>386772.95899999997</v>
      </c>
      <c r="G637" s="4">
        <v>386774.33100000001</v>
      </c>
      <c r="H637" s="5">
        <f>180 / 86400</f>
        <v>2.0833333333333333E-3</v>
      </c>
      <c r="I637" t="s">
        <v>171</v>
      </c>
      <c r="J637" t="s">
        <v>131</v>
      </c>
      <c r="K637" s="5">
        <f>414 / 86400</f>
        <v>4.7916666666666663E-3</v>
      </c>
      <c r="L637" s="5">
        <f>21759 / 86400</f>
        <v>0.25184027777777779</v>
      </c>
    </row>
    <row r="638" spans="1:12" x14ac:dyDescent="0.25">
      <c r="A638" s="11"/>
      <c r="B638" s="11"/>
      <c r="C638" s="11"/>
      <c r="D638" s="11"/>
      <c r="E638" s="11"/>
      <c r="F638" s="11"/>
      <c r="G638" s="11"/>
      <c r="H638" s="11"/>
      <c r="I638" s="11"/>
      <c r="J638" s="11"/>
    </row>
    <row r="639" spans="1:12" x14ac:dyDescent="0.25">
      <c r="A639" s="11"/>
      <c r="B639" s="11"/>
      <c r="C639" s="11"/>
      <c r="D639" s="11"/>
      <c r="E639" s="11"/>
      <c r="F639" s="11"/>
      <c r="G639" s="11"/>
      <c r="H639" s="11"/>
      <c r="I639" s="11"/>
      <c r="J639" s="11"/>
    </row>
    <row r="640" spans="1:12" s="10" customFormat="1" ht="20.100000000000001" customHeight="1" x14ac:dyDescent="0.35">
      <c r="A640" s="12" t="s">
        <v>460</v>
      </c>
      <c r="B640" s="12"/>
      <c r="C640" s="12"/>
      <c r="D640" s="12"/>
      <c r="E640" s="12"/>
      <c r="F640" s="12"/>
      <c r="G640" s="12"/>
      <c r="H640" s="12"/>
      <c r="I640" s="12"/>
      <c r="J640" s="12"/>
    </row>
    <row r="641" spans="1:12" x14ac:dyDescent="0.25">
      <c r="A641" s="11"/>
      <c r="B641" s="11"/>
      <c r="C641" s="11"/>
      <c r="D641" s="11"/>
      <c r="E641" s="11"/>
      <c r="F641" s="11"/>
      <c r="G641" s="11"/>
      <c r="H641" s="11"/>
      <c r="I641" s="11"/>
      <c r="J641" s="11"/>
    </row>
    <row r="642" spans="1:12" ht="30" x14ac:dyDescent="0.25">
      <c r="A642" s="2" t="s">
        <v>5</v>
      </c>
      <c r="B642" s="2" t="s">
        <v>6</v>
      </c>
      <c r="C642" s="2" t="s">
        <v>7</v>
      </c>
      <c r="D642" s="2" t="s">
        <v>8</v>
      </c>
      <c r="E642" s="2" t="s">
        <v>9</v>
      </c>
      <c r="F642" s="2" t="s">
        <v>10</v>
      </c>
      <c r="G642" s="2" t="s">
        <v>11</v>
      </c>
      <c r="H642" s="2" t="s">
        <v>12</v>
      </c>
      <c r="I642" s="2" t="s">
        <v>13</v>
      </c>
      <c r="J642" s="2" t="s">
        <v>14</v>
      </c>
      <c r="K642" s="2" t="s">
        <v>15</v>
      </c>
      <c r="L642" s="2" t="s">
        <v>16</v>
      </c>
    </row>
    <row r="643" spans="1:12" x14ac:dyDescent="0.25">
      <c r="A643" s="3">
        <v>45699.329641203702</v>
      </c>
      <c r="B643" t="s">
        <v>35</v>
      </c>
      <c r="C643" s="3">
        <v>45699.33021990741</v>
      </c>
      <c r="D643" t="s">
        <v>35</v>
      </c>
      <c r="E643" s="4">
        <v>1.7999999999999999E-2</v>
      </c>
      <c r="F643" s="4">
        <v>392325.75400000002</v>
      </c>
      <c r="G643" s="4">
        <v>392325.772</v>
      </c>
      <c r="H643" s="5">
        <f>19 / 86400</f>
        <v>2.199074074074074E-4</v>
      </c>
      <c r="I643" t="s">
        <v>57</v>
      </c>
      <c r="J643" t="s">
        <v>29</v>
      </c>
      <c r="K643" s="5">
        <f>49 / 86400</f>
        <v>5.6712962962962967E-4</v>
      </c>
      <c r="L643" s="5">
        <f>86349 / 86400</f>
        <v>0.99940972222222224</v>
      </c>
    </row>
    <row r="644" spans="1:12" x14ac:dyDescent="0.25">
      <c r="A644" s="11"/>
      <c r="B644" s="11"/>
      <c r="C644" s="11"/>
      <c r="D644" s="11"/>
      <c r="E644" s="11"/>
      <c r="F644" s="11"/>
      <c r="G644" s="11"/>
      <c r="H644" s="11"/>
      <c r="I644" s="11"/>
      <c r="J644" s="11"/>
    </row>
    <row r="645" spans="1:12" x14ac:dyDescent="0.25">
      <c r="A645" s="11"/>
      <c r="B645" s="11"/>
      <c r="C645" s="11"/>
      <c r="D645" s="11"/>
      <c r="E645" s="11"/>
      <c r="F645" s="11"/>
      <c r="G645" s="11"/>
      <c r="H645" s="11"/>
      <c r="I645" s="11"/>
      <c r="J645" s="11"/>
    </row>
    <row r="646" spans="1:12" s="10" customFormat="1" ht="20.100000000000001" customHeight="1" x14ac:dyDescent="0.35">
      <c r="A646" s="12" t="s">
        <v>461</v>
      </c>
      <c r="B646" s="12"/>
      <c r="C646" s="12"/>
      <c r="D646" s="12"/>
      <c r="E646" s="12"/>
      <c r="F646" s="12"/>
      <c r="G646" s="12"/>
      <c r="H646" s="12"/>
      <c r="I646" s="12"/>
      <c r="J646" s="12"/>
    </row>
    <row r="647" spans="1:12" x14ac:dyDescent="0.25">
      <c r="A647" s="11"/>
      <c r="B647" s="11"/>
      <c r="C647" s="11"/>
      <c r="D647" s="11"/>
      <c r="E647" s="11"/>
      <c r="F647" s="11"/>
      <c r="G647" s="11"/>
      <c r="H647" s="11"/>
      <c r="I647" s="11"/>
      <c r="J647" s="11"/>
    </row>
    <row r="648" spans="1:12" ht="30" x14ac:dyDescent="0.25">
      <c r="A648" s="2" t="s">
        <v>5</v>
      </c>
      <c r="B648" s="2" t="s">
        <v>6</v>
      </c>
      <c r="C648" s="2" t="s">
        <v>7</v>
      </c>
      <c r="D648" s="2" t="s">
        <v>8</v>
      </c>
      <c r="E648" s="2" t="s">
        <v>9</v>
      </c>
      <c r="F648" s="2" t="s">
        <v>10</v>
      </c>
      <c r="G648" s="2" t="s">
        <v>11</v>
      </c>
      <c r="H648" s="2" t="s">
        <v>12</v>
      </c>
      <c r="I648" s="2" t="s">
        <v>13</v>
      </c>
      <c r="J648" s="2" t="s">
        <v>14</v>
      </c>
      <c r="K648" s="2" t="s">
        <v>15</v>
      </c>
      <c r="L648" s="2" t="s">
        <v>16</v>
      </c>
    </row>
    <row r="649" spans="1:12" x14ac:dyDescent="0.25">
      <c r="A649" s="3">
        <v>45699.147118055553</v>
      </c>
      <c r="B649" t="s">
        <v>58</v>
      </c>
      <c r="C649" s="3">
        <v>45699.289988425924</v>
      </c>
      <c r="D649" t="s">
        <v>144</v>
      </c>
      <c r="E649" s="4">
        <v>80.867000000000004</v>
      </c>
      <c r="F649" s="4">
        <v>522738.46799999999</v>
      </c>
      <c r="G649" s="4">
        <v>522819.33500000002</v>
      </c>
      <c r="H649" s="5">
        <f>2839 / 86400</f>
        <v>3.2858796296296296E-2</v>
      </c>
      <c r="I649" t="s">
        <v>59</v>
      </c>
      <c r="J649" t="s">
        <v>130</v>
      </c>
      <c r="K649" s="5">
        <f>12343 / 86400</f>
        <v>0.1428587962962963</v>
      </c>
      <c r="L649" s="5">
        <f>12722 / 86400</f>
        <v>0.14724537037037036</v>
      </c>
    </row>
    <row r="650" spans="1:12" x14ac:dyDescent="0.25">
      <c r="A650" s="3">
        <v>45699.29011574074</v>
      </c>
      <c r="B650" t="s">
        <v>144</v>
      </c>
      <c r="C650" s="3">
        <v>45699.290219907409</v>
      </c>
      <c r="D650" t="s">
        <v>144</v>
      </c>
      <c r="E650" s="4">
        <v>0</v>
      </c>
      <c r="F650" s="4">
        <v>522819.33500000002</v>
      </c>
      <c r="G650" s="4">
        <v>522819.33500000002</v>
      </c>
      <c r="H650" s="5">
        <f>0 / 86400</f>
        <v>0</v>
      </c>
      <c r="I650" t="s">
        <v>88</v>
      </c>
      <c r="J650" t="s">
        <v>88</v>
      </c>
      <c r="K650" s="5">
        <f>9 / 86400</f>
        <v>1.0416666666666667E-4</v>
      </c>
      <c r="L650" s="5">
        <f>1661 / 86400</f>
        <v>1.9224537037037037E-2</v>
      </c>
    </row>
    <row r="651" spans="1:12" x14ac:dyDescent="0.25">
      <c r="A651" s="3">
        <v>45699.309444444443</v>
      </c>
      <c r="B651" t="s">
        <v>144</v>
      </c>
      <c r="C651" s="3">
        <v>45699.564652777779</v>
      </c>
      <c r="D651" t="s">
        <v>277</v>
      </c>
      <c r="E651" s="4">
        <v>101.901</v>
      </c>
      <c r="F651" s="4">
        <v>522819.33500000002</v>
      </c>
      <c r="G651" s="4">
        <v>522921.23599999998</v>
      </c>
      <c r="H651" s="5">
        <f>6738 / 86400</f>
        <v>7.7986111111111117E-2</v>
      </c>
      <c r="I651" t="s">
        <v>36</v>
      </c>
      <c r="J651" t="s">
        <v>42</v>
      </c>
      <c r="K651" s="5">
        <f>22049 / 86400</f>
        <v>0.25519675925925928</v>
      </c>
      <c r="L651" s="5">
        <f>134 / 86400</f>
        <v>1.5509259259259259E-3</v>
      </c>
    </row>
    <row r="652" spans="1:12" x14ac:dyDescent="0.25">
      <c r="A652" s="3">
        <v>45699.566203703704</v>
      </c>
      <c r="B652" t="s">
        <v>277</v>
      </c>
      <c r="C652" s="3">
        <v>45699.568414351852</v>
      </c>
      <c r="D652" t="s">
        <v>105</v>
      </c>
      <c r="E652" s="4">
        <v>0.13100000000000001</v>
      </c>
      <c r="F652" s="4">
        <v>522921.23599999998</v>
      </c>
      <c r="G652" s="4">
        <v>522921.36700000003</v>
      </c>
      <c r="H652" s="5">
        <f>120 / 86400</f>
        <v>1.3888888888888889E-3</v>
      </c>
      <c r="I652" t="s">
        <v>56</v>
      </c>
      <c r="J652" t="s">
        <v>57</v>
      </c>
      <c r="K652" s="5">
        <f>191 / 86400</f>
        <v>2.2106481481481482E-3</v>
      </c>
      <c r="L652" s="5">
        <f>3309 / 86400</f>
        <v>3.829861111111111E-2</v>
      </c>
    </row>
    <row r="653" spans="1:12" x14ac:dyDescent="0.25">
      <c r="A653" s="3">
        <v>45699.606712962966</v>
      </c>
      <c r="B653" t="s">
        <v>105</v>
      </c>
      <c r="C653" s="3">
        <v>45699.652662037042</v>
      </c>
      <c r="D653" t="s">
        <v>399</v>
      </c>
      <c r="E653" s="4">
        <v>22.949000000000002</v>
      </c>
      <c r="F653" s="4">
        <v>522921.36700000003</v>
      </c>
      <c r="G653" s="4">
        <v>522944.31599999999</v>
      </c>
      <c r="H653" s="5">
        <f>1080 / 86400</f>
        <v>1.2500000000000001E-2</v>
      </c>
      <c r="I653" t="s">
        <v>175</v>
      </c>
      <c r="J653" t="s">
        <v>108</v>
      </c>
      <c r="K653" s="5">
        <f>3969 / 86400</f>
        <v>4.5937499999999999E-2</v>
      </c>
      <c r="L653" s="5">
        <f>73 / 86400</f>
        <v>8.4490740740740739E-4</v>
      </c>
    </row>
    <row r="654" spans="1:12" x14ac:dyDescent="0.25">
      <c r="A654" s="3">
        <v>45699.653506944444</v>
      </c>
      <c r="B654" t="s">
        <v>399</v>
      </c>
      <c r="C654" s="3">
        <v>45699.653761574074</v>
      </c>
      <c r="D654" t="s">
        <v>361</v>
      </c>
      <c r="E654" s="4">
        <v>5.2999999999999999E-2</v>
      </c>
      <c r="F654" s="4">
        <v>522944.31599999999</v>
      </c>
      <c r="G654" s="4">
        <v>522944.36900000001</v>
      </c>
      <c r="H654" s="5">
        <f>0 / 86400</f>
        <v>0</v>
      </c>
      <c r="I654" t="s">
        <v>134</v>
      </c>
      <c r="J654" t="s">
        <v>127</v>
      </c>
      <c r="K654" s="5">
        <f>22 / 86400</f>
        <v>2.5462962962962961E-4</v>
      </c>
      <c r="L654" s="5">
        <f>5900 / 86400</f>
        <v>6.8287037037037035E-2</v>
      </c>
    </row>
    <row r="655" spans="1:12" x14ac:dyDescent="0.25">
      <c r="A655" s="3">
        <v>45699.722048611111</v>
      </c>
      <c r="B655" t="s">
        <v>361</v>
      </c>
      <c r="C655" s="3">
        <v>45699.724722222221</v>
      </c>
      <c r="D655" t="s">
        <v>400</v>
      </c>
      <c r="E655" s="4">
        <v>0.51600000000000001</v>
      </c>
      <c r="F655" s="4">
        <v>522944.36900000001</v>
      </c>
      <c r="G655" s="4">
        <v>522944.88500000001</v>
      </c>
      <c r="H655" s="5">
        <f>79 / 86400</f>
        <v>9.1435185185185185E-4</v>
      </c>
      <c r="I655" t="s">
        <v>152</v>
      </c>
      <c r="J655" t="s">
        <v>125</v>
      </c>
      <c r="K655" s="5">
        <f>230 / 86400</f>
        <v>2.662037037037037E-3</v>
      </c>
      <c r="L655" s="5">
        <f>133 / 86400</f>
        <v>1.5393518518518519E-3</v>
      </c>
    </row>
    <row r="656" spans="1:12" x14ac:dyDescent="0.25">
      <c r="A656" s="3">
        <v>45699.726261574076</v>
      </c>
      <c r="B656" t="s">
        <v>400</v>
      </c>
      <c r="C656" s="3">
        <v>45699.72855324074</v>
      </c>
      <c r="D656" t="s">
        <v>58</v>
      </c>
      <c r="E656" s="4">
        <v>0.376</v>
      </c>
      <c r="F656" s="4">
        <v>522944.88500000001</v>
      </c>
      <c r="G656" s="4">
        <v>522945.261</v>
      </c>
      <c r="H656" s="5">
        <f>60 / 86400</f>
        <v>6.9444444444444447E-4</v>
      </c>
      <c r="I656" t="s">
        <v>42</v>
      </c>
      <c r="J656" t="s">
        <v>28</v>
      </c>
      <c r="K656" s="5">
        <f>197 / 86400</f>
        <v>2.2800925925925927E-3</v>
      </c>
      <c r="L656" s="5">
        <f>23452 / 86400</f>
        <v>0.27143518518518517</v>
      </c>
    </row>
    <row r="657" spans="1:12" x14ac:dyDescent="0.25">
      <c r="A657" s="11"/>
      <c r="B657" s="11"/>
      <c r="C657" s="11"/>
      <c r="D657" s="11"/>
      <c r="E657" s="11"/>
      <c r="F657" s="11"/>
      <c r="G657" s="11"/>
      <c r="H657" s="11"/>
      <c r="I657" s="11"/>
      <c r="J657" s="11"/>
    </row>
    <row r="658" spans="1:12" x14ac:dyDescent="0.25">
      <c r="A658" s="11"/>
      <c r="B658" s="11"/>
      <c r="C658" s="11"/>
      <c r="D658" s="11"/>
      <c r="E658" s="11"/>
      <c r="F658" s="11"/>
      <c r="G658" s="11"/>
      <c r="H658" s="11"/>
      <c r="I658" s="11"/>
      <c r="J658" s="11"/>
    </row>
    <row r="659" spans="1:12" s="10" customFormat="1" ht="20.100000000000001" customHeight="1" x14ac:dyDescent="0.35">
      <c r="A659" s="12" t="s">
        <v>462</v>
      </c>
      <c r="B659" s="12"/>
      <c r="C659" s="12"/>
      <c r="D659" s="12"/>
      <c r="E659" s="12"/>
      <c r="F659" s="12"/>
      <c r="G659" s="12"/>
      <c r="H659" s="12"/>
      <c r="I659" s="12"/>
      <c r="J659" s="12"/>
    </row>
    <row r="660" spans="1:12" x14ac:dyDescent="0.25">
      <c r="A660" s="11"/>
      <c r="B660" s="11"/>
      <c r="C660" s="11"/>
      <c r="D660" s="11"/>
      <c r="E660" s="11"/>
      <c r="F660" s="11"/>
      <c r="G660" s="11"/>
      <c r="H660" s="11"/>
      <c r="I660" s="11"/>
      <c r="J660" s="11"/>
    </row>
    <row r="661" spans="1:12" ht="30" x14ac:dyDescent="0.25">
      <c r="A661" s="2" t="s">
        <v>5</v>
      </c>
      <c r="B661" s="2" t="s">
        <v>6</v>
      </c>
      <c r="C661" s="2" t="s">
        <v>7</v>
      </c>
      <c r="D661" s="2" t="s">
        <v>8</v>
      </c>
      <c r="E661" s="2" t="s">
        <v>9</v>
      </c>
      <c r="F661" s="2" t="s">
        <v>10</v>
      </c>
      <c r="G661" s="2" t="s">
        <v>11</v>
      </c>
      <c r="H661" s="2" t="s">
        <v>12</v>
      </c>
      <c r="I661" s="2" t="s">
        <v>13</v>
      </c>
      <c r="J661" s="2" t="s">
        <v>14</v>
      </c>
      <c r="K661" s="2" t="s">
        <v>15</v>
      </c>
      <c r="L661" s="2" t="s">
        <v>16</v>
      </c>
    </row>
    <row r="662" spans="1:12" x14ac:dyDescent="0.25">
      <c r="A662" s="3">
        <v>45699</v>
      </c>
      <c r="B662" t="s">
        <v>60</v>
      </c>
      <c r="C662" s="3">
        <v>45699.004699074074</v>
      </c>
      <c r="D662" t="s">
        <v>401</v>
      </c>
      <c r="E662" s="4">
        <v>0.22700000000000001</v>
      </c>
      <c r="F662" s="4">
        <v>411464.91600000003</v>
      </c>
      <c r="G662" s="4">
        <v>411465.14299999998</v>
      </c>
      <c r="H662" s="5">
        <f>340 / 86400</f>
        <v>3.9351851851851848E-3</v>
      </c>
      <c r="I662" t="s">
        <v>37</v>
      </c>
      <c r="J662" t="s">
        <v>57</v>
      </c>
      <c r="K662" s="5">
        <f>406 / 86400</f>
        <v>4.6990740740740743E-3</v>
      </c>
      <c r="L662" s="5">
        <f>16550 / 86400</f>
        <v>0.19155092592592593</v>
      </c>
    </row>
    <row r="663" spans="1:12" x14ac:dyDescent="0.25">
      <c r="A663" s="3">
        <v>45699.196250000001</v>
      </c>
      <c r="B663" t="s">
        <v>138</v>
      </c>
      <c r="C663" s="3">
        <v>45699.200497685189</v>
      </c>
      <c r="D663" t="s">
        <v>381</v>
      </c>
      <c r="E663" s="4">
        <v>0.35</v>
      </c>
      <c r="F663" s="4">
        <v>411465.14299999998</v>
      </c>
      <c r="G663" s="4">
        <v>411465.49300000002</v>
      </c>
      <c r="H663" s="5">
        <f>239 / 86400</f>
        <v>2.7662037037037039E-3</v>
      </c>
      <c r="I663" t="s">
        <v>37</v>
      </c>
      <c r="J663" t="s">
        <v>157</v>
      </c>
      <c r="K663" s="5">
        <f>366 / 86400</f>
        <v>4.2361111111111115E-3</v>
      </c>
      <c r="L663" s="5">
        <f>531 / 86400</f>
        <v>6.145833333333333E-3</v>
      </c>
    </row>
    <row r="664" spans="1:12" x14ac:dyDescent="0.25">
      <c r="A664" s="3">
        <v>45699.206643518519</v>
      </c>
      <c r="B664" t="s">
        <v>381</v>
      </c>
      <c r="C664" s="3">
        <v>45699.206666666665</v>
      </c>
      <c r="D664" t="s">
        <v>381</v>
      </c>
      <c r="E664" s="4">
        <v>0</v>
      </c>
      <c r="F664" s="4">
        <v>411465.49300000002</v>
      </c>
      <c r="G664" s="4">
        <v>411465.49300000002</v>
      </c>
      <c r="H664" s="5">
        <f>0 / 86400</f>
        <v>0</v>
      </c>
      <c r="I664" t="s">
        <v>88</v>
      </c>
      <c r="J664" t="s">
        <v>88</v>
      </c>
      <c r="K664" s="5">
        <f>1 / 86400</f>
        <v>1.1574074074074073E-5</v>
      </c>
      <c r="L664" s="5">
        <f>3 / 86400</f>
        <v>3.4722222222222222E-5</v>
      </c>
    </row>
    <row r="665" spans="1:12" x14ac:dyDescent="0.25">
      <c r="A665" s="3">
        <v>45699.206701388888</v>
      </c>
      <c r="B665" t="s">
        <v>381</v>
      </c>
      <c r="C665" s="3">
        <v>45699.3199537037</v>
      </c>
      <c r="D665" t="s">
        <v>105</v>
      </c>
      <c r="E665" s="4">
        <v>51.000999999999998</v>
      </c>
      <c r="F665" s="4">
        <v>411465.49300000002</v>
      </c>
      <c r="G665" s="4">
        <v>411516.49400000001</v>
      </c>
      <c r="H665" s="5">
        <f>2476 / 86400</f>
        <v>2.8657407407407406E-2</v>
      </c>
      <c r="I665" t="s">
        <v>62</v>
      </c>
      <c r="J665" t="s">
        <v>22</v>
      </c>
      <c r="K665" s="5">
        <f>9785 / 86400</f>
        <v>0.11325231481481482</v>
      </c>
      <c r="L665" s="5">
        <f>2144 / 86400</f>
        <v>2.4814814814814814E-2</v>
      </c>
    </row>
    <row r="666" spans="1:12" x14ac:dyDescent="0.25">
      <c r="A666" s="3">
        <v>45699.344768518524</v>
      </c>
      <c r="B666" t="s">
        <v>105</v>
      </c>
      <c r="C666" s="3">
        <v>45699.353946759264</v>
      </c>
      <c r="D666" t="s">
        <v>402</v>
      </c>
      <c r="E666" s="4">
        <v>2.1989999999999998</v>
      </c>
      <c r="F666" s="4">
        <v>411516.49400000001</v>
      </c>
      <c r="G666" s="4">
        <v>411518.69300000003</v>
      </c>
      <c r="H666" s="5">
        <f>159 / 86400</f>
        <v>1.8402777777777777E-3</v>
      </c>
      <c r="I666" t="s">
        <v>34</v>
      </c>
      <c r="J666" t="s">
        <v>112</v>
      </c>
      <c r="K666" s="5">
        <f>793 / 86400</f>
        <v>9.1782407407407403E-3</v>
      </c>
      <c r="L666" s="5">
        <f>29715 / 86400</f>
        <v>0.34392361111111114</v>
      </c>
    </row>
    <row r="667" spans="1:12" x14ac:dyDescent="0.25">
      <c r="A667" s="3">
        <v>45699.697870370372</v>
      </c>
      <c r="B667" t="s">
        <v>402</v>
      </c>
      <c r="C667" s="3">
        <v>45699.698796296296</v>
      </c>
      <c r="D667" t="s">
        <v>402</v>
      </c>
      <c r="E667" s="4">
        <v>0</v>
      </c>
      <c r="F667" s="4">
        <v>411518.69300000003</v>
      </c>
      <c r="G667" s="4">
        <v>411518.69300000003</v>
      </c>
      <c r="H667" s="5">
        <f>59 / 86400</f>
        <v>6.8287037037037036E-4</v>
      </c>
      <c r="I667" t="s">
        <v>88</v>
      </c>
      <c r="J667" t="s">
        <v>88</v>
      </c>
      <c r="K667" s="5">
        <f>79 / 86400</f>
        <v>9.1435185185185185E-4</v>
      </c>
      <c r="L667" s="5">
        <f>3 / 86400</f>
        <v>3.4722222222222222E-5</v>
      </c>
    </row>
    <row r="668" spans="1:12" x14ac:dyDescent="0.25">
      <c r="A668" s="3">
        <v>45699.698831018519</v>
      </c>
      <c r="B668" t="s">
        <v>402</v>
      </c>
      <c r="C668" s="3">
        <v>45699.708518518513</v>
      </c>
      <c r="D668" t="s">
        <v>278</v>
      </c>
      <c r="E668" s="4">
        <v>2.3340000000000001</v>
      </c>
      <c r="F668" s="4">
        <v>411518.69300000003</v>
      </c>
      <c r="G668" s="4">
        <v>411521.027</v>
      </c>
      <c r="H668" s="5">
        <f>220 / 86400</f>
        <v>2.5462962962962965E-3</v>
      </c>
      <c r="I668" t="s">
        <v>143</v>
      </c>
      <c r="J668" t="s">
        <v>112</v>
      </c>
      <c r="K668" s="5">
        <f>836 / 86400</f>
        <v>9.6759259259259264E-3</v>
      </c>
      <c r="L668" s="5">
        <f>355 / 86400</f>
        <v>4.1087962962962962E-3</v>
      </c>
    </row>
    <row r="669" spans="1:12" x14ac:dyDescent="0.25">
      <c r="A669" s="3">
        <v>45699.712627314817</v>
      </c>
      <c r="B669" t="s">
        <v>278</v>
      </c>
      <c r="C669" s="3">
        <v>45699.757997685185</v>
      </c>
      <c r="D669" t="s">
        <v>61</v>
      </c>
      <c r="E669" s="4">
        <v>20.890999999999998</v>
      </c>
      <c r="F669" s="4">
        <v>411521.027</v>
      </c>
      <c r="G669" s="4">
        <v>411541.91800000001</v>
      </c>
      <c r="H669" s="5">
        <f>1139 / 86400</f>
        <v>1.3182870370370371E-2</v>
      </c>
      <c r="I669" t="s">
        <v>162</v>
      </c>
      <c r="J669" t="s">
        <v>22</v>
      </c>
      <c r="K669" s="5">
        <f>3919 / 86400</f>
        <v>4.5358796296296293E-2</v>
      </c>
      <c r="L669" s="5">
        <f>76 / 86400</f>
        <v>8.7962962962962962E-4</v>
      </c>
    </row>
    <row r="670" spans="1:12" x14ac:dyDescent="0.25">
      <c r="A670" s="3">
        <v>45699.758877314816</v>
      </c>
      <c r="B670" t="s">
        <v>61</v>
      </c>
      <c r="C670" s="3">
        <v>45699.77065972222</v>
      </c>
      <c r="D670" t="s">
        <v>403</v>
      </c>
      <c r="E670" s="4">
        <v>2.6949999999999998</v>
      </c>
      <c r="F670" s="4">
        <v>411541.91800000001</v>
      </c>
      <c r="G670" s="4">
        <v>411544.61300000001</v>
      </c>
      <c r="H670" s="5">
        <f>220 / 86400</f>
        <v>2.5462962962962965E-3</v>
      </c>
      <c r="I670" t="s">
        <v>184</v>
      </c>
      <c r="J670" t="s">
        <v>112</v>
      </c>
      <c r="K670" s="5">
        <f>1017 / 86400</f>
        <v>1.1770833333333333E-2</v>
      </c>
      <c r="L670" s="5">
        <f>9503 / 86400</f>
        <v>0.10998842592592592</v>
      </c>
    </row>
    <row r="671" spans="1:12" x14ac:dyDescent="0.25">
      <c r="A671" s="3">
        <v>45699.880648148144</v>
      </c>
      <c r="B671" t="s">
        <v>403</v>
      </c>
      <c r="C671" s="3">
        <v>45699.884652777779</v>
      </c>
      <c r="D671" t="s">
        <v>61</v>
      </c>
      <c r="E671" s="4">
        <v>0.70799999999999996</v>
      </c>
      <c r="F671" s="4">
        <v>411544.61300000001</v>
      </c>
      <c r="G671" s="4">
        <v>411545.321</v>
      </c>
      <c r="H671" s="5">
        <f>60 / 86400</f>
        <v>6.9444444444444447E-4</v>
      </c>
      <c r="I671" t="s">
        <v>19</v>
      </c>
      <c r="J671" t="s">
        <v>28</v>
      </c>
      <c r="K671" s="5">
        <f>346 / 86400</f>
        <v>4.0046296296296297E-3</v>
      </c>
      <c r="L671" s="5">
        <f>9965 / 86400</f>
        <v>0.11533564814814815</v>
      </c>
    </row>
    <row r="672" spans="1:12" x14ac:dyDescent="0.25">
      <c r="A672" s="11"/>
      <c r="B672" s="11"/>
      <c r="C672" s="11"/>
      <c r="D672" s="11"/>
      <c r="E672" s="11"/>
      <c r="F672" s="11"/>
      <c r="G672" s="11"/>
      <c r="H672" s="11"/>
      <c r="I672" s="11"/>
      <c r="J672" s="11"/>
    </row>
    <row r="673" spans="1:12" x14ac:dyDescent="0.25">
      <c r="A673" s="11"/>
      <c r="B673" s="11"/>
      <c r="C673" s="11"/>
      <c r="D673" s="11"/>
      <c r="E673" s="11"/>
      <c r="F673" s="11"/>
      <c r="G673" s="11"/>
      <c r="H673" s="11"/>
      <c r="I673" s="11"/>
      <c r="J673" s="11"/>
    </row>
    <row r="674" spans="1:12" s="10" customFormat="1" ht="20.100000000000001" customHeight="1" x14ac:dyDescent="0.35">
      <c r="A674" s="12" t="s">
        <v>463</v>
      </c>
      <c r="B674" s="12"/>
      <c r="C674" s="12"/>
      <c r="D674" s="12"/>
      <c r="E674" s="12"/>
      <c r="F674" s="12"/>
      <c r="G674" s="12"/>
      <c r="H674" s="12"/>
      <c r="I674" s="12"/>
      <c r="J674" s="12"/>
    </row>
    <row r="675" spans="1:12" x14ac:dyDescent="0.25">
      <c r="A675" s="11"/>
      <c r="B675" s="11"/>
      <c r="C675" s="11"/>
      <c r="D675" s="11"/>
      <c r="E675" s="11"/>
      <c r="F675" s="11"/>
      <c r="G675" s="11"/>
      <c r="H675" s="11"/>
      <c r="I675" s="11"/>
      <c r="J675" s="11"/>
    </row>
    <row r="676" spans="1:12" ht="30" x14ac:dyDescent="0.25">
      <c r="A676" s="2" t="s">
        <v>5</v>
      </c>
      <c r="B676" s="2" t="s">
        <v>6</v>
      </c>
      <c r="C676" s="2" t="s">
        <v>7</v>
      </c>
      <c r="D676" s="2" t="s">
        <v>8</v>
      </c>
      <c r="E676" s="2" t="s">
        <v>9</v>
      </c>
      <c r="F676" s="2" t="s">
        <v>10</v>
      </c>
      <c r="G676" s="2" t="s">
        <v>11</v>
      </c>
      <c r="H676" s="2" t="s">
        <v>12</v>
      </c>
      <c r="I676" s="2" t="s">
        <v>13</v>
      </c>
      <c r="J676" s="2" t="s">
        <v>14</v>
      </c>
      <c r="K676" s="2" t="s">
        <v>15</v>
      </c>
      <c r="L676" s="2" t="s">
        <v>16</v>
      </c>
    </row>
    <row r="677" spans="1:12" x14ac:dyDescent="0.25">
      <c r="A677" s="3">
        <v>45699.261481481481</v>
      </c>
      <c r="B677" t="s">
        <v>63</v>
      </c>
      <c r="C677" s="3">
        <v>45699.268194444448</v>
      </c>
      <c r="D677" t="s">
        <v>277</v>
      </c>
      <c r="E677" s="4">
        <v>0.56100000000000005</v>
      </c>
      <c r="F677" s="4">
        <v>402379.321</v>
      </c>
      <c r="G677" s="4">
        <v>402379.88199999998</v>
      </c>
      <c r="H677" s="5">
        <f>359 / 86400</f>
        <v>4.1550925925925922E-3</v>
      </c>
      <c r="I677" t="s">
        <v>137</v>
      </c>
      <c r="J677" t="s">
        <v>157</v>
      </c>
      <c r="K677" s="5">
        <f>579 / 86400</f>
        <v>6.7013888888888887E-3</v>
      </c>
      <c r="L677" s="5">
        <f>25600 / 86400</f>
        <v>0.29629629629629628</v>
      </c>
    </row>
    <row r="678" spans="1:12" x14ac:dyDescent="0.25">
      <c r="A678" s="3">
        <v>45699.30300925926</v>
      </c>
      <c r="B678" t="s">
        <v>277</v>
      </c>
      <c r="C678" s="3">
        <v>45699.401053240741</v>
      </c>
      <c r="D678" t="s">
        <v>404</v>
      </c>
      <c r="E678" s="4">
        <v>49.902999999999999</v>
      </c>
      <c r="F678" s="4">
        <v>402379.88199999998</v>
      </c>
      <c r="G678" s="4">
        <v>402429.78499999997</v>
      </c>
      <c r="H678" s="5">
        <f>2419 / 86400</f>
        <v>2.7997685185185184E-2</v>
      </c>
      <c r="I678" t="s">
        <v>59</v>
      </c>
      <c r="J678" t="s">
        <v>108</v>
      </c>
      <c r="K678" s="5">
        <f>8471 / 86400</f>
        <v>9.8043981481481482E-2</v>
      </c>
      <c r="L678" s="5">
        <f>2700 / 86400</f>
        <v>3.125E-2</v>
      </c>
    </row>
    <row r="679" spans="1:12" x14ac:dyDescent="0.25">
      <c r="A679" s="3">
        <v>45699.432303240741</v>
      </c>
      <c r="B679" t="s">
        <v>404</v>
      </c>
      <c r="C679" s="3">
        <v>45699.501307870371</v>
      </c>
      <c r="D679" t="s">
        <v>405</v>
      </c>
      <c r="E679" s="4">
        <v>19.234000000000002</v>
      </c>
      <c r="F679" s="4">
        <v>402429.78499999997</v>
      </c>
      <c r="G679" s="4">
        <v>402449.01899999997</v>
      </c>
      <c r="H679" s="5">
        <f>2619 / 86400</f>
        <v>3.0312499999999999E-2</v>
      </c>
      <c r="I679" t="s">
        <v>175</v>
      </c>
      <c r="J679" t="s">
        <v>131</v>
      </c>
      <c r="K679" s="5">
        <f>5962 / 86400</f>
        <v>6.9004629629629624E-2</v>
      </c>
      <c r="L679" s="5">
        <f>2506 / 86400</f>
        <v>2.900462962962963E-2</v>
      </c>
    </row>
    <row r="680" spans="1:12" x14ac:dyDescent="0.25">
      <c r="A680" s="3">
        <v>45699.530312499999</v>
      </c>
      <c r="B680" t="s">
        <v>405</v>
      </c>
      <c r="C680" s="3">
        <v>45699.608402777776</v>
      </c>
      <c r="D680" t="s">
        <v>97</v>
      </c>
      <c r="E680" s="4">
        <v>34.363999999999997</v>
      </c>
      <c r="F680" s="4">
        <v>402449.01899999997</v>
      </c>
      <c r="G680" s="4">
        <v>402483.38299999997</v>
      </c>
      <c r="H680" s="5">
        <f>2218 / 86400</f>
        <v>2.5671296296296296E-2</v>
      </c>
      <c r="I680" t="s">
        <v>39</v>
      </c>
      <c r="J680" t="s">
        <v>26</v>
      </c>
      <c r="K680" s="5">
        <f>6747 / 86400</f>
        <v>7.8090277777777772E-2</v>
      </c>
      <c r="L680" s="5">
        <f>3099 / 86400</f>
        <v>3.5868055555555556E-2</v>
      </c>
    </row>
    <row r="681" spans="1:12" x14ac:dyDescent="0.25">
      <c r="A681" s="3">
        <v>45699.644270833334</v>
      </c>
      <c r="B681" t="s">
        <v>97</v>
      </c>
      <c r="C681" s="3">
        <v>45699.742314814815</v>
      </c>
      <c r="D681" t="s">
        <v>406</v>
      </c>
      <c r="E681" s="4">
        <v>42.305</v>
      </c>
      <c r="F681" s="4">
        <v>402483.38299999997</v>
      </c>
      <c r="G681" s="4">
        <v>402525.68800000002</v>
      </c>
      <c r="H681" s="5">
        <f>2939 / 86400</f>
        <v>3.4016203703703701E-2</v>
      </c>
      <c r="I681" t="s">
        <v>45</v>
      </c>
      <c r="J681" t="s">
        <v>26</v>
      </c>
      <c r="K681" s="5">
        <f>8470 / 86400</f>
        <v>9.8032407407407401E-2</v>
      </c>
      <c r="L681" s="5">
        <f>423 / 86400</f>
        <v>4.8958333333333336E-3</v>
      </c>
    </row>
    <row r="682" spans="1:12" x14ac:dyDescent="0.25">
      <c r="A682" s="3">
        <v>45699.747210648144</v>
      </c>
      <c r="B682" t="s">
        <v>406</v>
      </c>
      <c r="C682" s="3">
        <v>45699.855717592596</v>
      </c>
      <c r="D682" t="s">
        <v>407</v>
      </c>
      <c r="E682" s="4">
        <v>32.832000000000001</v>
      </c>
      <c r="F682" s="4">
        <v>402525.68800000002</v>
      </c>
      <c r="G682" s="4">
        <v>402558.52</v>
      </c>
      <c r="H682" s="5">
        <f>4298 / 86400</f>
        <v>4.974537037037037E-2</v>
      </c>
      <c r="I682" t="s">
        <v>83</v>
      </c>
      <c r="J682" t="s">
        <v>56</v>
      </c>
      <c r="K682" s="5">
        <f>9375 / 86400</f>
        <v>0.10850694444444445</v>
      </c>
      <c r="L682" s="5">
        <f>65 / 86400</f>
        <v>7.5231481481481482E-4</v>
      </c>
    </row>
    <row r="683" spans="1:12" x14ac:dyDescent="0.25">
      <c r="A683" s="3">
        <v>45699.856469907405</v>
      </c>
      <c r="B683" t="s">
        <v>407</v>
      </c>
      <c r="C683" s="3">
        <v>45699.882256944446</v>
      </c>
      <c r="D683" t="s">
        <v>105</v>
      </c>
      <c r="E683" s="4">
        <v>13.25</v>
      </c>
      <c r="F683" s="4">
        <v>402558.52</v>
      </c>
      <c r="G683" s="4">
        <v>402571.77</v>
      </c>
      <c r="H683" s="5">
        <f>322 / 86400</f>
        <v>3.7268518518518519E-3</v>
      </c>
      <c r="I683" t="s">
        <v>183</v>
      </c>
      <c r="J683" t="s">
        <v>108</v>
      </c>
      <c r="K683" s="5">
        <f>2228 / 86400</f>
        <v>2.5787037037037035E-2</v>
      </c>
      <c r="L683" s="5">
        <f>257 / 86400</f>
        <v>2.9745370370370373E-3</v>
      </c>
    </row>
    <row r="684" spans="1:12" x14ac:dyDescent="0.25">
      <c r="A684" s="3">
        <v>45699.885231481487</v>
      </c>
      <c r="B684" t="s">
        <v>105</v>
      </c>
      <c r="C684" s="3">
        <v>45699.886238425926</v>
      </c>
      <c r="D684" t="s">
        <v>375</v>
      </c>
      <c r="E684" s="4">
        <v>0.309</v>
      </c>
      <c r="F684" s="4">
        <v>402571.77</v>
      </c>
      <c r="G684" s="4">
        <v>402572.07900000003</v>
      </c>
      <c r="H684" s="5">
        <f>19 / 86400</f>
        <v>2.199074074074074E-4</v>
      </c>
      <c r="I684" t="s">
        <v>124</v>
      </c>
      <c r="J684" t="s">
        <v>56</v>
      </c>
      <c r="K684" s="5">
        <f>87 / 86400</f>
        <v>1.0069444444444444E-3</v>
      </c>
      <c r="L684" s="5">
        <f>274 / 86400</f>
        <v>3.1712962962962962E-3</v>
      </c>
    </row>
    <row r="685" spans="1:12" x14ac:dyDescent="0.25">
      <c r="A685" s="3">
        <v>45699.889409722222</v>
      </c>
      <c r="B685" t="s">
        <v>408</v>
      </c>
      <c r="C685" s="3">
        <v>45699.892152777778</v>
      </c>
      <c r="D685" t="s">
        <v>63</v>
      </c>
      <c r="E685" s="4">
        <v>0.312</v>
      </c>
      <c r="F685" s="4">
        <v>402572.07900000003</v>
      </c>
      <c r="G685" s="4">
        <v>402572.391</v>
      </c>
      <c r="H685" s="5">
        <f>120 / 86400</f>
        <v>1.3888888888888889E-3</v>
      </c>
      <c r="I685" t="s">
        <v>131</v>
      </c>
      <c r="J685" t="s">
        <v>148</v>
      </c>
      <c r="K685" s="5">
        <f>236 / 86400</f>
        <v>2.7314814814814814E-3</v>
      </c>
      <c r="L685" s="5">
        <f>9317 / 86400</f>
        <v>0.10783564814814815</v>
      </c>
    </row>
    <row r="686" spans="1:12" x14ac:dyDescent="0.25">
      <c r="A686" s="11"/>
      <c r="B686" s="11"/>
      <c r="C686" s="11"/>
      <c r="D686" s="11"/>
      <c r="E686" s="11"/>
      <c r="F686" s="11"/>
      <c r="G686" s="11"/>
      <c r="H686" s="11"/>
      <c r="I686" s="11"/>
      <c r="J686" s="11"/>
    </row>
    <row r="687" spans="1:12" x14ac:dyDescent="0.25">
      <c r="A687" s="11"/>
      <c r="B687" s="11"/>
      <c r="C687" s="11"/>
      <c r="D687" s="11"/>
      <c r="E687" s="11"/>
      <c r="F687" s="11"/>
      <c r="G687" s="11"/>
      <c r="H687" s="11"/>
      <c r="I687" s="11"/>
      <c r="J687" s="11"/>
    </row>
    <row r="688" spans="1:12" s="10" customFormat="1" ht="20.100000000000001" customHeight="1" x14ac:dyDescent="0.35">
      <c r="A688" s="12" t="s">
        <v>464</v>
      </c>
      <c r="B688" s="12"/>
      <c r="C688" s="12"/>
      <c r="D688" s="12"/>
      <c r="E688" s="12"/>
      <c r="F688" s="12"/>
      <c r="G688" s="12"/>
      <c r="H688" s="12"/>
      <c r="I688" s="12"/>
      <c r="J688" s="12"/>
    </row>
    <row r="689" spans="1:12" x14ac:dyDescent="0.25">
      <c r="A689" s="11"/>
      <c r="B689" s="11"/>
      <c r="C689" s="11"/>
      <c r="D689" s="11"/>
      <c r="E689" s="11"/>
      <c r="F689" s="11"/>
      <c r="G689" s="11"/>
      <c r="H689" s="11"/>
      <c r="I689" s="11"/>
      <c r="J689" s="11"/>
    </row>
    <row r="690" spans="1:12" ht="30" x14ac:dyDescent="0.25">
      <c r="A690" s="2" t="s">
        <v>5</v>
      </c>
      <c r="B690" s="2" t="s">
        <v>6</v>
      </c>
      <c r="C690" s="2" t="s">
        <v>7</v>
      </c>
      <c r="D690" s="2" t="s">
        <v>8</v>
      </c>
      <c r="E690" s="2" t="s">
        <v>9</v>
      </c>
      <c r="F690" s="2" t="s">
        <v>10</v>
      </c>
      <c r="G690" s="2" t="s">
        <v>11</v>
      </c>
      <c r="H690" s="2" t="s">
        <v>12</v>
      </c>
      <c r="I690" s="2" t="s">
        <v>13</v>
      </c>
      <c r="J690" s="2" t="s">
        <v>14</v>
      </c>
      <c r="K690" s="2" t="s">
        <v>15</v>
      </c>
      <c r="L690" s="2" t="s">
        <v>16</v>
      </c>
    </row>
    <row r="691" spans="1:12" x14ac:dyDescent="0.25">
      <c r="A691" s="3">
        <v>45699.2972337963</v>
      </c>
      <c r="B691" t="s">
        <v>64</v>
      </c>
      <c r="C691" s="3">
        <v>45699.402800925927</v>
      </c>
      <c r="D691" t="s">
        <v>105</v>
      </c>
      <c r="E691" s="4">
        <v>44.451999999999998</v>
      </c>
      <c r="F691" s="4">
        <v>347880.83100000001</v>
      </c>
      <c r="G691" s="4">
        <v>347925.283</v>
      </c>
      <c r="H691" s="5">
        <f>2861 / 86400</f>
        <v>3.3113425925925928E-2</v>
      </c>
      <c r="I691" t="s">
        <v>55</v>
      </c>
      <c r="J691" t="s">
        <v>26</v>
      </c>
      <c r="K691" s="5">
        <f>9121 / 86400</f>
        <v>0.10556712962962964</v>
      </c>
      <c r="L691" s="5">
        <f>25921 / 86400</f>
        <v>0.30001157407407408</v>
      </c>
    </row>
    <row r="692" spans="1:12" x14ac:dyDescent="0.25">
      <c r="A692" s="3">
        <v>45699.405578703707</v>
      </c>
      <c r="B692" t="s">
        <v>105</v>
      </c>
      <c r="C692" s="3">
        <v>45699.410081018519</v>
      </c>
      <c r="D692" t="s">
        <v>159</v>
      </c>
      <c r="E692" s="4">
        <v>1.31</v>
      </c>
      <c r="F692" s="4">
        <v>347925.283</v>
      </c>
      <c r="G692" s="4">
        <v>347926.59299999999</v>
      </c>
      <c r="H692" s="5">
        <f>80 / 86400</f>
        <v>9.2592592592592596E-4</v>
      </c>
      <c r="I692" t="s">
        <v>193</v>
      </c>
      <c r="J692" t="s">
        <v>131</v>
      </c>
      <c r="K692" s="5">
        <f>389 / 86400</f>
        <v>4.5023148148148149E-3</v>
      </c>
      <c r="L692" s="5">
        <f>12 / 86400</f>
        <v>1.3888888888888889E-4</v>
      </c>
    </row>
    <row r="693" spans="1:12" x14ac:dyDescent="0.25">
      <c r="A693" s="3">
        <v>45699.410219907411</v>
      </c>
      <c r="B693" t="s">
        <v>159</v>
      </c>
      <c r="C693" s="3">
        <v>45699.674062499995</v>
      </c>
      <c r="D693" t="s">
        <v>64</v>
      </c>
      <c r="E693" s="4">
        <v>74.772000000000006</v>
      </c>
      <c r="F693" s="4">
        <v>347926.59299999999</v>
      </c>
      <c r="G693" s="4">
        <v>348001.36499999999</v>
      </c>
      <c r="H693" s="5">
        <f>11482 / 86400</f>
        <v>0.13289351851851852</v>
      </c>
      <c r="I693" t="s">
        <v>55</v>
      </c>
      <c r="J693" t="s">
        <v>131</v>
      </c>
      <c r="K693" s="5">
        <f>22796 / 86400</f>
        <v>0.26384259259259257</v>
      </c>
      <c r="L693" s="5">
        <f>28160 / 86400</f>
        <v>0.32592592592592595</v>
      </c>
    </row>
    <row r="694" spans="1:12" x14ac:dyDescent="0.25">
      <c r="A694" s="11"/>
      <c r="B694" s="11"/>
      <c r="C694" s="11"/>
      <c r="D694" s="11"/>
      <c r="E694" s="11"/>
      <c r="F694" s="11"/>
      <c r="G694" s="11"/>
      <c r="H694" s="11"/>
      <c r="I694" s="11"/>
      <c r="J694" s="11"/>
    </row>
    <row r="695" spans="1:12" x14ac:dyDescent="0.25">
      <c r="A695" s="11"/>
      <c r="B695" s="11"/>
      <c r="C695" s="11"/>
      <c r="D695" s="11"/>
      <c r="E695" s="11"/>
      <c r="F695" s="11"/>
      <c r="G695" s="11"/>
      <c r="H695" s="11"/>
      <c r="I695" s="11"/>
      <c r="J695" s="11"/>
    </row>
    <row r="696" spans="1:12" s="10" customFormat="1" ht="20.100000000000001" customHeight="1" x14ac:dyDescent="0.35">
      <c r="A696" s="12" t="s">
        <v>465</v>
      </c>
      <c r="B696" s="12"/>
      <c r="C696" s="12"/>
      <c r="D696" s="12"/>
      <c r="E696" s="12"/>
      <c r="F696" s="12"/>
      <c r="G696" s="12"/>
      <c r="H696" s="12"/>
      <c r="I696" s="12"/>
      <c r="J696" s="12"/>
    </row>
    <row r="697" spans="1:12" x14ac:dyDescent="0.25">
      <c r="A697" s="11"/>
      <c r="B697" s="11"/>
      <c r="C697" s="11"/>
      <c r="D697" s="11"/>
      <c r="E697" s="11"/>
      <c r="F697" s="11"/>
      <c r="G697" s="11"/>
      <c r="H697" s="11"/>
      <c r="I697" s="11"/>
      <c r="J697" s="11"/>
    </row>
    <row r="698" spans="1:12" ht="30" x14ac:dyDescent="0.25">
      <c r="A698" s="2" t="s">
        <v>5</v>
      </c>
      <c r="B698" s="2" t="s">
        <v>6</v>
      </c>
      <c r="C698" s="2" t="s">
        <v>7</v>
      </c>
      <c r="D698" s="2" t="s">
        <v>8</v>
      </c>
      <c r="E698" s="2" t="s">
        <v>9</v>
      </c>
      <c r="F698" s="2" t="s">
        <v>10</v>
      </c>
      <c r="G698" s="2" t="s">
        <v>11</v>
      </c>
      <c r="H698" s="2" t="s">
        <v>12</v>
      </c>
      <c r="I698" s="2" t="s">
        <v>13</v>
      </c>
      <c r="J698" s="2" t="s">
        <v>14</v>
      </c>
      <c r="K698" s="2" t="s">
        <v>15</v>
      </c>
      <c r="L698" s="2" t="s">
        <v>16</v>
      </c>
    </row>
    <row r="699" spans="1:12" x14ac:dyDescent="0.25">
      <c r="A699" s="3">
        <v>45699.265752314815</v>
      </c>
      <c r="B699" t="s">
        <v>65</v>
      </c>
      <c r="C699" s="3">
        <v>45699.267222222217</v>
      </c>
      <c r="D699" t="s">
        <v>65</v>
      </c>
      <c r="E699" s="4">
        <v>1.7000000000000001E-2</v>
      </c>
      <c r="F699" s="4">
        <v>40522.49</v>
      </c>
      <c r="G699" s="4">
        <v>40522.506999999998</v>
      </c>
      <c r="H699" s="5">
        <f>59 / 86400</f>
        <v>6.8287037037037036E-4</v>
      </c>
      <c r="I699" t="s">
        <v>57</v>
      </c>
      <c r="J699" t="s">
        <v>88</v>
      </c>
      <c r="K699" s="5">
        <f>126 / 86400</f>
        <v>1.4583333333333334E-3</v>
      </c>
      <c r="L699" s="5">
        <f>32152 / 86400</f>
        <v>0.37212962962962964</v>
      </c>
    </row>
    <row r="700" spans="1:12" x14ac:dyDescent="0.25">
      <c r="A700" s="3">
        <v>45699.373599537037</v>
      </c>
      <c r="B700" t="s">
        <v>65</v>
      </c>
      <c r="C700" s="3">
        <v>45699.398842592593</v>
      </c>
      <c r="D700" t="s">
        <v>409</v>
      </c>
      <c r="E700" s="4">
        <v>12.433999999999999</v>
      </c>
      <c r="F700" s="4">
        <v>40522.506999999998</v>
      </c>
      <c r="G700" s="4">
        <v>40534.940999999999</v>
      </c>
      <c r="H700" s="5">
        <f>499 / 86400</f>
        <v>5.7754629629629631E-3</v>
      </c>
      <c r="I700" t="s">
        <v>200</v>
      </c>
      <c r="J700" t="s">
        <v>108</v>
      </c>
      <c r="K700" s="5">
        <f>2180 / 86400</f>
        <v>2.5231481481481483E-2</v>
      </c>
      <c r="L700" s="5">
        <f>478 / 86400</f>
        <v>5.5324074074074078E-3</v>
      </c>
    </row>
    <row r="701" spans="1:12" x14ac:dyDescent="0.25">
      <c r="A701" s="3">
        <v>45699.404374999998</v>
      </c>
      <c r="B701" t="s">
        <v>409</v>
      </c>
      <c r="C701" s="3">
        <v>45699.405011574076</v>
      </c>
      <c r="D701" t="s">
        <v>409</v>
      </c>
      <c r="E701" s="4">
        <v>1.2E-2</v>
      </c>
      <c r="F701" s="4">
        <v>40534.940999999999</v>
      </c>
      <c r="G701" s="4">
        <v>40534.953000000001</v>
      </c>
      <c r="H701" s="5">
        <f>19 / 86400</f>
        <v>2.199074074074074E-4</v>
      </c>
      <c r="I701" t="s">
        <v>29</v>
      </c>
      <c r="J701" t="s">
        <v>29</v>
      </c>
      <c r="K701" s="5">
        <f>55 / 86400</f>
        <v>6.3657407407407413E-4</v>
      </c>
      <c r="L701" s="5">
        <f>1116 / 86400</f>
        <v>1.2916666666666667E-2</v>
      </c>
    </row>
    <row r="702" spans="1:12" x14ac:dyDescent="0.25">
      <c r="A702" s="3">
        <v>45699.417928240742</v>
      </c>
      <c r="B702" t="s">
        <v>409</v>
      </c>
      <c r="C702" s="3">
        <v>45699.429293981477</v>
      </c>
      <c r="D702" t="s">
        <v>277</v>
      </c>
      <c r="E702" s="4">
        <v>3.976</v>
      </c>
      <c r="F702" s="4">
        <v>40534.953000000001</v>
      </c>
      <c r="G702" s="4">
        <v>40538.928999999996</v>
      </c>
      <c r="H702" s="5">
        <f>298 / 86400</f>
        <v>3.449074074074074E-3</v>
      </c>
      <c r="I702" t="s">
        <v>154</v>
      </c>
      <c r="J702" t="s">
        <v>19</v>
      </c>
      <c r="K702" s="5">
        <f>982 / 86400</f>
        <v>1.136574074074074E-2</v>
      </c>
      <c r="L702" s="5">
        <f>5462 / 86400</f>
        <v>6.3217592592592589E-2</v>
      </c>
    </row>
    <row r="703" spans="1:12" x14ac:dyDescent="0.25">
      <c r="A703" s="3">
        <v>45699.492511574077</v>
      </c>
      <c r="B703" t="s">
        <v>277</v>
      </c>
      <c r="C703" s="3">
        <v>45699.495381944449</v>
      </c>
      <c r="D703" t="s">
        <v>277</v>
      </c>
      <c r="E703" s="4">
        <v>0.121</v>
      </c>
      <c r="F703" s="4">
        <v>40538.928999999996</v>
      </c>
      <c r="G703" s="4">
        <v>40539.050000000003</v>
      </c>
      <c r="H703" s="5">
        <f>139 / 86400</f>
        <v>1.6087962962962963E-3</v>
      </c>
      <c r="I703" t="s">
        <v>127</v>
      </c>
      <c r="J703" t="s">
        <v>57</v>
      </c>
      <c r="K703" s="5">
        <f>247 / 86400</f>
        <v>2.8587962962962963E-3</v>
      </c>
      <c r="L703" s="5">
        <f>2771 / 86400</f>
        <v>3.2071759259259258E-2</v>
      </c>
    </row>
    <row r="704" spans="1:12" x14ac:dyDescent="0.25">
      <c r="A704" s="3">
        <v>45699.527453703704</v>
      </c>
      <c r="B704" t="s">
        <v>277</v>
      </c>
      <c r="C704" s="3">
        <v>45699.531006944446</v>
      </c>
      <c r="D704" t="s">
        <v>105</v>
      </c>
      <c r="E704" s="4">
        <v>9.6000000000000002E-2</v>
      </c>
      <c r="F704" s="4">
        <v>40539.050000000003</v>
      </c>
      <c r="G704" s="4">
        <v>40539.146000000001</v>
      </c>
      <c r="H704" s="5">
        <f>160 / 86400</f>
        <v>1.8518518518518519E-3</v>
      </c>
      <c r="I704" t="s">
        <v>148</v>
      </c>
      <c r="J704" t="s">
        <v>29</v>
      </c>
      <c r="K704" s="5">
        <f>307 / 86400</f>
        <v>3.5532407407407409E-3</v>
      </c>
      <c r="L704" s="5">
        <f>2885 / 86400</f>
        <v>3.3391203703703701E-2</v>
      </c>
    </row>
    <row r="705" spans="1:12" x14ac:dyDescent="0.25">
      <c r="A705" s="3">
        <v>45699.564398148148</v>
      </c>
      <c r="B705" t="s">
        <v>105</v>
      </c>
      <c r="C705" s="3">
        <v>45699.570405092592</v>
      </c>
      <c r="D705" t="s">
        <v>277</v>
      </c>
      <c r="E705" s="4">
        <v>0.504</v>
      </c>
      <c r="F705" s="4">
        <v>40539.146000000001</v>
      </c>
      <c r="G705" s="4">
        <v>40539.65</v>
      </c>
      <c r="H705" s="5">
        <f>339 / 86400</f>
        <v>3.9236111111111112E-3</v>
      </c>
      <c r="I705" t="s">
        <v>56</v>
      </c>
      <c r="J705" t="s">
        <v>157</v>
      </c>
      <c r="K705" s="5">
        <f>519 / 86400</f>
        <v>6.0069444444444441E-3</v>
      </c>
      <c r="L705" s="5">
        <f>320 / 86400</f>
        <v>3.7037037037037038E-3</v>
      </c>
    </row>
    <row r="706" spans="1:12" x14ac:dyDescent="0.25">
      <c r="A706" s="3">
        <v>45699.574108796296</v>
      </c>
      <c r="B706" t="s">
        <v>277</v>
      </c>
      <c r="C706" s="3">
        <v>45699.581307870365</v>
      </c>
      <c r="D706" t="s">
        <v>20</v>
      </c>
      <c r="E706" s="4">
        <v>1.0049999999999999</v>
      </c>
      <c r="F706" s="4">
        <v>40539.65</v>
      </c>
      <c r="G706" s="4">
        <v>40540.654999999999</v>
      </c>
      <c r="H706" s="5">
        <f>279 / 86400</f>
        <v>3.2291666666666666E-3</v>
      </c>
      <c r="I706" t="s">
        <v>152</v>
      </c>
      <c r="J706" t="s">
        <v>128</v>
      </c>
      <c r="K706" s="5">
        <f>622 / 86400</f>
        <v>7.1990740740740739E-3</v>
      </c>
      <c r="L706" s="5">
        <f>3462 / 86400</f>
        <v>4.0069444444444442E-2</v>
      </c>
    </row>
    <row r="707" spans="1:12" x14ac:dyDescent="0.25">
      <c r="A707" s="3">
        <v>45699.621377314819</v>
      </c>
      <c r="B707" t="s">
        <v>20</v>
      </c>
      <c r="C707" s="3">
        <v>45699.628275462965</v>
      </c>
      <c r="D707" t="s">
        <v>371</v>
      </c>
      <c r="E707" s="4">
        <v>1.264</v>
      </c>
      <c r="F707" s="4">
        <v>40540.654999999999</v>
      </c>
      <c r="G707" s="4">
        <v>40541.919000000002</v>
      </c>
      <c r="H707" s="5">
        <f>319 / 86400</f>
        <v>3.6921296296296298E-3</v>
      </c>
      <c r="I707" t="s">
        <v>141</v>
      </c>
      <c r="J707" t="s">
        <v>125</v>
      </c>
      <c r="K707" s="5">
        <f>596 / 86400</f>
        <v>6.898148148148148E-3</v>
      </c>
      <c r="L707" s="5">
        <f>488 / 86400</f>
        <v>5.6481481481481478E-3</v>
      </c>
    </row>
    <row r="708" spans="1:12" x14ac:dyDescent="0.25">
      <c r="A708" s="3">
        <v>45699.633923611109</v>
      </c>
      <c r="B708" t="s">
        <v>371</v>
      </c>
      <c r="C708" s="3">
        <v>45699.751608796301</v>
      </c>
      <c r="D708" t="s">
        <v>365</v>
      </c>
      <c r="E708" s="4">
        <v>55.963999999999999</v>
      </c>
      <c r="F708" s="4">
        <v>40541.919000000002</v>
      </c>
      <c r="G708" s="4">
        <v>40597.883000000002</v>
      </c>
      <c r="H708" s="5">
        <f>2899 / 86400</f>
        <v>3.3553240740740738E-2</v>
      </c>
      <c r="I708" t="s">
        <v>66</v>
      </c>
      <c r="J708" t="s">
        <v>152</v>
      </c>
      <c r="K708" s="5">
        <f>10167 / 86400</f>
        <v>0.11767361111111112</v>
      </c>
      <c r="L708" s="5">
        <f>281 / 86400</f>
        <v>3.2523148148148147E-3</v>
      </c>
    </row>
    <row r="709" spans="1:12" x14ac:dyDescent="0.25">
      <c r="A709" s="3">
        <v>45699.754861111112</v>
      </c>
      <c r="B709" t="s">
        <v>365</v>
      </c>
      <c r="C709" s="3">
        <v>45699.858206018514</v>
      </c>
      <c r="D709" t="s">
        <v>410</v>
      </c>
      <c r="E709" s="4">
        <v>50.997</v>
      </c>
      <c r="F709" s="4">
        <v>40597.883000000002</v>
      </c>
      <c r="G709" s="4">
        <v>40648.879999999997</v>
      </c>
      <c r="H709" s="5">
        <f>2399 / 86400</f>
        <v>2.7766203703703703E-2</v>
      </c>
      <c r="I709" t="s">
        <v>36</v>
      </c>
      <c r="J709" t="s">
        <v>108</v>
      </c>
      <c r="K709" s="5">
        <f>8928 / 86400</f>
        <v>0.10333333333333333</v>
      </c>
      <c r="L709" s="5">
        <f>345 / 86400</f>
        <v>3.9930555555555552E-3</v>
      </c>
    </row>
    <row r="710" spans="1:12" x14ac:dyDescent="0.25">
      <c r="A710" s="3">
        <v>45699.862199074079</v>
      </c>
      <c r="B710" t="s">
        <v>410</v>
      </c>
      <c r="C710" s="3">
        <v>45699.87122685185</v>
      </c>
      <c r="D710" t="s">
        <v>411</v>
      </c>
      <c r="E710" s="4">
        <v>3.9929999999999999</v>
      </c>
      <c r="F710" s="4">
        <v>40648.879999999997</v>
      </c>
      <c r="G710" s="4">
        <v>40652.873</v>
      </c>
      <c r="H710" s="5">
        <f>80 / 86400</f>
        <v>9.2592592592592596E-4</v>
      </c>
      <c r="I710" t="s">
        <v>171</v>
      </c>
      <c r="J710" t="s">
        <v>26</v>
      </c>
      <c r="K710" s="5">
        <f>779 / 86400</f>
        <v>9.0162037037037034E-3</v>
      </c>
      <c r="L710" s="5">
        <f>248 / 86400</f>
        <v>2.8703703703703703E-3</v>
      </c>
    </row>
    <row r="711" spans="1:12" x14ac:dyDescent="0.25">
      <c r="A711" s="3">
        <v>45699.874097222222</v>
      </c>
      <c r="B711" t="s">
        <v>411</v>
      </c>
      <c r="C711" s="3">
        <v>45699.892638888894</v>
      </c>
      <c r="D711" t="s">
        <v>65</v>
      </c>
      <c r="E711" s="4">
        <v>8.1050000000000004</v>
      </c>
      <c r="F711" s="4">
        <v>40652.873</v>
      </c>
      <c r="G711" s="4">
        <v>40660.978000000003</v>
      </c>
      <c r="H711" s="5">
        <f>459 / 86400</f>
        <v>5.3125000000000004E-3</v>
      </c>
      <c r="I711" t="s">
        <v>62</v>
      </c>
      <c r="J711" t="s">
        <v>26</v>
      </c>
      <c r="K711" s="5">
        <f>1602 / 86400</f>
        <v>1.8541666666666668E-2</v>
      </c>
      <c r="L711" s="5">
        <f>9275 / 86400</f>
        <v>0.10734953703703703</v>
      </c>
    </row>
    <row r="712" spans="1:12" x14ac:dyDescent="0.25">
      <c r="A712" s="11"/>
      <c r="B712" s="11"/>
      <c r="C712" s="11"/>
      <c r="D712" s="11"/>
      <c r="E712" s="11"/>
      <c r="F712" s="11"/>
      <c r="G712" s="11"/>
      <c r="H712" s="11"/>
      <c r="I712" s="11"/>
      <c r="J712" s="11"/>
    </row>
    <row r="713" spans="1:12" x14ac:dyDescent="0.25">
      <c r="A713" s="11"/>
      <c r="B713" s="11"/>
      <c r="C713" s="11"/>
      <c r="D713" s="11"/>
      <c r="E713" s="11"/>
      <c r="F713" s="11"/>
      <c r="G713" s="11"/>
      <c r="H713" s="11"/>
      <c r="I713" s="11"/>
      <c r="J713" s="11"/>
    </row>
    <row r="714" spans="1:12" s="10" customFormat="1" ht="20.100000000000001" customHeight="1" x14ac:dyDescent="0.35">
      <c r="A714" s="12" t="s">
        <v>466</v>
      </c>
      <c r="B714" s="12"/>
      <c r="C714" s="12"/>
      <c r="D714" s="12"/>
      <c r="E714" s="12"/>
      <c r="F714" s="12"/>
      <c r="G714" s="12"/>
      <c r="H714" s="12"/>
      <c r="I714" s="12"/>
      <c r="J714" s="12"/>
    </row>
    <row r="715" spans="1:12" x14ac:dyDescent="0.25">
      <c r="A715" s="11"/>
      <c r="B715" s="11"/>
      <c r="C715" s="11"/>
      <c r="D715" s="11"/>
      <c r="E715" s="11"/>
      <c r="F715" s="11"/>
      <c r="G715" s="11"/>
      <c r="H715" s="11"/>
      <c r="I715" s="11"/>
      <c r="J715" s="11"/>
    </row>
    <row r="716" spans="1:12" ht="30" x14ac:dyDescent="0.25">
      <c r="A716" s="2" t="s">
        <v>5</v>
      </c>
      <c r="B716" s="2" t="s">
        <v>6</v>
      </c>
      <c r="C716" s="2" t="s">
        <v>7</v>
      </c>
      <c r="D716" s="2" t="s">
        <v>8</v>
      </c>
      <c r="E716" s="2" t="s">
        <v>9</v>
      </c>
      <c r="F716" s="2" t="s">
        <v>10</v>
      </c>
      <c r="G716" s="2" t="s">
        <v>11</v>
      </c>
      <c r="H716" s="2" t="s">
        <v>12</v>
      </c>
      <c r="I716" s="2" t="s">
        <v>13</v>
      </c>
      <c r="J716" s="2" t="s">
        <v>14</v>
      </c>
      <c r="K716" s="2" t="s">
        <v>15</v>
      </c>
      <c r="L716" s="2" t="s">
        <v>16</v>
      </c>
    </row>
    <row r="717" spans="1:12" x14ac:dyDescent="0.25">
      <c r="A717" s="3">
        <v>45699</v>
      </c>
      <c r="B717" t="s">
        <v>67</v>
      </c>
      <c r="C717" s="3">
        <v>45699.001273148147</v>
      </c>
      <c r="D717" t="s">
        <v>389</v>
      </c>
      <c r="E717" s="4">
        <v>0.82799999999999996</v>
      </c>
      <c r="F717" s="4">
        <v>45885.065000000002</v>
      </c>
      <c r="G717" s="4">
        <v>45885.892999999996</v>
      </c>
      <c r="H717" s="5">
        <f>0 / 86400</f>
        <v>0</v>
      </c>
      <c r="I717" t="s">
        <v>223</v>
      </c>
      <c r="J717" t="s">
        <v>143</v>
      </c>
      <c r="K717" s="5">
        <f>110 / 86400</f>
        <v>1.2731481481481483E-3</v>
      </c>
      <c r="L717" s="5">
        <f>704 / 86400</f>
        <v>8.1481481481481474E-3</v>
      </c>
    </row>
    <row r="718" spans="1:12" x14ac:dyDescent="0.25">
      <c r="A718" s="3">
        <v>45699.009421296301</v>
      </c>
      <c r="B718" t="s">
        <v>389</v>
      </c>
      <c r="C718" s="3">
        <v>45699.009571759263</v>
      </c>
      <c r="D718" t="s">
        <v>389</v>
      </c>
      <c r="E718" s="4">
        <v>0</v>
      </c>
      <c r="F718" s="4">
        <v>45885.892999999996</v>
      </c>
      <c r="G718" s="4">
        <v>45885.892999999996</v>
      </c>
      <c r="H718" s="5">
        <f>0 / 86400</f>
        <v>0</v>
      </c>
      <c r="I718" t="s">
        <v>88</v>
      </c>
      <c r="J718" t="s">
        <v>88</v>
      </c>
      <c r="K718" s="5">
        <f>12 / 86400</f>
        <v>1.3888888888888889E-4</v>
      </c>
      <c r="L718" s="5">
        <f>198 / 86400</f>
        <v>2.2916666666666667E-3</v>
      </c>
    </row>
    <row r="719" spans="1:12" x14ac:dyDescent="0.25">
      <c r="A719" s="3">
        <v>45699.011863425927</v>
      </c>
      <c r="B719" t="s">
        <v>389</v>
      </c>
      <c r="C719" s="3">
        <v>45699.020983796298</v>
      </c>
      <c r="D719" t="s">
        <v>35</v>
      </c>
      <c r="E719" s="4">
        <v>1.427</v>
      </c>
      <c r="F719" s="4">
        <v>45885.892999999996</v>
      </c>
      <c r="G719" s="4">
        <v>45887.32</v>
      </c>
      <c r="H719" s="5">
        <f>501 / 86400</f>
        <v>5.7986111111111112E-3</v>
      </c>
      <c r="I719" t="s">
        <v>223</v>
      </c>
      <c r="J719" t="s">
        <v>28</v>
      </c>
      <c r="K719" s="5">
        <f>788 / 86400</f>
        <v>9.1203703703703707E-3</v>
      </c>
      <c r="L719" s="5">
        <f>16481 / 86400</f>
        <v>0.19075231481481481</v>
      </c>
    </row>
    <row r="720" spans="1:12" x14ac:dyDescent="0.25">
      <c r="A720" s="3">
        <v>45699.211736111116</v>
      </c>
      <c r="B720" t="s">
        <v>35</v>
      </c>
      <c r="C720" s="3">
        <v>45699.212372685186</v>
      </c>
      <c r="D720" t="s">
        <v>35</v>
      </c>
      <c r="E720" s="4">
        <v>2.5999999999999999E-2</v>
      </c>
      <c r="F720" s="4">
        <v>45887.32</v>
      </c>
      <c r="G720" s="4">
        <v>45887.345999999998</v>
      </c>
      <c r="H720" s="5">
        <f>0 / 86400</f>
        <v>0</v>
      </c>
      <c r="I720" t="s">
        <v>148</v>
      </c>
      <c r="J720" t="s">
        <v>57</v>
      </c>
      <c r="K720" s="5">
        <f>55 / 86400</f>
        <v>6.3657407407407413E-4</v>
      </c>
      <c r="L720" s="5">
        <f>44937 / 86400</f>
        <v>0.5201041666666667</v>
      </c>
    </row>
    <row r="721" spans="1:12" x14ac:dyDescent="0.25">
      <c r="A721" s="3">
        <v>45699.732476851852</v>
      </c>
      <c r="B721" t="s">
        <v>35</v>
      </c>
      <c r="C721" s="3">
        <v>45699.732638888891</v>
      </c>
      <c r="D721" t="s">
        <v>35</v>
      </c>
      <c r="E721" s="4">
        <v>0</v>
      </c>
      <c r="F721" s="4">
        <v>45887.345999999998</v>
      </c>
      <c r="G721" s="4">
        <v>45887.345999999998</v>
      </c>
      <c r="H721" s="5">
        <f>0 / 86400</f>
        <v>0</v>
      </c>
      <c r="I721" t="s">
        <v>88</v>
      </c>
      <c r="J721" t="s">
        <v>88</v>
      </c>
      <c r="K721" s="5">
        <f>14 / 86400</f>
        <v>1.6203703703703703E-4</v>
      </c>
      <c r="L721" s="5">
        <f>10 / 86400</f>
        <v>1.1574074074074075E-4</v>
      </c>
    </row>
    <row r="722" spans="1:12" x14ac:dyDescent="0.25">
      <c r="A722" s="3">
        <v>45699.732754629629</v>
      </c>
      <c r="B722" t="s">
        <v>35</v>
      </c>
      <c r="C722" s="3">
        <v>45699.733611111107</v>
      </c>
      <c r="D722" t="s">
        <v>35</v>
      </c>
      <c r="E722" s="4">
        <v>0.02</v>
      </c>
      <c r="F722" s="4">
        <v>45887.345999999998</v>
      </c>
      <c r="G722" s="4">
        <v>45887.366000000002</v>
      </c>
      <c r="H722" s="5">
        <f>40 / 86400</f>
        <v>4.6296296296296298E-4</v>
      </c>
      <c r="I722" t="s">
        <v>29</v>
      </c>
      <c r="J722" t="s">
        <v>29</v>
      </c>
      <c r="K722" s="5">
        <f>73 / 86400</f>
        <v>8.4490740740740739E-4</v>
      </c>
      <c r="L722" s="5">
        <f>68 / 86400</f>
        <v>7.8703703703703705E-4</v>
      </c>
    </row>
    <row r="723" spans="1:12" x14ac:dyDescent="0.25">
      <c r="A723" s="3">
        <v>45699.734398148154</v>
      </c>
      <c r="B723" t="s">
        <v>35</v>
      </c>
      <c r="C723" s="3">
        <v>45699.748194444444</v>
      </c>
      <c r="D723" t="s">
        <v>391</v>
      </c>
      <c r="E723" s="4">
        <v>1.6919999999999999</v>
      </c>
      <c r="F723" s="4">
        <v>45887.366000000002</v>
      </c>
      <c r="G723" s="4">
        <v>45889.057999999997</v>
      </c>
      <c r="H723" s="5">
        <f>519 / 86400</f>
        <v>6.0069444444444441E-3</v>
      </c>
      <c r="I723" t="s">
        <v>26</v>
      </c>
      <c r="J723" t="s">
        <v>148</v>
      </c>
      <c r="K723" s="5">
        <f>1192 / 86400</f>
        <v>1.3796296296296296E-2</v>
      </c>
      <c r="L723" s="5">
        <f>4138 / 86400</f>
        <v>4.7893518518518516E-2</v>
      </c>
    </row>
    <row r="724" spans="1:12" x14ac:dyDescent="0.25">
      <c r="A724" s="3">
        <v>45699.796087962968</v>
      </c>
      <c r="B724" t="s">
        <v>391</v>
      </c>
      <c r="C724" s="3">
        <v>45699.801481481481</v>
      </c>
      <c r="D724" t="s">
        <v>265</v>
      </c>
      <c r="E724" s="4">
        <v>1.82</v>
      </c>
      <c r="F724" s="4">
        <v>45889.057999999997</v>
      </c>
      <c r="G724" s="4">
        <v>45890.877999999997</v>
      </c>
      <c r="H724" s="5">
        <f>219 / 86400</f>
        <v>2.5347222222222221E-3</v>
      </c>
      <c r="I724" t="s">
        <v>111</v>
      </c>
      <c r="J724" t="s">
        <v>31</v>
      </c>
      <c r="K724" s="5">
        <f>465 / 86400</f>
        <v>5.3819444444444444E-3</v>
      </c>
      <c r="L724" s="5">
        <f>113 / 86400</f>
        <v>1.3078703703703703E-3</v>
      </c>
    </row>
    <row r="725" spans="1:12" x14ac:dyDescent="0.25">
      <c r="A725" s="3">
        <v>45699.802789351852</v>
      </c>
      <c r="B725" t="s">
        <v>265</v>
      </c>
      <c r="C725" s="3">
        <v>45699.99998842593</v>
      </c>
      <c r="D725" t="s">
        <v>68</v>
      </c>
      <c r="E725" s="4">
        <v>93.08</v>
      </c>
      <c r="F725" s="4">
        <v>45890.877999999997</v>
      </c>
      <c r="G725" s="4">
        <v>45983.957999999999</v>
      </c>
      <c r="H725" s="5">
        <f>5459 / 86400</f>
        <v>6.3182870370370375E-2</v>
      </c>
      <c r="I725" t="s">
        <v>69</v>
      </c>
      <c r="J725" t="s">
        <v>152</v>
      </c>
      <c r="K725" s="5">
        <f>17038 / 86400</f>
        <v>0.19719907407407408</v>
      </c>
      <c r="L725" s="5">
        <f>0 / 86400</f>
        <v>0</v>
      </c>
    </row>
    <row r="726" spans="1:12" x14ac:dyDescent="0.25">
      <c r="A726" s="11"/>
      <c r="B726" s="11"/>
      <c r="C726" s="11"/>
      <c r="D726" s="11"/>
      <c r="E726" s="11"/>
      <c r="F726" s="11"/>
      <c r="G726" s="11"/>
      <c r="H726" s="11"/>
      <c r="I726" s="11"/>
      <c r="J726" s="11"/>
    </row>
    <row r="727" spans="1:12" x14ac:dyDescent="0.25">
      <c r="A727" s="11"/>
      <c r="B727" s="11"/>
      <c r="C727" s="11"/>
      <c r="D727" s="11"/>
      <c r="E727" s="11"/>
      <c r="F727" s="11"/>
      <c r="G727" s="11"/>
      <c r="H727" s="11"/>
      <c r="I727" s="11"/>
      <c r="J727" s="11"/>
    </row>
    <row r="728" spans="1:12" s="10" customFormat="1" ht="20.100000000000001" customHeight="1" x14ac:dyDescent="0.35">
      <c r="A728" s="12" t="s">
        <v>467</v>
      </c>
      <c r="B728" s="12"/>
      <c r="C728" s="12"/>
      <c r="D728" s="12"/>
      <c r="E728" s="12"/>
      <c r="F728" s="12"/>
      <c r="G728" s="12"/>
      <c r="H728" s="12"/>
      <c r="I728" s="12"/>
      <c r="J728" s="12"/>
    </row>
    <row r="729" spans="1:12" x14ac:dyDescent="0.25">
      <c r="A729" s="11"/>
      <c r="B729" s="11"/>
      <c r="C729" s="11"/>
      <c r="D729" s="11"/>
      <c r="E729" s="11"/>
      <c r="F729" s="11"/>
      <c r="G729" s="11"/>
      <c r="H729" s="11"/>
      <c r="I729" s="11"/>
      <c r="J729" s="11"/>
    </row>
    <row r="730" spans="1:12" ht="30" x14ac:dyDescent="0.25">
      <c r="A730" s="2" t="s">
        <v>5</v>
      </c>
      <c r="B730" s="2" t="s">
        <v>6</v>
      </c>
      <c r="C730" s="2" t="s">
        <v>7</v>
      </c>
      <c r="D730" s="2" t="s">
        <v>8</v>
      </c>
      <c r="E730" s="2" t="s">
        <v>9</v>
      </c>
      <c r="F730" s="2" t="s">
        <v>10</v>
      </c>
      <c r="G730" s="2" t="s">
        <v>11</v>
      </c>
      <c r="H730" s="2" t="s">
        <v>12</v>
      </c>
      <c r="I730" s="2" t="s">
        <v>13</v>
      </c>
      <c r="J730" s="2" t="s">
        <v>14</v>
      </c>
      <c r="K730" s="2" t="s">
        <v>15</v>
      </c>
      <c r="L730" s="2" t="s">
        <v>16</v>
      </c>
    </row>
    <row r="731" spans="1:12" x14ac:dyDescent="0.25">
      <c r="A731" s="3">
        <v>45699</v>
      </c>
      <c r="B731" t="s">
        <v>70</v>
      </c>
      <c r="C731" s="3">
        <v>45699.046446759261</v>
      </c>
      <c r="D731" t="s">
        <v>35</v>
      </c>
      <c r="E731" s="4">
        <v>30.61500000011921</v>
      </c>
      <c r="F731" s="4">
        <v>527255.06999999995</v>
      </c>
      <c r="G731" s="4">
        <v>527285.68500000006</v>
      </c>
      <c r="H731" s="5">
        <f>1020 / 86400</f>
        <v>1.1805555555555555E-2</v>
      </c>
      <c r="I731" t="s">
        <v>118</v>
      </c>
      <c r="J731" t="s">
        <v>143</v>
      </c>
      <c r="K731" s="5">
        <f>4013 / 86400</f>
        <v>4.6446759259259257E-2</v>
      </c>
      <c r="L731" s="5">
        <f>235 / 86400</f>
        <v>2.7199074074074074E-3</v>
      </c>
    </row>
    <row r="732" spans="1:12" x14ac:dyDescent="0.25">
      <c r="A732" s="3">
        <v>45699.049166666664</v>
      </c>
      <c r="B732" t="s">
        <v>35</v>
      </c>
      <c r="C732" s="3">
        <v>45699.051539351851</v>
      </c>
      <c r="D732" t="s">
        <v>389</v>
      </c>
      <c r="E732" s="4">
        <v>0.87799999988079069</v>
      </c>
      <c r="F732" s="4">
        <v>527285.68500000006</v>
      </c>
      <c r="G732" s="4">
        <v>527286.56299999997</v>
      </c>
      <c r="H732" s="5">
        <f>0 / 86400</f>
        <v>0</v>
      </c>
      <c r="I732" t="s">
        <v>184</v>
      </c>
      <c r="J732" t="s">
        <v>19</v>
      </c>
      <c r="K732" s="5">
        <f>205 / 86400</f>
        <v>2.3726851851851851E-3</v>
      </c>
      <c r="L732" s="5">
        <f>12044 / 86400</f>
        <v>0.13939814814814816</v>
      </c>
    </row>
    <row r="733" spans="1:12" x14ac:dyDescent="0.25">
      <c r="A733" s="3">
        <v>45699.190937499996</v>
      </c>
      <c r="B733" t="s">
        <v>389</v>
      </c>
      <c r="C733" s="3">
        <v>45699.356099537035</v>
      </c>
      <c r="D733" t="s">
        <v>153</v>
      </c>
      <c r="E733" s="4">
        <v>83.829000000059608</v>
      </c>
      <c r="F733" s="4">
        <v>527286.56299999997</v>
      </c>
      <c r="G733" s="4">
        <v>527370.39199999999</v>
      </c>
      <c r="H733" s="5">
        <f>3880 / 86400</f>
        <v>4.490740740740741E-2</v>
      </c>
      <c r="I733" t="s">
        <v>92</v>
      </c>
      <c r="J733" t="s">
        <v>108</v>
      </c>
      <c r="K733" s="5">
        <f>14270 / 86400</f>
        <v>0.16516203703703702</v>
      </c>
      <c r="L733" s="5">
        <f>2780 / 86400</f>
        <v>3.2175925925925927E-2</v>
      </c>
    </row>
    <row r="734" spans="1:12" x14ac:dyDescent="0.25">
      <c r="A734" s="3">
        <v>45699.388275462959</v>
      </c>
      <c r="B734" t="s">
        <v>153</v>
      </c>
      <c r="C734" s="3">
        <v>45699.388726851852</v>
      </c>
      <c r="D734" t="s">
        <v>153</v>
      </c>
      <c r="E734" s="4">
        <v>0</v>
      </c>
      <c r="F734" s="4">
        <v>527370.39199999999</v>
      </c>
      <c r="G734" s="4">
        <v>527370.39199999999</v>
      </c>
      <c r="H734" s="5">
        <f>19 / 86400</f>
        <v>2.199074074074074E-4</v>
      </c>
      <c r="I734" t="s">
        <v>88</v>
      </c>
      <c r="J734" t="s">
        <v>88</v>
      </c>
      <c r="K734" s="5">
        <f>38 / 86400</f>
        <v>4.3981481481481481E-4</v>
      </c>
      <c r="L734" s="5">
        <f>65 / 86400</f>
        <v>7.5231481481481482E-4</v>
      </c>
    </row>
    <row r="735" spans="1:12" x14ac:dyDescent="0.25">
      <c r="A735" s="3">
        <v>45699.389479166668</v>
      </c>
      <c r="B735" t="s">
        <v>153</v>
      </c>
      <c r="C735" s="3">
        <v>45699.393194444448</v>
      </c>
      <c r="D735" t="s">
        <v>159</v>
      </c>
      <c r="E735" s="4">
        <v>1.1839999999999999</v>
      </c>
      <c r="F735" s="4">
        <v>527370.39199999999</v>
      </c>
      <c r="G735" s="4">
        <v>527371.576</v>
      </c>
      <c r="H735" s="5">
        <f>19 / 86400</f>
        <v>2.199074074074074E-4</v>
      </c>
      <c r="I735" t="s">
        <v>124</v>
      </c>
      <c r="J735" t="s">
        <v>56</v>
      </c>
      <c r="K735" s="5">
        <f>320 / 86400</f>
        <v>3.7037037037037038E-3</v>
      </c>
      <c r="L735" s="5">
        <f>1012 / 86400</f>
        <v>1.1712962962962963E-2</v>
      </c>
    </row>
    <row r="736" spans="1:12" x14ac:dyDescent="0.25">
      <c r="A736" s="3">
        <v>45699.404907407406</v>
      </c>
      <c r="B736" t="s">
        <v>159</v>
      </c>
      <c r="C736" s="3">
        <v>45699.519652777773</v>
      </c>
      <c r="D736" t="s">
        <v>412</v>
      </c>
      <c r="E736" s="4">
        <v>51.148000000059604</v>
      </c>
      <c r="F736" s="4">
        <v>527371.576</v>
      </c>
      <c r="G736" s="4">
        <v>527422.72400000005</v>
      </c>
      <c r="H736" s="5">
        <f>3240 / 86400</f>
        <v>3.7499999999999999E-2</v>
      </c>
      <c r="I736" t="s">
        <v>32</v>
      </c>
      <c r="J736" t="s">
        <v>22</v>
      </c>
      <c r="K736" s="5">
        <f>9913 / 86400</f>
        <v>0.11473379629629629</v>
      </c>
      <c r="L736" s="5">
        <f>71 / 86400</f>
        <v>8.2175925925925927E-4</v>
      </c>
    </row>
    <row r="737" spans="1:12" x14ac:dyDescent="0.25">
      <c r="A737" s="3">
        <v>45699.520474537036</v>
      </c>
      <c r="B737" t="s">
        <v>336</v>
      </c>
      <c r="C737" s="3">
        <v>45699.520740740743</v>
      </c>
      <c r="D737" t="s">
        <v>336</v>
      </c>
      <c r="E737" s="4">
        <v>6.9999999403953551E-3</v>
      </c>
      <c r="F737" s="4">
        <v>527422.72400000005</v>
      </c>
      <c r="G737" s="4">
        <v>527422.73100000003</v>
      </c>
      <c r="H737" s="5">
        <f>0 / 86400</f>
        <v>0</v>
      </c>
      <c r="I737" t="s">
        <v>128</v>
      </c>
      <c r="J737" t="s">
        <v>29</v>
      </c>
      <c r="K737" s="5">
        <f>23 / 86400</f>
        <v>2.6620370370370372E-4</v>
      </c>
      <c r="L737" s="5">
        <f>160 / 86400</f>
        <v>1.8518518518518519E-3</v>
      </c>
    </row>
    <row r="738" spans="1:12" x14ac:dyDescent="0.25">
      <c r="A738" s="3">
        <v>45699.522592592592</v>
      </c>
      <c r="B738" t="s">
        <v>336</v>
      </c>
      <c r="C738" s="3">
        <v>45699.667581018519</v>
      </c>
      <c r="D738" t="s">
        <v>105</v>
      </c>
      <c r="E738" s="4">
        <v>54.434000000059605</v>
      </c>
      <c r="F738" s="4">
        <v>527422.73100000003</v>
      </c>
      <c r="G738" s="4">
        <v>527477.16500000004</v>
      </c>
      <c r="H738" s="5">
        <f>4418 / 86400</f>
        <v>5.1134259259259261E-2</v>
      </c>
      <c r="I738" t="s">
        <v>177</v>
      </c>
      <c r="J738" t="s">
        <v>37</v>
      </c>
      <c r="K738" s="5">
        <f>12527 / 86400</f>
        <v>0.14498842592592592</v>
      </c>
      <c r="L738" s="5">
        <f>177 / 86400</f>
        <v>2.0486111111111113E-3</v>
      </c>
    </row>
    <row r="739" spans="1:12" x14ac:dyDescent="0.25">
      <c r="A739" s="3">
        <v>45699.669629629629</v>
      </c>
      <c r="B739" t="s">
        <v>105</v>
      </c>
      <c r="C739" s="3">
        <v>45699.6716087963</v>
      </c>
      <c r="D739" t="s">
        <v>277</v>
      </c>
      <c r="E739" s="4">
        <v>0.10299999999999999</v>
      </c>
      <c r="F739" s="4">
        <v>527477.16500000004</v>
      </c>
      <c r="G739" s="4">
        <v>527477.26800000004</v>
      </c>
      <c r="H739" s="5">
        <f>80 / 86400</f>
        <v>9.2592592592592596E-4</v>
      </c>
      <c r="I739" t="s">
        <v>31</v>
      </c>
      <c r="J739" t="s">
        <v>57</v>
      </c>
      <c r="K739" s="5">
        <f>170 / 86400</f>
        <v>1.9675925925925924E-3</v>
      </c>
      <c r="L739" s="5">
        <f>3843 / 86400</f>
        <v>4.4479166666666667E-2</v>
      </c>
    </row>
    <row r="740" spans="1:12" x14ac:dyDescent="0.25">
      <c r="A740" s="3">
        <v>45699.716087962966</v>
      </c>
      <c r="B740" t="s">
        <v>277</v>
      </c>
      <c r="C740" s="3">
        <v>45699.877986111111</v>
      </c>
      <c r="D740" t="s">
        <v>410</v>
      </c>
      <c r="E740" s="4">
        <v>74.797999999940401</v>
      </c>
      <c r="F740" s="4">
        <v>527477.26800000004</v>
      </c>
      <c r="G740" s="4">
        <v>527552.06599999999</v>
      </c>
      <c r="H740" s="5">
        <f>4184 / 86400</f>
        <v>4.8425925925925928E-2</v>
      </c>
      <c r="I740" t="s">
        <v>21</v>
      </c>
      <c r="J740" t="s">
        <v>22</v>
      </c>
      <c r="K740" s="5">
        <f>13987 / 86400</f>
        <v>0.16188657407407409</v>
      </c>
      <c r="L740" s="5">
        <f>585 / 86400</f>
        <v>6.7708333333333336E-3</v>
      </c>
    </row>
    <row r="741" spans="1:12" x14ac:dyDescent="0.25">
      <c r="A741" s="3">
        <v>45699.884756944448</v>
      </c>
      <c r="B741" t="s">
        <v>410</v>
      </c>
      <c r="C741" s="3">
        <v>45699.980763888889</v>
      </c>
      <c r="D741" t="s">
        <v>71</v>
      </c>
      <c r="E741" s="4">
        <v>43.221999999940394</v>
      </c>
      <c r="F741" s="4">
        <v>527552.06599999999</v>
      </c>
      <c r="G741" s="4">
        <v>527595.28799999994</v>
      </c>
      <c r="H741" s="5">
        <f>3198 / 86400</f>
        <v>3.7013888888888888E-2</v>
      </c>
      <c r="I741" t="s">
        <v>72</v>
      </c>
      <c r="J741" t="s">
        <v>22</v>
      </c>
      <c r="K741" s="5">
        <f>8294 / 86400</f>
        <v>9.599537037037037E-2</v>
      </c>
      <c r="L741" s="5">
        <f>115 / 86400</f>
        <v>1.3310185185185185E-3</v>
      </c>
    </row>
    <row r="742" spans="1:12" x14ac:dyDescent="0.25">
      <c r="A742" s="3">
        <v>45699.982094907406</v>
      </c>
      <c r="B742" t="s">
        <v>71</v>
      </c>
      <c r="C742" s="3">
        <v>45699.982245370367</v>
      </c>
      <c r="D742" t="s">
        <v>71</v>
      </c>
      <c r="E742" s="4">
        <v>3.0000000000000001E-3</v>
      </c>
      <c r="F742" s="4">
        <v>527595.28799999994</v>
      </c>
      <c r="G742" s="4">
        <v>527595.29099999997</v>
      </c>
      <c r="H742" s="5">
        <f>0 / 86400</f>
        <v>0</v>
      </c>
      <c r="I742" t="s">
        <v>88</v>
      </c>
      <c r="J742" t="s">
        <v>29</v>
      </c>
      <c r="K742" s="5">
        <f>12 / 86400</f>
        <v>1.3888888888888889E-4</v>
      </c>
      <c r="L742" s="5">
        <f>251 / 86400</f>
        <v>2.9050925925925928E-3</v>
      </c>
    </row>
    <row r="743" spans="1:12" x14ac:dyDescent="0.25">
      <c r="A743" s="3">
        <v>45699.985150462962</v>
      </c>
      <c r="B743" t="s">
        <v>71</v>
      </c>
      <c r="C743" s="3">
        <v>45699.985266203701</v>
      </c>
      <c r="D743" t="s">
        <v>71</v>
      </c>
      <c r="E743" s="4">
        <v>0</v>
      </c>
      <c r="F743" s="4">
        <v>527595.29099999997</v>
      </c>
      <c r="G743" s="4">
        <v>527595.29099999997</v>
      </c>
      <c r="H743" s="5">
        <f>0 / 86400</f>
        <v>0</v>
      </c>
      <c r="I743" t="s">
        <v>88</v>
      </c>
      <c r="J743" t="s">
        <v>88</v>
      </c>
      <c r="K743" s="5">
        <f>10 / 86400</f>
        <v>1.1574074074074075E-4</v>
      </c>
      <c r="L743" s="5">
        <f>287 / 86400</f>
        <v>3.3217592592592591E-3</v>
      </c>
    </row>
    <row r="744" spans="1:12" x14ac:dyDescent="0.25">
      <c r="A744" s="3">
        <v>45699.988587962958</v>
      </c>
      <c r="B744" t="s">
        <v>71</v>
      </c>
      <c r="C744" s="3">
        <v>45699.989872685182</v>
      </c>
      <c r="D744" t="s">
        <v>71</v>
      </c>
      <c r="E744" s="4">
        <v>3.0000000596046446E-3</v>
      </c>
      <c r="F744" s="4">
        <v>527595.29099999997</v>
      </c>
      <c r="G744" s="4">
        <v>527595.29399999999</v>
      </c>
      <c r="H744" s="5">
        <f>99 / 86400</f>
        <v>1.1458333333333333E-3</v>
      </c>
      <c r="I744" t="s">
        <v>88</v>
      </c>
      <c r="J744" t="s">
        <v>88</v>
      </c>
      <c r="K744" s="5">
        <f>111 / 86400</f>
        <v>1.2847222222222223E-3</v>
      </c>
      <c r="L744" s="5">
        <f>645 / 86400</f>
        <v>7.4652777777777781E-3</v>
      </c>
    </row>
    <row r="745" spans="1:12" x14ac:dyDescent="0.25">
      <c r="A745" s="3">
        <v>45699.997337962966</v>
      </c>
      <c r="B745" t="s">
        <v>71</v>
      </c>
      <c r="C745" s="3">
        <v>45699.997453703705</v>
      </c>
      <c r="D745" t="s">
        <v>71</v>
      </c>
      <c r="E745" s="4">
        <v>7.0000000000000001E-3</v>
      </c>
      <c r="F745" s="4">
        <v>527595.29399999999</v>
      </c>
      <c r="G745" s="4">
        <v>527595.30099999998</v>
      </c>
      <c r="H745" s="5">
        <f>0 / 86400</f>
        <v>0</v>
      </c>
      <c r="I745" t="s">
        <v>88</v>
      </c>
      <c r="J745" t="s">
        <v>157</v>
      </c>
      <c r="K745" s="5">
        <f>10 / 86400</f>
        <v>1.1574074074074075E-4</v>
      </c>
      <c r="L745" s="5">
        <f>219 / 86400</f>
        <v>2.5347222222222221E-3</v>
      </c>
    </row>
    <row r="746" spans="1:12" x14ac:dyDescent="0.25">
      <c r="A746" s="11"/>
      <c r="B746" s="11"/>
      <c r="C746" s="11"/>
      <c r="D746" s="11"/>
      <c r="E746" s="11"/>
      <c r="F746" s="11"/>
      <c r="G746" s="11"/>
      <c r="H746" s="11"/>
      <c r="I746" s="11"/>
      <c r="J746" s="11"/>
    </row>
    <row r="747" spans="1:12" x14ac:dyDescent="0.25">
      <c r="A747" s="11"/>
      <c r="B747" s="11"/>
      <c r="C747" s="11"/>
      <c r="D747" s="11"/>
      <c r="E747" s="11"/>
      <c r="F747" s="11"/>
      <c r="G747" s="11"/>
      <c r="H747" s="11"/>
      <c r="I747" s="11"/>
      <c r="J747" s="11"/>
    </row>
    <row r="748" spans="1:12" s="10" customFormat="1" ht="20.100000000000001" customHeight="1" x14ac:dyDescent="0.35">
      <c r="A748" s="12" t="s">
        <v>468</v>
      </c>
      <c r="B748" s="12"/>
      <c r="C748" s="12"/>
      <c r="D748" s="12"/>
      <c r="E748" s="12"/>
      <c r="F748" s="12"/>
      <c r="G748" s="12"/>
      <c r="H748" s="12"/>
      <c r="I748" s="12"/>
      <c r="J748" s="12"/>
    </row>
    <row r="749" spans="1:12" x14ac:dyDescent="0.25">
      <c r="A749" s="11"/>
      <c r="B749" s="11"/>
      <c r="C749" s="11"/>
      <c r="D749" s="11"/>
      <c r="E749" s="11"/>
      <c r="F749" s="11"/>
      <c r="G749" s="11"/>
      <c r="H749" s="11"/>
      <c r="I749" s="11"/>
      <c r="J749" s="11"/>
    </row>
    <row r="750" spans="1:12" ht="30" x14ac:dyDescent="0.25">
      <c r="A750" s="2" t="s">
        <v>5</v>
      </c>
      <c r="B750" s="2" t="s">
        <v>6</v>
      </c>
      <c r="C750" s="2" t="s">
        <v>7</v>
      </c>
      <c r="D750" s="2" t="s">
        <v>8</v>
      </c>
      <c r="E750" s="2" t="s">
        <v>9</v>
      </c>
      <c r="F750" s="2" t="s">
        <v>10</v>
      </c>
      <c r="G750" s="2" t="s">
        <v>11</v>
      </c>
      <c r="H750" s="2" t="s">
        <v>12</v>
      </c>
      <c r="I750" s="2" t="s">
        <v>13</v>
      </c>
      <c r="J750" s="2" t="s">
        <v>14</v>
      </c>
      <c r="K750" s="2" t="s">
        <v>15</v>
      </c>
      <c r="L750" s="2" t="s">
        <v>16</v>
      </c>
    </row>
    <row r="751" spans="1:12" x14ac:dyDescent="0.25">
      <c r="A751" s="3">
        <v>45699.200439814813</v>
      </c>
      <c r="B751" t="s">
        <v>30</v>
      </c>
      <c r="C751" s="3">
        <v>45699.202789351853</v>
      </c>
      <c r="D751" t="s">
        <v>30</v>
      </c>
      <c r="E751" s="4">
        <v>6.0999999999999999E-2</v>
      </c>
      <c r="F751" s="4">
        <v>567563.16799999995</v>
      </c>
      <c r="G751" s="4">
        <v>567563.22900000005</v>
      </c>
      <c r="H751" s="5">
        <f>139 / 86400</f>
        <v>1.6087962962962963E-3</v>
      </c>
      <c r="I751" t="s">
        <v>148</v>
      </c>
      <c r="J751" t="s">
        <v>29</v>
      </c>
      <c r="K751" s="5">
        <f>203 / 86400</f>
        <v>2.3495370370370371E-3</v>
      </c>
      <c r="L751" s="5">
        <f>17670 / 86400</f>
        <v>0.20451388888888888</v>
      </c>
    </row>
    <row r="752" spans="1:12" x14ac:dyDescent="0.25">
      <c r="A752" s="3">
        <v>45699.206863425927</v>
      </c>
      <c r="B752" t="s">
        <v>30</v>
      </c>
      <c r="C752" s="3">
        <v>45699.225532407407</v>
      </c>
      <c r="D752" t="s">
        <v>172</v>
      </c>
      <c r="E752" s="4">
        <v>4.2279999999999998</v>
      </c>
      <c r="F752" s="4">
        <v>567563.22900000005</v>
      </c>
      <c r="G752" s="4">
        <v>567567.45700000005</v>
      </c>
      <c r="H752" s="5">
        <f>1003 / 86400</f>
        <v>1.1608796296296296E-2</v>
      </c>
      <c r="I752" t="s">
        <v>133</v>
      </c>
      <c r="J752" t="s">
        <v>127</v>
      </c>
      <c r="K752" s="5">
        <f>1612 / 86400</f>
        <v>1.8657407407407407E-2</v>
      </c>
      <c r="L752" s="5">
        <f>139 / 86400</f>
        <v>1.6087962962962963E-3</v>
      </c>
    </row>
    <row r="753" spans="1:12" x14ac:dyDescent="0.25">
      <c r="A753" s="3">
        <v>45699.227141203708</v>
      </c>
      <c r="B753" t="s">
        <v>172</v>
      </c>
      <c r="C753" s="3">
        <v>45699.311296296291</v>
      </c>
      <c r="D753" t="s">
        <v>336</v>
      </c>
      <c r="E753" s="4">
        <v>31.338999999999999</v>
      </c>
      <c r="F753" s="4">
        <v>567567.45700000005</v>
      </c>
      <c r="G753" s="4">
        <v>567598.79599999997</v>
      </c>
      <c r="H753" s="5">
        <f>2558 / 86400</f>
        <v>2.960648148148148E-2</v>
      </c>
      <c r="I753" t="s">
        <v>39</v>
      </c>
      <c r="J753" t="s">
        <v>37</v>
      </c>
      <c r="K753" s="5">
        <f>7271 / 86400</f>
        <v>8.4155092592592587E-2</v>
      </c>
      <c r="L753" s="5">
        <f>185 / 86400</f>
        <v>2.1412037037037038E-3</v>
      </c>
    </row>
    <row r="754" spans="1:12" x14ac:dyDescent="0.25">
      <c r="A754" s="3">
        <v>45699.313437500001</v>
      </c>
      <c r="B754" t="s">
        <v>336</v>
      </c>
      <c r="C754" s="3">
        <v>45699.448379629626</v>
      </c>
      <c r="D754" t="s">
        <v>153</v>
      </c>
      <c r="E754" s="4">
        <v>50.121000000000002</v>
      </c>
      <c r="F754" s="4">
        <v>567598.79599999997</v>
      </c>
      <c r="G754" s="4">
        <v>567648.91700000002</v>
      </c>
      <c r="H754" s="5">
        <f>4118 / 86400</f>
        <v>4.7662037037037037E-2</v>
      </c>
      <c r="I754" t="s">
        <v>32</v>
      </c>
      <c r="J754" t="s">
        <v>19</v>
      </c>
      <c r="K754" s="5">
        <f>11658 / 86400</f>
        <v>0.13493055555555555</v>
      </c>
      <c r="L754" s="5">
        <f>1 / 86400</f>
        <v>1.1574074074074073E-5</v>
      </c>
    </row>
    <row r="755" spans="1:12" x14ac:dyDescent="0.25">
      <c r="A755" s="3">
        <v>45699.448391203703</v>
      </c>
      <c r="B755" t="s">
        <v>153</v>
      </c>
      <c r="C755" s="3">
        <v>45699.456111111111</v>
      </c>
      <c r="D755" t="s">
        <v>105</v>
      </c>
      <c r="E755" s="4">
        <v>0.98299999999999998</v>
      </c>
      <c r="F755" s="4">
        <v>567648.91700000002</v>
      </c>
      <c r="G755" s="4">
        <v>567649.9</v>
      </c>
      <c r="H755" s="5">
        <f>445 / 86400</f>
        <v>5.1504629629629626E-3</v>
      </c>
      <c r="I755" t="s">
        <v>154</v>
      </c>
      <c r="J755" t="s">
        <v>148</v>
      </c>
      <c r="K755" s="5">
        <f>667 / 86400</f>
        <v>7.7199074074074071E-3</v>
      </c>
      <c r="L755" s="5">
        <f>300 / 86400</f>
        <v>3.472222222222222E-3</v>
      </c>
    </row>
    <row r="756" spans="1:12" x14ac:dyDescent="0.25">
      <c r="A756" s="3">
        <v>45699.45958333333</v>
      </c>
      <c r="B756" t="s">
        <v>105</v>
      </c>
      <c r="C756" s="3">
        <v>45699.461111111115</v>
      </c>
      <c r="D756" t="s">
        <v>158</v>
      </c>
      <c r="E756" s="4">
        <v>0.64</v>
      </c>
      <c r="F756" s="4">
        <v>567649.9</v>
      </c>
      <c r="G756" s="4">
        <v>567650.54</v>
      </c>
      <c r="H756" s="5">
        <f>0 / 86400</f>
        <v>0</v>
      </c>
      <c r="I756" t="s">
        <v>166</v>
      </c>
      <c r="J756" t="s">
        <v>42</v>
      </c>
      <c r="K756" s="5">
        <f>132 / 86400</f>
        <v>1.5277777777777779E-3</v>
      </c>
      <c r="L756" s="5">
        <f>2807 / 86400</f>
        <v>3.2488425925925928E-2</v>
      </c>
    </row>
    <row r="757" spans="1:12" x14ac:dyDescent="0.25">
      <c r="A757" s="3">
        <v>45699.493599537032</v>
      </c>
      <c r="B757" t="s">
        <v>158</v>
      </c>
      <c r="C757" s="3">
        <v>45699.497141203705</v>
      </c>
      <c r="D757" t="s">
        <v>159</v>
      </c>
      <c r="E757" s="4">
        <v>0.71599999999999997</v>
      </c>
      <c r="F757" s="4">
        <v>567650.54</v>
      </c>
      <c r="G757" s="4">
        <v>567651.25600000005</v>
      </c>
      <c r="H757" s="5">
        <f>59 / 86400</f>
        <v>6.8287037037037036E-4</v>
      </c>
      <c r="I757" t="s">
        <v>152</v>
      </c>
      <c r="J757" t="s">
        <v>125</v>
      </c>
      <c r="K757" s="5">
        <f>305 / 86400</f>
        <v>3.5300925925925925E-3</v>
      </c>
      <c r="L757" s="5">
        <f>2336 / 86400</f>
        <v>2.7037037037037037E-2</v>
      </c>
    </row>
    <row r="758" spans="1:12" x14ac:dyDescent="0.25">
      <c r="A758" s="3">
        <v>45699.524178240739</v>
      </c>
      <c r="B758" t="s">
        <v>159</v>
      </c>
      <c r="C758" s="3">
        <v>45699.655451388884</v>
      </c>
      <c r="D758" t="s">
        <v>336</v>
      </c>
      <c r="E758" s="4">
        <v>50.207000000000001</v>
      </c>
      <c r="F758" s="4">
        <v>567651.25600000005</v>
      </c>
      <c r="G758" s="4">
        <v>567701.46299999999</v>
      </c>
      <c r="H758" s="5">
        <f>4419 / 86400</f>
        <v>5.1145833333333335E-2</v>
      </c>
      <c r="I758" t="s">
        <v>25</v>
      </c>
      <c r="J758" t="s">
        <v>37</v>
      </c>
      <c r="K758" s="5">
        <f>11342 / 86400</f>
        <v>0.13127314814814814</v>
      </c>
      <c r="L758" s="5">
        <f>94 / 86400</f>
        <v>1.0879629629629629E-3</v>
      </c>
    </row>
    <row r="759" spans="1:12" x14ac:dyDescent="0.25">
      <c r="A759" s="3">
        <v>45699.656539351854</v>
      </c>
      <c r="B759" t="s">
        <v>336</v>
      </c>
      <c r="C759" s="3">
        <v>45699.803020833337</v>
      </c>
      <c r="D759" t="s">
        <v>410</v>
      </c>
      <c r="E759" s="4">
        <v>45.808999999999997</v>
      </c>
      <c r="F759" s="4">
        <v>567701.46299999999</v>
      </c>
      <c r="G759" s="4">
        <v>567747.272</v>
      </c>
      <c r="H759" s="5">
        <f>5280 / 86400</f>
        <v>6.1111111111111109E-2</v>
      </c>
      <c r="I759" t="s">
        <v>110</v>
      </c>
      <c r="J759" t="s">
        <v>56</v>
      </c>
      <c r="K759" s="5">
        <f>12656 / 86400</f>
        <v>0.14648148148148149</v>
      </c>
      <c r="L759" s="5">
        <f>157 / 86400</f>
        <v>1.8171296296296297E-3</v>
      </c>
    </row>
    <row r="760" spans="1:12" x14ac:dyDescent="0.25">
      <c r="A760" s="3">
        <v>45699.804837962962</v>
      </c>
      <c r="B760" t="s">
        <v>410</v>
      </c>
      <c r="C760" s="3">
        <v>45699.841365740736</v>
      </c>
      <c r="D760" t="s">
        <v>413</v>
      </c>
      <c r="E760" s="4">
        <v>16.093</v>
      </c>
      <c r="F760" s="4">
        <v>567747.272</v>
      </c>
      <c r="G760" s="4">
        <v>567763.36499999999</v>
      </c>
      <c r="H760" s="5">
        <f>1098 / 86400</f>
        <v>1.2708333333333334E-2</v>
      </c>
      <c r="I760" t="s">
        <v>36</v>
      </c>
      <c r="J760" t="s">
        <v>26</v>
      </c>
      <c r="K760" s="5">
        <f>3155 / 86400</f>
        <v>3.6516203703703703E-2</v>
      </c>
      <c r="L760" s="5">
        <f>21 / 86400</f>
        <v>2.4305555555555555E-4</v>
      </c>
    </row>
    <row r="761" spans="1:12" x14ac:dyDescent="0.25">
      <c r="A761" s="3">
        <v>45699.841608796298</v>
      </c>
      <c r="B761" t="s">
        <v>413</v>
      </c>
      <c r="C761" s="3">
        <v>45699.841782407406</v>
      </c>
      <c r="D761" t="s">
        <v>413</v>
      </c>
      <c r="E761" s="4">
        <v>0</v>
      </c>
      <c r="F761" s="4">
        <v>567763.36499999999</v>
      </c>
      <c r="G761" s="4">
        <v>567763.36499999999</v>
      </c>
      <c r="H761" s="5">
        <f>0 / 86400</f>
        <v>0</v>
      </c>
      <c r="I761" t="s">
        <v>88</v>
      </c>
      <c r="J761" t="s">
        <v>88</v>
      </c>
      <c r="K761" s="5">
        <f>14 / 86400</f>
        <v>1.6203703703703703E-4</v>
      </c>
      <c r="L761" s="5">
        <f>497 / 86400</f>
        <v>5.7523148148148151E-3</v>
      </c>
    </row>
    <row r="762" spans="1:12" x14ac:dyDescent="0.25">
      <c r="A762" s="3">
        <v>45699.847534722227</v>
      </c>
      <c r="B762" t="s">
        <v>413</v>
      </c>
      <c r="C762" s="3">
        <v>45699.851307870369</v>
      </c>
      <c r="D762" t="s">
        <v>35</v>
      </c>
      <c r="E762" s="4">
        <v>0.70599999999999996</v>
      </c>
      <c r="F762" s="4">
        <v>567763.36499999999</v>
      </c>
      <c r="G762" s="4">
        <v>567764.071</v>
      </c>
      <c r="H762" s="5">
        <f>142 / 86400</f>
        <v>1.6435185185185185E-3</v>
      </c>
      <c r="I762" t="s">
        <v>193</v>
      </c>
      <c r="J762" t="s">
        <v>125</v>
      </c>
      <c r="K762" s="5">
        <f>325 / 86400</f>
        <v>3.7615740740740739E-3</v>
      </c>
      <c r="L762" s="5">
        <f>12846 / 86400</f>
        <v>0.14868055555555557</v>
      </c>
    </row>
    <row r="763" spans="1:12" x14ac:dyDescent="0.25">
      <c r="A763" s="11"/>
      <c r="B763" s="11"/>
      <c r="C763" s="11"/>
      <c r="D763" s="11"/>
      <c r="E763" s="11"/>
      <c r="F763" s="11"/>
      <c r="G763" s="11"/>
      <c r="H763" s="11"/>
      <c r="I763" s="11"/>
      <c r="J763" s="11"/>
    </row>
    <row r="764" spans="1:12" x14ac:dyDescent="0.25">
      <c r="A764" s="11"/>
      <c r="B764" s="11"/>
      <c r="C764" s="11"/>
      <c r="D764" s="11"/>
      <c r="E764" s="11"/>
      <c r="F764" s="11"/>
      <c r="G764" s="11"/>
      <c r="H764" s="11"/>
      <c r="I764" s="11"/>
      <c r="J764" s="11"/>
    </row>
    <row r="765" spans="1:12" s="10" customFormat="1" ht="20.100000000000001" customHeight="1" x14ac:dyDescent="0.35">
      <c r="A765" s="12" t="s">
        <v>469</v>
      </c>
      <c r="B765" s="12"/>
      <c r="C765" s="12"/>
      <c r="D765" s="12"/>
      <c r="E765" s="12"/>
      <c r="F765" s="12"/>
      <c r="G765" s="12"/>
      <c r="H765" s="12"/>
      <c r="I765" s="12"/>
      <c r="J765" s="12"/>
    </row>
    <row r="766" spans="1:12" x14ac:dyDescent="0.25">
      <c r="A766" s="11"/>
      <c r="B766" s="11"/>
      <c r="C766" s="11"/>
      <c r="D766" s="11"/>
      <c r="E766" s="11"/>
      <c r="F766" s="11"/>
      <c r="G766" s="11"/>
      <c r="H766" s="11"/>
      <c r="I766" s="11"/>
      <c r="J766" s="11"/>
    </row>
    <row r="767" spans="1:12" ht="30" x14ac:dyDescent="0.25">
      <c r="A767" s="2" t="s">
        <v>5</v>
      </c>
      <c r="B767" s="2" t="s">
        <v>6</v>
      </c>
      <c r="C767" s="2" t="s">
        <v>7</v>
      </c>
      <c r="D767" s="2" t="s">
        <v>8</v>
      </c>
      <c r="E767" s="2" t="s">
        <v>9</v>
      </c>
      <c r="F767" s="2" t="s">
        <v>10</v>
      </c>
      <c r="G767" s="2" t="s">
        <v>11</v>
      </c>
      <c r="H767" s="2" t="s">
        <v>12</v>
      </c>
      <c r="I767" s="2" t="s">
        <v>13</v>
      </c>
      <c r="J767" s="2" t="s">
        <v>14</v>
      </c>
      <c r="K767" s="2" t="s">
        <v>15</v>
      </c>
      <c r="L767" s="2" t="s">
        <v>16</v>
      </c>
    </row>
    <row r="768" spans="1:12" x14ac:dyDescent="0.25">
      <c r="A768" s="3">
        <v>45699.243680555555</v>
      </c>
      <c r="B768" t="s">
        <v>73</v>
      </c>
      <c r="C768" s="3">
        <v>45699.248206018514</v>
      </c>
      <c r="D768" t="s">
        <v>414</v>
      </c>
      <c r="E768" s="4">
        <v>1.2210000000000001</v>
      </c>
      <c r="F768" s="4">
        <v>435131.23300000001</v>
      </c>
      <c r="G768" s="4">
        <v>435132.45400000003</v>
      </c>
      <c r="H768" s="5">
        <f>119 / 86400</f>
        <v>1.3773148148148147E-3</v>
      </c>
      <c r="I768" t="s">
        <v>124</v>
      </c>
      <c r="J768" t="s">
        <v>134</v>
      </c>
      <c r="K768" s="5">
        <f>391 / 86400</f>
        <v>4.5254629629629629E-3</v>
      </c>
      <c r="L768" s="5">
        <f>23243 / 86400</f>
        <v>0.26901620370370372</v>
      </c>
    </row>
    <row r="769" spans="1:12" x14ac:dyDescent="0.25">
      <c r="A769" s="3">
        <v>45699.273541666669</v>
      </c>
      <c r="B769" t="s">
        <v>415</v>
      </c>
      <c r="C769" s="3">
        <v>45699.34946759259</v>
      </c>
      <c r="D769" t="s">
        <v>159</v>
      </c>
      <c r="E769" s="4">
        <v>37.207000000000001</v>
      </c>
      <c r="F769" s="4">
        <v>435132.45400000003</v>
      </c>
      <c r="G769" s="4">
        <v>435169.66100000002</v>
      </c>
      <c r="H769" s="5">
        <f>1218 / 86400</f>
        <v>1.4097222222222223E-2</v>
      </c>
      <c r="I769" t="s">
        <v>55</v>
      </c>
      <c r="J769" t="s">
        <v>152</v>
      </c>
      <c r="K769" s="5">
        <f>6560 / 86400</f>
        <v>7.5925925925925924E-2</v>
      </c>
      <c r="L769" s="5">
        <f>2238 / 86400</f>
        <v>2.5902777777777778E-2</v>
      </c>
    </row>
    <row r="770" spans="1:12" x14ac:dyDescent="0.25">
      <c r="A770" s="3">
        <v>45699.37537037037</v>
      </c>
      <c r="B770" t="s">
        <v>159</v>
      </c>
      <c r="C770" s="3">
        <v>45699.37903935185</v>
      </c>
      <c r="D770" t="s">
        <v>277</v>
      </c>
      <c r="E770" s="4">
        <v>1.1240000000000001</v>
      </c>
      <c r="F770" s="4">
        <v>435169.66100000002</v>
      </c>
      <c r="G770" s="4">
        <v>435170.78499999997</v>
      </c>
      <c r="H770" s="5">
        <f>40 / 86400</f>
        <v>4.6296296296296298E-4</v>
      </c>
      <c r="I770" t="s">
        <v>252</v>
      </c>
      <c r="J770" t="s">
        <v>56</v>
      </c>
      <c r="K770" s="5">
        <f>317 / 86400</f>
        <v>3.6689814814814814E-3</v>
      </c>
      <c r="L770" s="5">
        <f>3507 / 86400</f>
        <v>4.0590277777777781E-2</v>
      </c>
    </row>
    <row r="771" spans="1:12" x14ac:dyDescent="0.25">
      <c r="A771" s="3">
        <v>45699.419629629629</v>
      </c>
      <c r="B771" t="s">
        <v>105</v>
      </c>
      <c r="C771" s="3">
        <v>45699.420567129629</v>
      </c>
      <c r="D771" t="s">
        <v>105</v>
      </c>
      <c r="E771" s="4">
        <v>0</v>
      </c>
      <c r="F771" s="4">
        <v>435170.78499999997</v>
      </c>
      <c r="G771" s="4">
        <v>435170.78499999997</v>
      </c>
      <c r="H771" s="5">
        <f>79 / 86400</f>
        <v>9.1435185185185185E-4</v>
      </c>
      <c r="I771" t="s">
        <v>88</v>
      </c>
      <c r="J771" t="s">
        <v>88</v>
      </c>
      <c r="K771" s="5">
        <f>81 / 86400</f>
        <v>9.3749999999999997E-4</v>
      </c>
      <c r="L771" s="5">
        <f>620 / 86400</f>
        <v>7.1759259259259259E-3</v>
      </c>
    </row>
    <row r="772" spans="1:12" x14ac:dyDescent="0.25">
      <c r="A772" s="3">
        <v>45699.427743055552</v>
      </c>
      <c r="B772" t="s">
        <v>105</v>
      </c>
      <c r="C772" s="3">
        <v>45699.67114583333</v>
      </c>
      <c r="D772" t="s">
        <v>105</v>
      </c>
      <c r="E772" s="4">
        <v>101.151</v>
      </c>
      <c r="F772" s="4">
        <v>435170.78499999997</v>
      </c>
      <c r="G772" s="4">
        <v>435271.93599999999</v>
      </c>
      <c r="H772" s="5">
        <f>5999 / 86400</f>
        <v>6.9432870370370367E-2</v>
      </c>
      <c r="I772" t="s">
        <v>74</v>
      </c>
      <c r="J772" t="s">
        <v>42</v>
      </c>
      <c r="K772" s="5">
        <f>21029 / 86400</f>
        <v>0.24339120370370371</v>
      </c>
      <c r="L772" s="5">
        <f>4155 / 86400</f>
        <v>4.809027777777778E-2</v>
      </c>
    </row>
    <row r="773" spans="1:12" x14ac:dyDescent="0.25">
      <c r="A773" s="3">
        <v>45699.719236111108</v>
      </c>
      <c r="B773" t="s">
        <v>105</v>
      </c>
      <c r="C773" s="3">
        <v>45699.721250000002</v>
      </c>
      <c r="D773" t="s">
        <v>105</v>
      </c>
      <c r="E773" s="4">
        <v>0.14199999999999999</v>
      </c>
      <c r="F773" s="4">
        <v>435271.93599999999</v>
      </c>
      <c r="G773" s="4">
        <v>435272.07799999998</v>
      </c>
      <c r="H773" s="5">
        <f>99 / 86400</f>
        <v>1.1458333333333333E-3</v>
      </c>
      <c r="I773" t="s">
        <v>131</v>
      </c>
      <c r="J773" t="s">
        <v>157</v>
      </c>
      <c r="K773" s="5">
        <f>174 / 86400</f>
        <v>2.0138888888888888E-3</v>
      </c>
      <c r="L773" s="5">
        <f>960 / 86400</f>
        <v>1.1111111111111112E-2</v>
      </c>
    </row>
    <row r="774" spans="1:12" x14ac:dyDescent="0.25">
      <c r="A774" s="3">
        <v>45699.732361111106</v>
      </c>
      <c r="B774" t="s">
        <v>105</v>
      </c>
      <c r="C774" s="3">
        <v>45699.733541666668</v>
      </c>
      <c r="D774" t="s">
        <v>105</v>
      </c>
      <c r="E774" s="4">
        <v>1.4E-2</v>
      </c>
      <c r="F774" s="4">
        <v>435272.07799999998</v>
      </c>
      <c r="G774" s="4">
        <v>435272.092</v>
      </c>
      <c r="H774" s="5">
        <f>99 / 86400</f>
        <v>1.1458333333333333E-3</v>
      </c>
      <c r="I774" t="s">
        <v>88</v>
      </c>
      <c r="J774" t="s">
        <v>88</v>
      </c>
      <c r="K774" s="5">
        <f>102 / 86400</f>
        <v>1.1805555555555556E-3</v>
      </c>
      <c r="L774" s="5">
        <f>2333 / 86400</f>
        <v>2.7002314814814816E-2</v>
      </c>
    </row>
    <row r="775" spans="1:12" x14ac:dyDescent="0.25">
      <c r="A775" s="3">
        <v>45699.76054398148</v>
      </c>
      <c r="B775" t="s">
        <v>105</v>
      </c>
      <c r="C775" s="3">
        <v>45699.762372685189</v>
      </c>
      <c r="D775" t="s">
        <v>105</v>
      </c>
      <c r="E775" s="4">
        <v>4.3999999999999997E-2</v>
      </c>
      <c r="F775" s="4">
        <v>435272.092</v>
      </c>
      <c r="G775" s="4">
        <v>435272.136</v>
      </c>
      <c r="H775" s="5">
        <f>119 / 86400</f>
        <v>1.3773148148148147E-3</v>
      </c>
      <c r="I775" t="s">
        <v>28</v>
      </c>
      <c r="J775" t="s">
        <v>29</v>
      </c>
      <c r="K775" s="5">
        <f>158 / 86400</f>
        <v>1.8287037037037037E-3</v>
      </c>
      <c r="L775" s="5">
        <f>656 / 86400</f>
        <v>7.5925925925925926E-3</v>
      </c>
    </row>
    <row r="776" spans="1:12" x14ac:dyDescent="0.25">
      <c r="A776" s="3">
        <v>45699.769965277781</v>
      </c>
      <c r="B776" t="s">
        <v>105</v>
      </c>
      <c r="C776" s="3">
        <v>45699.770162037035</v>
      </c>
      <c r="D776" t="s">
        <v>105</v>
      </c>
      <c r="E776" s="4">
        <v>0</v>
      </c>
      <c r="F776" s="4">
        <v>435272.136</v>
      </c>
      <c r="G776" s="4">
        <v>435272.136</v>
      </c>
      <c r="H776" s="5">
        <f>0 / 86400</f>
        <v>0</v>
      </c>
      <c r="I776" t="s">
        <v>88</v>
      </c>
      <c r="J776" t="s">
        <v>88</v>
      </c>
      <c r="K776" s="5">
        <f>17 / 86400</f>
        <v>1.9675925925925926E-4</v>
      </c>
      <c r="L776" s="5">
        <f>512 / 86400</f>
        <v>5.9259259259259256E-3</v>
      </c>
    </row>
    <row r="777" spans="1:12" x14ac:dyDescent="0.25">
      <c r="A777" s="3">
        <v>45699.776087962964</v>
      </c>
      <c r="B777" t="s">
        <v>105</v>
      </c>
      <c r="C777" s="3">
        <v>45699.84988425926</v>
      </c>
      <c r="D777" t="s">
        <v>416</v>
      </c>
      <c r="E777" s="4">
        <v>38.034999999999997</v>
      </c>
      <c r="F777" s="4">
        <v>435272.136</v>
      </c>
      <c r="G777" s="4">
        <v>435310.17099999997</v>
      </c>
      <c r="H777" s="5">
        <f>1539 / 86400</f>
        <v>1.7812499999999998E-2</v>
      </c>
      <c r="I777" t="s">
        <v>36</v>
      </c>
      <c r="J777" t="s">
        <v>108</v>
      </c>
      <c r="K777" s="5">
        <f>6376 / 86400</f>
        <v>7.379629629629629E-2</v>
      </c>
      <c r="L777" s="5">
        <f>807 / 86400</f>
        <v>9.3402777777777772E-3</v>
      </c>
    </row>
    <row r="778" spans="1:12" x14ac:dyDescent="0.25">
      <c r="A778" s="3">
        <v>45699.859224537038</v>
      </c>
      <c r="B778" t="s">
        <v>416</v>
      </c>
      <c r="C778" s="3">
        <v>45699.873391203699</v>
      </c>
      <c r="D778" t="s">
        <v>73</v>
      </c>
      <c r="E778" s="4">
        <v>5.3259999999999996</v>
      </c>
      <c r="F778" s="4">
        <v>435310.17099999997</v>
      </c>
      <c r="G778" s="4">
        <v>435315.49699999997</v>
      </c>
      <c r="H778" s="5">
        <f>119 / 86400</f>
        <v>1.3773148148148147E-3</v>
      </c>
      <c r="I778" t="s">
        <v>166</v>
      </c>
      <c r="J778" t="s">
        <v>37</v>
      </c>
      <c r="K778" s="5">
        <f>1224 / 86400</f>
        <v>1.4166666666666666E-2</v>
      </c>
      <c r="L778" s="5">
        <f>1332 / 86400</f>
        <v>1.5416666666666667E-2</v>
      </c>
    </row>
    <row r="779" spans="1:12" x14ac:dyDescent="0.25">
      <c r="A779" s="3">
        <v>45699.888807870375</v>
      </c>
      <c r="B779" t="s">
        <v>73</v>
      </c>
      <c r="C779" s="3">
        <v>45699.889826388884</v>
      </c>
      <c r="D779" t="s">
        <v>73</v>
      </c>
      <c r="E779" s="4">
        <v>0.03</v>
      </c>
      <c r="F779" s="4">
        <v>435315.49699999997</v>
      </c>
      <c r="G779" s="4">
        <v>435315.527</v>
      </c>
      <c r="H779" s="5">
        <f>59 / 86400</f>
        <v>6.8287037037037036E-4</v>
      </c>
      <c r="I779" t="s">
        <v>57</v>
      </c>
      <c r="J779" t="s">
        <v>29</v>
      </c>
      <c r="K779" s="5">
        <f>88 / 86400</f>
        <v>1.0185185185185184E-3</v>
      </c>
      <c r="L779" s="5">
        <f>9518 / 86400</f>
        <v>0.11016203703703703</v>
      </c>
    </row>
    <row r="780" spans="1:12" x14ac:dyDescent="0.25">
      <c r="A780" s="11"/>
      <c r="B780" s="11"/>
      <c r="C780" s="11"/>
      <c r="D780" s="11"/>
      <c r="E780" s="11"/>
      <c r="F780" s="11"/>
      <c r="G780" s="11"/>
      <c r="H780" s="11"/>
      <c r="I780" s="11"/>
      <c r="J780" s="11"/>
    </row>
    <row r="781" spans="1:12" x14ac:dyDescent="0.25">
      <c r="A781" s="11"/>
      <c r="B781" s="11"/>
      <c r="C781" s="11"/>
      <c r="D781" s="11"/>
      <c r="E781" s="11"/>
      <c r="F781" s="11"/>
      <c r="G781" s="11"/>
      <c r="H781" s="11"/>
      <c r="I781" s="11"/>
      <c r="J781" s="11"/>
    </row>
    <row r="782" spans="1:12" s="10" customFormat="1" ht="20.100000000000001" customHeight="1" x14ac:dyDescent="0.35">
      <c r="A782" s="12" t="s">
        <v>470</v>
      </c>
      <c r="B782" s="12"/>
      <c r="C782" s="12"/>
      <c r="D782" s="12"/>
      <c r="E782" s="12"/>
      <c r="F782" s="12"/>
      <c r="G782" s="12"/>
      <c r="H782" s="12"/>
      <c r="I782" s="12"/>
      <c r="J782" s="12"/>
    </row>
    <row r="783" spans="1:12" x14ac:dyDescent="0.25">
      <c r="A783" s="11"/>
      <c r="B783" s="11"/>
      <c r="C783" s="11"/>
      <c r="D783" s="11"/>
      <c r="E783" s="11"/>
      <c r="F783" s="11"/>
      <c r="G783" s="11"/>
      <c r="H783" s="11"/>
      <c r="I783" s="11"/>
      <c r="J783" s="11"/>
    </row>
    <row r="784" spans="1:12" ht="30" x14ac:dyDescent="0.25">
      <c r="A784" s="2" t="s">
        <v>5</v>
      </c>
      <c r="B784" s="2" t="s">
        <v>6</v>
      </c>
      <c r="C784" s="2" t="s">
        <v>7</v>
      </c>
      <c r="D784" s="2" t="s">
        <v>8</v>
      </c>
      <c r="E784" s="2" t="s">
        <v>9</v>
      </c>
      <c r="F784" s="2" t="s">
        <v>10</v>
      </c>
      <c r="G784" s="2" t="s">
        <v>11</v>
      </c>
      <c r="H784" s="2" t="s">
        <v>12</v>
      </c>
      <c r="I784" s="2" t="s">
        <v>13</v>
      </c>
      <c r="J784" s="2" t="s">
        <v>14</v>
      </c>
      <c r="K784" s="2" t="s">
        <v>15</v>
      </c>
      <c r="L784" s="2" t="s">
        <v>16</v>
      </c>
    </row>
    <row r="785" spans="1:12" x14ac:dyDescent="0.25">
      <c r="A785" s="3">
        <v>45699.237557870365</v>
      </c>
      <c r="B785" t="s">
        <v>44</v>
      </c>
      <c r="C785" s="3">
        <v>45699.238946759258</v>
      </c>
      <c r="D785" t="s">
        <v>44</v>
      </c>
      <c r="E785" s="4">
        <v>2.3E-2</v>
      </c>
      <c r="F785" s="4">
        <v>515010.87400000001</v>
      </c>
      <c r="G785" s="4">
        <v>515010.897</v>
      </c>
      <c r="H785" s="5">
        <f>60 / 86400</f>
        <v>6.9444444444444447E-4</v>
      </c>
      <c r="I785" t="s">
        <v>148</v>
      </c>
      <c r="J785" t="s">
        <v>29</v>
      </c>
      <c r="K785" s="5">
        <f>120 / 86400</f>
        <v>1.3888888888888889E-3</v>
      </c>
      <c r="L785" s="5">
        <f>20527 / 86400</f>
        <v>0.23758101851851851</v>
      </c>
    </row>
    <row r="786" spans="1:12" x14ac:dyDescent="0.25">
      <c r="A786" s="3">
        <v>45699.238969907412</v>
      </c>
      <c r="B786" t="s">
        <v>44</v>
      </c>
      <c r="C786" s="3">
        <v>45699.239247685182</v>
      </c>
      <c r="D786" t="s">
        <v>417</v>
      </c>
      <c r="E786" s="4">
        <v>3.7999999999999999E-2</v>
      </c>
      <c r="F786" s="4">
        <v>515010.9</v>
      </c>
      <c r="G786" s="4">
        <v>515010.93800000002</v>
      </c>
      <c r="H786" s="5">
        <f>0 / 86400</f>
        <v>0</v>
      </c>
      <c r="I786" t="s">
        <v>112</v>
      </c>
      <c r="J786" t="s">
        <v>128</v>
      </c>
      <c r="K786" s="5">
        <f>24 / 86400</f>
        <v>2.7777777777777778E-4</v>
      </c>
      <c r="L786" s="5">
        <f>14 / 86400</f>
        <v>1.6203703703703703E-4</v>
      </c>
    </row>
    <row r="787" spans="1:12" x14ac:dyDescent="0.25">
      <c r="A787" s="3">
        <v>45699.23940972222</v>
      </c>
      <c r="B787" t="s">
        <v>44</v>
      </c>
      <c r="C787" s="3">
        <v>45699.239571759259</v>
      </c>
      <c r="D787" t="s">
        <v>44</v>
      </c>
      <c r="E787" s="4">
        <v>2.7E-2</v>
      </c>
      <c r="F787" s="4">
        <v>515010.94400000002</v>
      </c>
      <c r="G787" s="4">
        <v>515010.97100000002</v>
      </c>
      <c r="H787" s="5">
        <f>0 / 86400</f>
        <v>0</v>
      </c>
      <c r="I787" t="s">
        <v>128</v>
      </c>
      <c r="J787" t="s">
        <v>28</v>
      </c>
      <c r="K787" s="5">
        <f>14 / 86400</f>
        <v>1.6203703703703703E-4</v>
      </c>
      <c r="L787" s="5">
        <f>7 / 86400</f>
        <v>8.1018518518518516E-5</v>
      </c>
    </row>
    <row r="788" spans="1:12" x14ac:dyDescent="0.25">
      <c r="A788" s="3">
        <v>45699.239652777775</v>
      </c>
      <c r="B788" t="s">
        <v>44</v>
      </c>
      <c r="C788" s="3">
        <v>45699.239710648151</v>
      </c>
      <c r="D788" t="s">
        <v>44</v>
      </c>
      <c r="E788" s="4">
        <v>5.0000000000000001E-3</v>
      </c>
      <c r="F788" s="4">
        <v>515010.97200000001</v>
      </c>
      <c r="G788" s="4">
        <v>515010.97700000001</v>
      </c>
      <c r="H788" s="5">
        <f>0 / 86400</f>
        <v>0</v>
      </c>
      <c r="I788" t="s">
        <v>148</v>
      </c>
      <c r="J788" t="s">
        <v>232</v>
      </c>
      <c r="K788" s="5">
        <f>5 / 86400</f>
        <v>5.7870370370370373E-5</v>
      </c>
      <c r="L788" s="5">
        <f>4 / 86400</f>
        <v>4.6296296296296294E-5</v>
      </c>
    </row>
    <row r="789" spans="1:12" x14ac:dyDescent="0.25">
      <c r="A789" s="3">
        <v>45699.239756944444</v>
      </c>
      <c r="B789" t="s">
        <v>44</v>
      </c>
      <c r="C789" s="3">
        <v>45699.240115740744</v>
      </c>
      <c r="D789" t="s">
        <v>371</v>
      </c>
      <c r="E789" s="4">
        <v>2.3E-2</v>
      </c>
      <c r="F789" s="4">
        <v>515010.97700000001</v>
      </c>
      <c r="G789" s="4">
        <v>515011</v>
      </c>
      <c r="H789" s="5">
        <f>0 / 86400</f>
        <v>0</v>
      </c>
      <c r="I789" t="s">
        <v>28</v>
      </c>
      <c r="J789" t="s">
        <v>157</v>
      </c>
      <c r="K789" s="5">
        <f>31 / 86400</f>
        <v>3.5879629629629629E-4</v>
      </c>
      <c r="L789" s="5">
        <f>1 / 86400</f>
        <v>1.1574074074074073E-5</v>
      </c>
    </row>
    <row r="790" spans="1:12" x14ac:dyDescent="0.25">
      <c r="A790" s="3">
        <v>45699.240127314813</v>
      </c>
      <c r="B790" t="s">
        <v>371</v>
      </c>
      <c r="C790" s="3">
        <v>45699.242685185185</v>
      </c>
      <c r="D790" t="s">
        <v>277</v>
      </c>
      <c r="E790" s="4">
        <v>0.74299999999999999</v>
      </c>
      <c r="F790" s="4">
        <v>515011.00199999998</v>
      </c>
      <c r="G790" s="4">
        <v>515011.745</v>
      </c>
      <c r="H790" s="5">
        <f>30 / 86400</f>
        <v>3.4722222222222224E-4</v>
      </c>
      <c r="I790" t="s">
        <v>108</v>
      </c>
      <c r="J790" t="s">
        <v>131</v>
      </c>
      <c r="K790" s="5">
        <f>221 / 86400</f>
        <v>2.5578703703703705E-3</v>
      </c>
      <c r="L790" s="5">
        <f>1 / 86400</f>
        <v>1.1574074074074073E-5</v>
      </c>
    </row>
    <row r="791" spans="1:12" x14ac:dyDescent="0.25">
      <c r="A791" s="3">
        <v>45699.242696759262</v>
      </c>
      <c r="B791" t="s">
        <v>277</v>
      </c>
      <c r="C791" s="3">
        <v>45699.243125000001</v>
      </c>
      <c r="D791" t="s">
        <v>276</v>
      </c>
      <c r="E791" s="4">
        <v>0.19</v>
      </c>
      <c r="F791" s="4">
        <v>515011.745</v>
      </c>
      <c r="G791" s="4">
        <v>515011.935</v>
      </c>
      <c r="H791" s="5">
        <f t="shared" ref="H791:H805" si="6">0 / 86400</f>
        <v>0</v>
      </c>
      <c r="I791" t="s">
        <v>31</v>
      </c>
      <c r="J791" t="s">
        <v>26</v>
      </c>
      <c r="K791" s="5">
        <f>37 / 86400</f>
        <v>4.2824074074074075E-4</v>
      </c>
      <c r="L791" s="5">
        <f>9 / 86400</f>
        <v>1.0416666666666667E-4</v>
      </c>
    </row>
    <row r="792" spans="1:12" x14ac:dyDescent="0.25">
      <c r="A792" s="3">
        <v>45699.243229166663</v>
      </c>
      <c r="B792" t="s">
        <v>276</v>
      </c>
      <c r="C792" s="3">
        <v>45699.243518518517</v>
      </c>
      <c r="D792" t="s">
        <v>275</v>
      </c>
      <c r="E792" s="4">
        <v>0.13600000000000001</v>
      </c>
      <c r="F792" s="4">
        <v>515011.93699999998</v>
      </c>
      <c r="G792" s="4">
        <v>515012.07299999997</v>
      </c>
      <c r="H792" s="5">
        <f t="shared" si="6"/>
        <v>0</v>
      </c>
      <c r="I792" t="s">
        <v>141</v>
      </c>
      <c r="J792" t="s">
        <v>152</v>
      </c>
      <c r="K792" s="5">
        <f>25 / 86400</f>
        <v>2.8935185185185184E-4</v>
      </c>
      <c r="L792" s="5">
        <f>3 / 86400</f>
        <v>3.4722222222222222E-5</v>
      </c>
    </row>
    <row r="793" spans="1:12" x14ac:dyDescent="0.25">
      <c r="A793" s="3">
        <v>45699.24355324074</v>
      </c>
      <c r="B793" t="s">
        <v>275</v>
      </c>
      <c r="C793" s="3">
        <v>45699.244340277779</v>
      </c>
      <c r="D793" t="s">
        <v>418</v>
      </c>
      <c r="E793" s="4">
        <v>0.378</v>
      </c>
      <c r="F793" s="4">
        <v>515012.07299999997</v>
      </c>
      <c r="G793" s="4">
        <v>515012.451</v>
      </c>
      <c r="H793" s="5">
        <f t="shared" si="6"/>
        <v>0</v>
      </c>
      <c r="I793" t="s">
        <v>178</v>
      </c>
      <c r="J793" t="s">
        <v>152</v>
      </c>
      <c r="K793" s="5">
        <f>68 / 86400</f>
        <v>7.8703703703703705E-4</v>
      </c>
      <c r="L793" s="5">
        <f>10 / 86400</f>
        <v>1.1574074074074075E-4</v>
      </c>
    </row>
    <row r="794" spans="1:12" x14ac:dyDescent="0.25">
      <c r="A794" s="3">
        <v>45699.244456018518</v>
      </c>
      <c r="B794" t="s">
        <v>418</v>
      </c>
      <c r="C794" s="3">
        <v>45699.244583333333</v>
      </c>
      <c r="D794" t="s">
        <v>418</v>
      </c>
      <c r="E794" s="4">
        <v>6.8000000000000005E-2</v>
      </c>
      <c r="F794" s="4">
        <v>515012.45699999999</v>
      </c>
      <c r="G794" s="4">
        <v>515012.52500000002</v>
      </c>
      <c r="H794" s="5">
        <f t="shared" si="6"/>
        <v>0</v>
      </c>
      <c r="I794" t="s">
        <v>203</v>
      </c>
      <c r="J794" t="s">
        <v>34</v>
      </c>
      <c r="K794" s="5">
        <f>11 / 86400</f>
        <v>1.273148148148148E-4</v>
      </c>
      <c r="L794" s="5">
        <f>9 / 86400</f>
        <v>1.0416666666666667E-4</v>
      </c>
    </row>
    <row r="795" spans="1:12" x14ac:dyDescent="0.25">
      <c r="A795" s="3">
        <v>45699.244687500002</v>
      </c>
      <c r="B795" t="s">
        <v>274</v>
      </c>
      <c r="C795" s="3">
        <v>45699.244826388887</v>
      </c>
      <c r="D795" t="s">
        <v>274</v>
      </c>
      <c r="E795" s="4">
        <v>8.3000000000000004E-2</v>
      </c>
      <c r="F795" s="4">
        <v>515012.53399999999</v>
      </c>
      <c r="G795" s="4">
        <v>515012.61700000003</v>
      </c>
      <c r="H795" s="5">
        <f t="shared" si="6"/>
        <v>0</v>
      </c>
      <c r="I795" t="s">
        <v>174</v>
      </c>
      <c r="J795" t="s">
        <v>141</v>
      </c>
      <c r="K795" s="5">
        <f>12 / 86400</f>
        <v>1.3888888888888889E-4</v>
      </c>
      <c r="L795" s="5">
        <f>6 / 86400</f>
        <v>6.9444444444444444E-5</v>
      </c>
    </row>
    <row r="796" spans="1:12" x14ac:dyDescent="0.25">
      <c r="A796" s="3">
        <v>45699.244895833333</v>
      </c>
      <c r="B796" t="s">
        <v>274</v>
      </c>
      <c r="C796" s="3">
        <v>45699.245208333334</v>
      </c>
      <c r="D796" t="s">
        <v>284</v>
      </c>
      <c r="E796" s="4">
        <v>0.13400000000000001</v>
      </c>
      <c r="F796" s="4">
        <v>515012.62400000001</v>
      </c>
      <c r="G796" s="4">
        <v>515012.75799999997</v>
      </c>
      <c r="H796" s="5">
        <f t="shared" si="6"/>
        <v>0</v>
      </c>
      <c r="I796" t="s">
        <v>137</v>
      </c>
      <c r="J796" t="s">
        <v>26</v>
      </c>
      <c r="K796" s="5">
        <f>27 / 86400</f>
        <v>3.1250000000000001E-4</v>
      </c>
      <c r="L796" s="5">
        <f>6 / 86400</f>
        <v>6.9444444444444444E-5</v>
      </c>
    </row>
    <row r="797" spans="1:12" x14ac:dyDescent="0.25">
      <c r="A797" s="3">
        <v>45699.24527777778</v>
      </c>
      <c r="B797" t="s">
        <v>284</v>
      </c>
      <c r="C797" s="3">
        <v>45699.245567129634</v>
      </c>
      <c r="D797" t="s">
        <v>286</v>
      </c>
      <c r="E797" s="4">
        <v>8.5000000000000006E-2</v>
      </c>
      <c r="F797" s="4">
        <v>515012.761</v>
      </c>
      <c r="G797" s="4">
        <v>515012.84600000002</v>
      </c>
      <c r="H797" s="5">
        <f t="shared" si="6"/>
        <v>0</v>
      </c>
      <c r="I797" t="s">
        <v>178</v>
      </c>
      <c r="J797" t="s">
        <v>131</v>
      </c>
      <c r="K797" s="5">
        <f>25 / 86400</f>
        <v>2.8935185185185184E-4</v>
      </c>
      <c r="L797" s="5">
        <f>14 / 86400</f>
        <v>1.6203703703703703E-4</v>
      </c>
    </row>
    <row r="798" spans="1:12" x14ac:dyDescent="0.25">
      <c r="A798" s="3">
        <v>45699.245729166665</v>
      </c>
      <c r="B798" t="s">
        <v>418</v>
      </c>
      <c r="C798" s="3">
        <v>45699.247060185182</v>
      </c>
      <c r="D798" t="s">
        <v>418</v>
      </c>
      <c r="E798" s="4">
        <v>0.84299999999999997</v>
      </c>
      <c r="F798" s="4">
        <v>515012.91399999999</v>
      </c>
      <c r="G798" s="4">
        <v>515013.75699999998</v>
      </c>
      <c r="H798" s="5">
        <f t="shared" si="6"/>
        <v>0</v>
      </c>
      <c r="I798" t="s">
        <v>223</v>
      </c>
      <c r="J798" t="s">
        <v>137</v>
      </c>
      <c r="K798" s="5">
        <f>115 / 86400</f>
        <v>1.3310185185185185E-3</v>
      </c>
      <c r="L798" s="5">
        <f>14 / 86400</f>
        <v>1.6203703703703703E-4</v>
      </c>
    </row>
    <row r="799" spans="1:12" x14ac:dyDescent="0.25">
      <c r="A799" s="3">
        <v>45699.24722222222</v>
      </c>
      <c r="B799" t="s">
        <v>418</v>
      </c>
      <c r="C799" s="3">
        <v>45699.247569444444</v>
      </c>
      <c r="D799" t="s">
        <v>418</v>
      </c>
      <c r="E799" s="4">
        <v>7.0000000000000001E-3</v>
      </c>
      <c r="F799" s="4">
        <v>515013.76400000002</v>
      </c>
      <c r="G799" s="4">
        <v>515013.77100000001</v>
      </c>
      <c r="H799" s="5">
        <f t="shared" si="6"/>
        <v>0</v>
      </c>
      <c r="I799" t="s">
        <v>42</v>
      </c>
      <c r="J799" t="s">
        <v>29</v>
      </c>
      <c r="K799" s="5">
        <f>30 / 86400</f>
        <v>3.4722222222222224E-4</v>
      </c>
      <c r="L799" s="5">
        <f>30 / 86400</f>
        <v>3.4722222222222224E-4</v>
      </c>
    </row>
    <row r="800" spans="1:12" x14ac:dyDescent="0.25">
      <c r="A800" s="3">
        <v>45699.247916666667</v>
      </c>
      <c r="B800" t="s">
        <v>418</v>
      </c>
      <c r="C800" s="3">
        <v>45699.248159722221</v>
      </c>
      <c r="D800" t="s">
        <v>419</v>
      </c>
      <c r="E800" s="4">
        <v>0.10199999999999999</v>
      </c>
      <c r="F800" s="4">
        <v>515014.00900000002</v>
      </c>
      <c r="G800" s="4">
        <v>515014.11099999998</v>
      </c>
      <c r="H800" s="5">
        <f t="shared" si="6"/>
        <v>0</v>
      </c>
      <c r="I800" t="s">
        <v>202</v>
      </c>
      <c r="J800" t="s">
        <v>42</v>
      </c>
      <c r="K800" s="5">
        <f>21 / 86400</f>
        <v>2.4305555555555555E-4</v>
      </c>
      <c r="L800" s="5">
        <f>3 / 86400</f>
        <v>3.4722222222222222E-5</v>
      </c>
    </row>
    <row r="801" spans="1:12" x14ac:dyDescent="0.25">
      <c r="A801" s="3">
        <v>45699.248194444444</v>
      </c>
      <c r="B801" t="s">
        <v>419</v>
      </c>
      <c r="C801" s="3">
        <v>45699.248518518521</v>
      </c>
      <c r="D801" t="s">
        <v>418</v>
      </c>
      <c r="E801" s="4">
        <v>0.124</v>
      </c>
      <c r="F801" s="4">
        <v>515014.11200000002</v>
      </c>
      <c r="G801" s="4">
        <v>515014.23599999998</v>
      </c>
      <c r="H801" s="5">
        <f t="shared" si="6"/>
        <v>0</v>
      </c>
      <c r="I801" t="s">
        <v>202</v>
      </c>
      <c r="J801" t="s">
        <v>37</v>
      </c>
      <c r="K801" s="5">
        <f>28 / 86400</f>
        <v>3.2407407407407406E-4</v>
      </c>
      <c r="L801" s="5">
        <f>38 / 86400</f>
        <v>4.3981481481481481E-4</v>
      </c>
    </row>
    <row r="802" spans="1:12" x14ac:dyDescent="0.25">
      <c r="A802" s="3">
        <v>45699.248958333337</v>
      </c>
      <c r="B802" t="s">
        <v>119</v>
      </c>
      <c r="C802" s="3">
        <v>45699.249074074076</v>
      </c>
      <c r="D802" t="s">
        <v>119</v>
      </c>
      <c r="E802" s="4">
        <v>3.2000000000000001E-2</v>
      </c>
      <c r="F802" s="4">
        <v>515014.255</v>
      </c>
      <c r="G802" s="4">
        <v>515014.28700000001</v>
      </c>
      <c r="H802" s="5">
        <f t="shared" si="6"/>
        <v>0</v>
      </c>
      <c r="I802" t="s">
        <v>42</v>
      </c>
      <c r="J802" t="s">
        <v>131</v>
      </c>
      <c r="K802" s="5">
        <f>10 / 86400</f>
        <v>1.1574074074074075E-4</v>
      </c>
      <c r="L802" s="5">
        <f>16 / 86400</f>
        <v>1.8518518518518518E-4</v>
      </c>
    </row>
    <row r="803" spans="1:12" x14ac:dyDescent="0.25">
      <c r="A803" s="3">
        <v>45699.249259259261</v>
      </c>
      <c r="B803" t="s">
        <v>119</v>
      </c>
      <c r="C803" s="3">
        <v>45699.249305555553</v>
      </c>
      <c r="D803" t="s">
        <v>420</v>
      </c>
      <c r="E803" s="4">
        <v>1.2999999999999999E-2</v>
      </c>
      <c r="F803" s="4">
        <v>515014.3</v>
      </c>
      <c r="G803" s="4">
        <v>515014.31300000002</v>
      </c>
      <c r="H803" s="5">
        <f t="shared" si="6"/>
        <v>0</v>
      </c>
      <c r="I803" t="s">
        <v>26</v>
      </c>
      <c r="J803" t="s">
        <v>131</v>
      </c>
      <c r="K803" s="5">
        <f>4 / 86400</f>
        <v>4.6296296296296294E-5</v>
      </c>
      <c r="L803" s="5">
        <f>30 / 86400</f>
        <v>3.4722222222222224E-4</v>
      </c>
    </row>
    <row r="804" spans="1:12" x14ac:dyDescent="0.25">
      <c r="A804" s="3">
        <v>45699.249652777777</v>
      </c>
      <c r="B804" t="s">
        <v>421</v>
      </c>
      <c r="C804" s="3">
        <v>45699.249710648146</v>
      </c>
      <c r="D804" t="s">
        <v>422</v>
      </c>
      <c r="E804" s="4">
        <v>0</v>
      </c>
      <c r="F804" s="4">
        <v>515014.48100000003</v>
      </c>
      <c r="G804" s="4">
        <v>515014.48100000003</v>
      </c>
      <c r="H804" s="5">
        <f t="shared" si="6"/>
        <v>0</v>
      </c>
      <c r="I804" t="s">
        <v>134</v>
      </c>
      <c r="J804" t="s">
        <v>88</v>
      </c>
      <c r="K804" s="5">
        <f>5 / 86400</f>
        <v>5.7870370370370373E-5</v>
      </c>
      <c r="L804" s="5">
        <f>5 / 86400</f>
        <v>5.7870370370370373E-5</v>
      </c>
    </row>
    <row r="805" spans="1:12" x14ac:dyDescent="0.25">
      <c r="A805" s="3">
        <v>45699.249768518523</v>
      </c>
      <c r="B805" t="s">
        <v>422</v>
      </c>
      <c r="C805" s="3">
        <v>45699.25001157407</v>
      </c>
      <c r="D805" t="s">
        <v>422</v>
      </c>
      <c r="E805" s="4">
        <v>6.7000000000000004E-2</v>
      </c>
      <c r="F805" s="4">
        <v>515014.48599999998</v>
      </c>
      <c r="G805" s="4">
        <v>515014.55300000001</v>
      </c>
      <c r="H805" s="5">
        <f t="shared" si="6"/>
        <v>0</v>
      </c>
      <c r="I805" t="s">
        <v>19</v>
      </c>
      <c r="J805" t="s">
        <v>134</v>
      </c>
      <c r="K805" s="5">
        <f>21 / 86400</f>
        <v>2.4305555555555555E-4</v>
      </c>
      <c r="L805" s="5">
        <f>30 / 86400</f>
        <v>3.4722222222222224E-4</v>
      </c>
    </row>
    <row r="806" spans="1:12" x14ac:dyDescent="0.25">
      <c r="A806" s="3">
        <v>45699.2503587963</v>
      </c>
      <c r="B806" t="s">
        <v>115</v>
      </c>
      <c r="C806" s="3">
        <v>45699.250763888893</v>
      </c>
      <c r="D806" t="s">
        <v>423</v>
      </c>
      <c r="E806" s="4">
        <v>8.5000000000000006E-2</v>
      </c>
      <c r="F806" s="4">
        <v>515014.60800000001</v>
      </c>
      <c r="G806" s="4">
        <v>515014.69300000003</v>
      </c>
      <c r="H806" s="5">
        <f>21 / 86400</f>
        <v>2.4305555555555555E-4</v>
      </c>
      <c r="I806" t="s">
        <v>56</v>
      </c>
      <c r="J806" t="s">
        <v>127</v>
      </c>
      <c r="K806" s="5">
        <f>35 / 86400</f>
        <v>4.0509259259259258E-4</v>
      </c>
      <c r="L806" s="5">
        <f>27 / 86400</f>
        <v>3.1250000000000001E-4</v>
      </c>
    </row>
    <row r="807" spans="1:12" x14ac:dyDescent="0.25">
      <c r="A807" s="3">
        <v>45699.251076388886</v>
      </c>
      <c r="B807" t="s">
        <v>367</v>
      </c>
      <c r="C807" s="3">
        <v>45699.251122685186</v>
      </c>
      <c r="D807" t="s">
        <v>367</v>
      </c>
      <c r="E807" s="4">
        <v>0</v>
      </c>
      <c r="F807" s="4">
        <v>515014.77899999998</v>
      </c>
      <c r="G807" s="4">
        <v>515014.77899999998</v>
      </c>
      <c r="H807" s="5">
        <f>0 / 86400</f>
        <v>0</v>
      </c>
      <c r="I807" t="s">
        <v>232</v>
      </c>
      <c r="J807" t="s">
        <v>88</v>
      </c>
      <c r="K807" s="5">
        <f>4 / 86400</f>
        <v>4.6296296296296294E-5</v>
      </c>
      <c r="L807" s="5">
        <f>24 / 86400</f>
        <v>2.7777777777777778E-4</v>
      </c>
    </row>
    <row r="808" spans="1:12" x14ac:dyDescent="0.25">
      <c r="A808" s="3">
        <v>45699.251400462963</v>
      </c>
      <c r="B808" t="s">
        <v>273</v>
      </c>
      <c r="C808" s="3">
        <v>45699.254155092596</v>
      </c>
      <c r="D808" t="s">
        <v>119</v>
      </c>
      <c r="E808" s="4">
        <v>1.3260000000000001</v>
      </c>
      <c r="F808" s="4">
        <v>515014.82299999997</v>
      </c>
      <c r="G808" s="4">
        <v>515016.14899999998</v>
      </c>
      <c r="H808" s="5">
        <f>30 / 86400</f>
        <v>3.4722222222222224E-4</v>
      </c>
      <c r="I808" t="s">
        <v>210</v>
      </c>
      <c r="J808" t="s">
        <v>152</v>
      </c>
      <c r="K808" s="5">
        <f>238 / 86400</f>
        <v>2.7546296296296294E-3</v>
      </c>
      <c r="L808" s="5">
        <f>6 / 86400</f>
        <v>6.9444444444444444E-5</v>
      </c>
    </row>
    <row r="809" spans="1:12" x14ac:dyDescent="0.25">
      <c r="A809" s="3">
        <v>45699.254224537042</v>
      </c>
      <c r="B809" t="s">
        <v>424</v>
      </c>
      <c r="C809" s="3">
        <v>45699.257708333331</v>
      </c>
      <c r="D809" t="s">
        <v>120</v>
      </c>
      <c r="E809" s="4">
        <v>3.7130000000000001</v>
      </c>
      <c r="F809" s="4">
        <v>515016.14899999998</v>
      </c>
      <c r="G809" s="4">
        <v>515019.86200000002</v>
      </c>
      <c r="H809" s="5">
        <f>0 / 86400</f>
        <v>0</v>
      </c>
      <c r="I809" t="s">
        <v>75</v>
      </c>
      <c r="J809" t="s">
        <v>223</v>
      </c>
      <c r="K809" s="5">
        <f>301 / 86400</f>
        <v>3.4837962962962965E-3</v>
      </c>
      <c r="L809" s="5">
        <f>13 / 86400</f>
        <v>1.5046296296296297E-4</v>
      </c>
    </row>
    <row r="810" spans="1:12" x14ac:dyDescent="0.25">
      <c r="A810" s="3">
        <v>45699.257858796293</v>
      </c>
      <c r="B810" t="s">
        <v>425</v>
      </c>
      <c r="C810" s="3">
        <v>45699.260474537034</v>
      </c>
      <c r="D810" t="s">
        <v>293</v>
      </c>
      <c r="E810" s="4">
        <v>2.0939999999999999</v>
      </c>
      <c r="F810" s="4">
        <v>515019.94699999999</v>
      </c>
      <c r="G810" s="4">
        <v>515022.04100000003</v>
      </c>
      <c r="H810" s="5">
        <f>30 / 86400</f>
        <v>3.4722222222222224E-4</v>
      </c>
      <c r="I810" t="s">
        <v>295</v>
      </c>
      <c r="J810" t="s">
        <v>193</v>
      </c>
      <c r="K810" s="5">
        <f>226 / 86400</f>
        <v>2.6157407407407405E-3</v>
      </c>
      <c r="L810" s="5">
        <f>4 / 86400</f>
        <v>4.6296296296296294E-5</v>
      </c>
    </row>
    <row r="811" spans="1:12" x14ac:dyDescent="0.25">
      <c r="A811" s="3">
        <v>45699.260520833333</v>
      </c>
      <c r="B811" t="s">
        <v>426</v>
      </c>
      <c r="C811" s="3">
        <v>45699.262835648144</v>
      </c>
      <c r="D811" t="s">
        <v>293</v>
      </c>
      <c r="E811" s="4">
        <v>1.7210000000000001</v>
      </c>
      <c r="F811" s="4">
        <v>515022.06699999998</v>
      </c>
      <c r="G811" s="4">
        <v>515023.788</v>
      </c>
      <c r="H811" s="5">
        <f>30 / 86400</f>
        <v>3.4722222222222224E-4</v>
      </c>
      <c r="I811" t="s">
        <v>175</v>
      </c>
      <c r="J811" t="s">
        <v>124</v>
      </c>
      <c r="K811" s="5">
        <f>200 / 86400</f>
        <v>2.3148148148148147E-3</v>
      </c>
      <c r="L811" s="5">
        <f>3 / 86400</f>
        <v>3.4722222222222222E-5</v>
      </c>
    </row>
    <row r="812" spans="1:12" x14ac:dyDescent="0.25">
      <c r="A812" s="3">
        <v>45699.262870370367</v>
      </c>
      <c r="B812" t="s">
        <v>293</v>
      </c>
      <c r="C812" s="3">
        <v>45699.313159722224</v>
      </c>
      <c r="D812" t="s">
        <v>427</v>
      </c>
      <c r="E812" s="4">
        <v>25.248000000000001</v>
      </c>
      <c r="F812" s="4">
        <v>515023.79100000003</v>
      </c>
      <c r="G812" s="4">
        <v>515049.03899999999</v>
      </c>
      <c r="H812" s="5">
        <f>1062 / 86400</f>
        <v>1.2291666666666666E-2</v>
      </c>
      <c r="I812" t="s">
        <v>39</v>
      </c>
      <c r="J812" t="s">
        <v>108</v>
      </c>
      <c r="K812" s="5">
        <f>4345 / 86400</f>
        <v>5.0289351851851849E-2</v>
      </c>
      <c r="L812" s="5">
        <f>2 / 86400</f>
        <v>2.3148148148148147E-5</v>
      </c>
    </row>
    <row r="813" spans="1:12" x14ac:dyDescent="0.25">
      <c r="A813" s="3">
        <v>45699.31318287037</v>
      </c>
      <c r="B813" t="s">
        <v>428</v>
      </c>
      <c r="C813" s="3">
        <v>45699.4059375</v>
      </c>
      <c r="D813" t="s">
        <v>304</v>
      </c>
      <c r="E813" s="4">
        <v>21.695</v>
      </c>
      <c r="F813" s="4">
        <v>515049.049</v>
      </c>
      <c r="G813" s="4">
        <v>515070.74400000001</v>
      </c>
      <c r="H813" s="5">
        <f>3570 / 86400</f>
        <v>4.1319444444444443E-2</v>
      </c>
      <c r="I813" t="s">
        <v>133</v>
      </c>
      <c r="J813" t="s">
        <v>112</v>
      </c>
      <c r="K813" s="5">
        <f>8014 / 86400</f>
        <v>9.2754629629629631E-2</v>
      </c>
      <c r="L813" s="5">
        <f>3 / 86400</f>
        <v>3.4722222222222222E-5</v>
      </c>
    </row>
    <row r="814" spans="1:12" x14ac:dyDescent="0.25">
      <c r="A814" s="3">
        <v>45699.405972222223</v>
      </c>
      <c r="B814" t="s">
        <v>304</v>
      </c>
      <c r="C814" s="3">
        <v>45699.45616898148</v>
      </c>
      <c r="D814" t="s">
        <v>120</v>
      </c>
      <c r="E814" s="4">
        <v>27.481999999999999</v>
      </c>
      <c r="F814" s="4">
        <v>515070.75900000002</v>
      </c>
      <c r="G814" s="4">
        <v>515098.24099999998</v>
      </c>
      <c r="H814" s="5">
        <f>930 / 86400</f>
        <v>1.0763888888888889E-2</v>
      </c>
      <c r="I814" t="s">
        <v>175</v>
      </c>
      <c r="J814" t="s">
        <v>160</v>
      </c>
      <c r="K814" s="5">
        <f>4337 / 86400</f>
        <v>5.019675925925926E-2</v>
      </c>
      <c r="L814" s="5">
        <f>30 / 86400</f>
        <v>3.4722222222222224E-4</v>
      </c>
    </row>
    <row r="815" spans="1:12" x14ac:dyDescent="0.25">
      <c r="A815" s="3">
        <v>45699.456516203703</v>
      </c>
      <c r="B815" t="s">
        <v>429</v>
      </c>
      <c r="C815" s="3">
        <v>45699.475300925929</v>
      </c>
      <c r="D815" t="s">
        <v>44</v>
      </c>
      <c r="E815" s="4">
        <v>10.191000000000001</v>
      </c>
      <c r="F815" s="4">
        <v>515098.66200000001</v>
      </c>
      <c r="G815" s="4">
        <v>515108.853</v>
      </c>
      <c r="H815" s="5">
        <f>90 / 86400</f>
        <v>1.0416666666666667E-3</v>
      </c>
      <c r="I815" t="s">
        <v>295</v>
      </c>
      <c r="J815" t="s">
        <v>160</v>
      </c>
      <c r="K815" s="5">
        <f>1623 / 86400</f>
        <v>1.8784722222222223E-2</v>
      </c>
      <c r="L815" s="5">
        <f>53 / 86400</f>
        <v>6.134259259259259E-4</v>
      </c>
    </row>
    <row r="816" spans="1:12" x14ac:dyDescent="0.25">
      <c r="A816" s="3">
        <v>45699.475914351853</v>
      </c>
      <c r="B816" t="s">
        <v>44</v>
      </c>
      <c r="C816" s="3">
        <v>45699.476979166662</v>
      </c>
      <c r="D816" t="s">
        <v>44</v>
      </c>
      <c r="E816" s="4">
        <v>3.0000000000000001E-3</v>
      </c>
      <c r="F816" s="4">
        <v>515108.853</v>
      </c>
      <c r="G816" s="4">
        <v>515108.85600000003</v>
      </c>
      <c r="H816" s="5">
        <f>90 / 86400</f>
        <v>1.0416666666666667E-3</v>
      </c>
      <c r="I816" t="s">
        <v>88</v>
      </c>
      <c r="J816" t="s">
        <v>88</v>
      </c>
      <c r="K816" s="5">
        <f>92 / 86400</f>
        <v>1.0648148148148149E-3</v>
      </c>
      <c r="L816" s="5">
        <f>1786 / 86400</f>
        <v>2.0671296296296295E-2</v>
      </c>
    </row>
    <row r="817" spans="1:12" x14ac:dyDescent="0.25">
      <c r="A817" s="3">
        <v>45699.497650462959</v>
      </c>
      <c r="B817" t="s">
        <v>44</v>
      </c>
      <c r="C817" s="3">
        <v>45699.502974537041</v>
      </c>
      <c r="D817" t="s">
        <v>159</v>
      </c>
      <c r="E817" s="4">
        <v>1.2829999999999999</v>
      </c>
      <c r="F817" s="4">
        <v>515108.85600000003</v>
      </c>
      <c r="G817" s="4">
        <v>515110.13900000002</v>
      </c>
      <c r="H817" s="5">
        <f>0 / 86400</f>
        <v>0</v>
      </c>
      <c r="I817" t="s">
        <v>154</v>
      </c>
      <c r="J817" t="s">
        <v>112</v>
      </c>
      <c r="K817" s="5">
        <f>460 / 86400</f>
        <v>5.324074074074074E-3</v>
      </c>
      <c r="L817" s="5">
        <f>1343 / 86400</f>
        <v>1.5543981481481482E-2</v>
      </c>
    </row>
    <row r="818" spans="1:12" x14ac:dyDescent="0.25">
      <c r="A818" s="3">
        <v>45699.518518518518</v>
      </c>
      <c r="B818" t="s">
        <v>159</v>
      </c>
      <c r="C818" s="3">
        <v>45699.527303240742</v>
      </c>
      <c r="D818" t="s">
        <v>274</v>
      </c>
      <c r="E818" s="4">
        <v>2.581</v>
      </c>
      <c r="F818" s="4">
        <v>515110.13900000002</v>
      </c>
      <c r="G818" s="4">
        <v>515112.72</v>
      </c>
      <c r="H818" s="5">
        <f>121 / 86400</f>
        <v>1.4004629629629629E-3</v>
      </c>
      <c r="I818" t="s">
        <v>193</v>
      </c>
      <c r="J818" t="s">
        <v>131</v>
      </c>
      <c r="K818" s="5">
        <f>759 / 86400</f>
        <v>8.7847222222222215E-3</v>
      </c>
      <c r="L818" s="5">
        <f>3 / 86400</f>
        <v>3.4722222222222222E-5</v>
      </c>
    </row>
    <row r="819" spans="1:12" x14ac:dyDescent="0.25">
      <c r="A819" s="3">
        <v>45699.527337962965</v>
      </c>
      <c r="B819" t="s">
        <v>274</v>
      </c>
      <c r="C819" s="3">
        <v>45699.542118055557</v>
      </c>
      <c r="D819" t="s">
        <v>411</v>
      </c>
      <c r="E819" s="4">
        <v>6.0709999999999997</v>
      </c>
      <c r="F819" s="4">
        <v>515112.72</v>
      </c>
      <c r="G819" s="4">
        <v>515118.79100000003</v>
      </c>
      <c r="H819" s="5">
        <f>174 / 86400</f>
        <v>2.0138888888888888E-3</v>
      </c>
      <c r="I819" t="s">
        <v>180</v>
      </c>
      <c r="J819" t="s">
        <v>42</v>
      </c>
      <c r="K819" s="5">
        <f>1277 / 86400</f>
        <v>1.4780092592592593E-2</v>
      </c>
      <c r="L819" s="5">
        <f>30 / 86400</f>
        <v>3.4722222222222224E-4</v>
      </c>
    </row>
    <row r="820" spans="1:12" x14ac:dyDescent="0.25">
      <c r="A820" s="3">
        <v>45699.542465277773</v>
      </c>
      <c r="B820" t="s">
        <v>411</v>
      </c>
      <c r="C820" s="3">
        <v>45699.548078703709</v>
      </c>
      <c r="D820" t="s">
        <v>293</v>
      </c>
      <c r="E820" s="4">
        <v>4.8579999999999997</v>
      </c>
      <c r="F820" s="4">
        <v>515119.19099999999</v>
      </c>
      <c r="G820" s="4">
        <v>515124.049</v>
      </c>
      <c r="H820" s="5">
        <f>60 / 86400</f>
        <v>6.9444444444444447E-4</v>
      </c>
      <c r="I820" t="s">
        <v>36</v>
      </c>
      <c r="J820" t="s">
        <v>198</v>
      </c>
      <c r="K820" s="5">
        <f>485 / 86400</f>
        <v>5.6134259259259262E-3</v>
      </c>
      <c r="L820" s="5">
        <f>30 / 86400</f>
        <v>3.4722222222222224E-4</v>
      </c>
    </row>
    <row r="821" spans="1:12" x14ac:dyDescent="0.25">
      <c r="A821" s="3">
        <v>45699.548425925925</v>
      </c>
      <c r="B821" t="s">
        <v>293</v>
      </c>
      <c r="C821" s="3">
        <v>45699.574618055558</v>
      </c>
      <c r="D821" t="s">
        <v>87</v>
      </c>
      <c r="E821" s="4">
        <v>16.372</v>
      </c>
      <c r="F821" s="4">
        <v>515124.304</v>
      </c>
      <c r="G821" s="4">
        <v>515140.67599999998</v>
      </c>
      <c r="H821" s="5">
        <f>510 / 86400</f>
        <v>5.9027777777777776E-3</v>
      </c>
      <c r="I821" t="s">
        <v>55</v>
      </c>
      <c r="J821" t="s">
        <v>137</v>
      </c>
      <c r="K821" s="5">
        <f>2263 / 86400</f>
        <v>2.6192129629629631E-2</v>
      </c>
      <c r="L821" s="5">
        <f>2 / 86400</f>
        <v>2.3148148148148147E-5</v>
      </c>
    </row>
    <row r="822" spans="1:12" x14ac:dyDescent="0.25">
      <c r="A822" s="3">
        <v>45699.574641203704</v>
      </c>
      <c r="B822" t="s">
        <v>87</v>
      </c>
      <c r="C822" s="3">
        <v>45699.772974537038</v>
      </c>
      <c r="D822" t="s">
        <v>105</v>
      </c>
      <c r="E822" s="4">
        <v>71.403999999999996</v>
      </c>
      <c r="F822" s="4">
        <v>515140.67599999998</v>
      </c>
      <c r="G822" s="4">
        <v>515212.08</v>
      </c>
      <c r="H822" s="5">
        <f>6095 / 86400</f>
        <v>7.0543981481481485E-2</v>
      </c>
      <c r="I822" t="s">
        <v>55</v>
      </c>
      <c r="J822" t="s">
        <v>19</v>
      </c>
      <c r="K822" s="5">
        <f>17136 / 86400</f>
        <v>0.19833333333333333</v>
      </c>
      <c r="L822" s="5">
        <f>1115 / 86400</f>
        <v>1.2905092592592593E-2</v>
      </c>
    </row>
    <row r="823" spans="1:12" x14ac:dyDescent="0.25">
      <c r="A823" s="3">
        <v>45699.785879629635</v>
      </c>
      <c r="B823" t="s">
        <v>105</v>
      </c>
      <c r="C823" s="3">
        <v>45699.791493055556</v>
      </c>
      <c r="D823" t="s">
        <v>44</v>
      </c>
      <c r="E823" s="4">
        <v>0.91100000000000003</v>
      </c>
      <c r="F823" s="4">
        <v>515212.08</v>
      </c>
      <c r="G823" s="4">
        <v>515212.99099999998</v>
      </c>
      <c r="H823" s="5">
        <f>181 / 86400</f>
        <v>2.0949074074074073E-3</v>
      </c>
      <c r="I823" t="s">
        <v>203</v>
      </c>
      <c r="J823" t="s">
        <v>28</v>
      </c>
      <c r="K823" s="5">
        <f>485 / 86400</f>
        <v>5.6134259259259262E-3</v>
      </c>
      <c r="L823" s="5">
        <f>18014 / 86400</f>
        <v>0.20849537037037036</v>
      </c>
    </row>
    <row r="824" spans="1:12" x14ac:dyDescent="0.25">
      <c r="A824" s="11"/>
      <c r="B824" s="11"/>
      <c r="C824" s="11"/>
      <c r="D824" s="11"/>
      <c r="E824" s="11"/>
      <c r="F824" s="11"/>
      <c r="G824" s="11"/>
      <c r="H824" s="11"/>
      <c r="I824" s="11"/>
      <c r="J824" s="11"/>
    </row>
    <row r="825" spans="1:12" x14ac:dyDescent="0.25">
      <c r="A825" s="11"/>
      <c r="B825" s="11"/>
      <c r="C825" s="11"/>
      <c r="D825" s="11"/>
      <c r="E825" s="11"/>
      <c r="F825" s="11"/>
      <c r="G825" s="11"/>
      <c r="H825" s="11"/>
      <c r="I825" s="11"/>
      <c r="J825" s="11"/>
    </row>
    <row r="826" spans="1:12" s="10" customFormat="1" ht="20.100000000000001" customHeight="1" x14ac:dyDescent="0.35">
      <c r="A826" s="12" t="s">
        <v>471</v>
      </c>
      <c r="B826" s="12"/>
      <c r="C826" s="12"/>
      <c r="D826" s="12"/>
      <c r="E826" s="12"/>
      <c r="F826" s="12"/>
      <c r="G826" s="12"/>
      <c r="H826" s="12"/>
      <c r="I826" s="12"/>
      <c r="J826" s="12"/>
    </row>
    <row r="827" spans="1:12" x14ac:dyDescent="0.25">
      <c r="A827" s="11"/>
      <c r="B827" s="11"/>
      <c r="C827" s="11"/>
      <c r="D827" s="11"/>
      <c r="E827" s="11"/>
      <c r="F827" s="11"/>
      <c r="G827" s="11"/>
      <c r="H827" s="11"/>
      <c r="I827" s="11"/>
      <c r="J827" s="11"/>
    </row>
    <row r="828" spans="1:12" ht="30" x14ac:dyDescent="0.25">
      <c r="A828" s="2" t="s">
        <v>5</v>
      </c>
      <c r="B828" s="2" t="s">
        <v>6</v>
      </c>
      <c r="C828" s="2" t="s">
        <v>7</v>
      </c>
      <c r="D828" s="2" t="s">
        <v>8</v>
      </c>
      <c r="E828" s="2" t="s">
        <v>9</v>
      </c>
      <c r="F828" s="2" t="s">
        <v>10</v>
      </c>
      <c r="G828" s="2" t="s">
        <v>11</v>
      </c>
      <c r="H828" s="2" t="s">
        <v>12</v>
      </c>
      <c r="I828" s="2" t="s">
        <v>13</v>
      </c>
      <c r="J828" s="2" t="s">
        <v>14</v>
      </c>
      <c r="K828" s="2" t="s">
        <v>15</v>
      </c>
      <c r="L828" s="2" t="s">
        <v>16</v>
      </c>
    </row>
    <row r="829" spans="1:12" x14ac:dyDescent="0.25">
      <c r="A829" s="3">
        <v>45699.218078703707</v>
      </c>
      <c r="B829" t="s">
        <v>76</v>
      </c>
      <c r="C829" s="3">
        <v>45699.777349537035</v>
      </c>
      <c r="D829" t="s">
        <v>77</v>
      </c>
      <c r="E829" s="4">
        <v>200.27799999999999</v>
      </c>
      <c r="F829" s="4">
        <v>504871.19300000003</v>
      </c>
      <c r="G829" s="4">
        <v>505071.47100000002</v>
      </c>
      <c r="H829" s="5">
        <f>19859 / 86400</f>
        <v>0.22984953703703703</v>
      </c>
      <c r="I829" t="s">
        <v>75</v>
      </c>
      <c r="J829" t="s">
        <v>19</v>
      </c>
      <c r="K829" s="5">
        <f>48321 / 86400</f>
        <v>0.55927083333333338</v>
      </c>
      <c r="L829" s="5">
        <f>38078 / 86400</f>
        <v>0.44071759259259258</v>
      </c>
    </row>
    <row r="830" spans="1:12" x14ac:dyDescent="0.25">
      <c r="A830" s="11"/>
      <c r="B830" s="11"/>
      <c r="C830" s="11"/>
      <c r="D830" s="11"/>
      <c r="E830" s="11"/>
      <c r="F830" s="11"/>
      <c r="G830" s="11"/>
      <c r="H830" s="11"/>
      <c r="I830" s="11"/>
      <c r="J830" s="11"/>
    </row>
    <row r="831" spans="1:12" x14ac:dyDescent="0.25">
      <c r="A831" s="11"/>
      <c r="B831" s="11"/>
      <c r="C831" s="11"/>
      <c r="D831" s="11"/>
      <c r="E831" s="11"/>
      <c r="F831" s="11"/>
      <c r="G831" s="11"/>
      <c r="H831" s="11"/>
      <c r="I831" s="11"/>
      <c r="J831" s="11"/>
    </row>
    <row r="832" spans="1:12" s="10" customFormat="1" ht="20.100000000000001" customHeight="1" x14ac:dyDescent="0.35">
      <c r="A832" s="12" t="s">
        <v>472</v>
      </c>
      <c r="B832" s="12"/>
      <c r="C832" s="12"/>
      <c r="D832" s="12"/>
      <c r="E832" s="12"/>
      <c r="F832" s="12"/>
      <c r="G832" s="12"/>
      <c r="H832" s="12"/>
      <c r="I832" s="12"/>
      <c r="J832" s="12"/>
    </row>
    <row r="833" spans="1:12" x14ac:dyDescent="0.25">
      <c r="A833" s="11"/>
      <c r="B833" s="11"/>
      <c r="C833" s="11"/>
      <c r="D833" s="11"/>
      <c r="E833" s="11"/>
      <c r="F833" s="11"/>
      <c r="G833" s="11"/>
      <c r="H833" s="11"/>
      <c r="I833" s="11"/>
      <c r="J833" s="11"/>
    </row>
    <row r="834" spans="1:12" ht="30" x14ac:dyDescent="0.25">
      <c r="A834" s="2" t="s">
        <v>5</v>
      </c>
      <c r="B834" s="2" t="s">
        <v>6</v>
      </c>
      <c r="C834" s="2" t="s">
        <v>7</v>
      </c>
      <c r="D834" s="2" t="s">
        <v>8</v>
      </c>
      <c r="E834" s="2" t="s">
        <v>9</v>
      </c>
      <c r="F834" s="2" t="s">
        <v>10</v>
      </c>
      <c r="G834" s="2" t="s">
        <v>11</v>
      </c>
      <c r="H834" s="2" t="s">
        <v>12</v>
      </c>
      <c r="I834" s="2" t="s">
        <v>13</v>
      </c>
      <c r="J834" s="2" t="s">
        <v>14</v>
      </c>
      <c r="K834" s="2" t="s">
        <v>15</v>
      </c>
      <c r="L834" s="2" t="s">
        <v>16</v>
      </c>
    </row>
    <row r="835" spans="1:12" x14ac:dyDescent="0.25">
      <c r="A835" s="3">
        <v>45699.246898148151</v>
      </c>
      <c r="B835" t="s">
        <v>78</v>
      </c>
      <c r="C835" s="3">
        <v>45699.261354166665</v>
      </c>
      <c r="D835" t="s">
        <v>278</v>
      </c>
      <c r="E835" s="4">
        <v>5.4</v>
      </c>
      <c r="F835" s="4">
        <v>351877.53</v>
      </c>
      <c r="G835" s="4">
        <v>351882.93</v>
      </c>
      <c r="H835" s="5">
        <f>340 / 86400</f>
        <v>3.9351851851851848E-3</v>
      </c>
      <c r="I835" t="s">
        <v>176</v>
      </c>
      <c r="J835" t="s">
        <v>37</v>
      </c>
      <c r="K835" s="5">
        <f>1249 / 86400</f>
        <v>1.4456018518518519E-2</v>
      </c>
      <c r="L835" s="5">
        <f>21516 / 86400</f>
        <v>0.24902777777777776</v>
      </c>
    </row>
    <row r="836" spans="1:12" x14ac:dyDescent="0.25">
      <c r="A836" s="3">
        <v>45699.263483796298</v>
      </c>
      <c r="B836" t="s">
        <v>283</v>
      </c>
      <c r="C836" s="3">
        <v>45699.263587962967</v>
      </c>
      <c r="D836" t="s">
        <v>278</v>
      </c>
      <c r="E836" s="4">
        <v>8.0000000000000002E-3</v>
      </c>
      <c r="F836" s="4">
        <v>351882.93</v>
      </c>
      <c r="G836" s="4">
        <v>351882.93800000002</v>
      </c>
      <c r="H836" s="5">
        <f>0 / 86400</f>
        <v>0</v>
      </c>
      <c r="I836" t="s">
        <v>29</v>
      </c>
      <c r="J836" t="s">
        <v>157</v>
      </c>
      <c r="K836" s="5">
        <f>9 / 86400</f>
        <v>1.0416666666666667E-4</v>
      </c>
      <c r="L836" s="5">
        <f>244 / 86400</f>
        <v>2.8240740740740739E-3</v>
      </c>
    </row>
    <row r="837" spans="1:12" x14ac:dyDescent="0.25">
      <c r="A837" s="3">
        <v>45699.266412037032</v>
      </c>
      <c r="B837" t="s">
        <v>278</v>
      </c>
      <c r="C837" s="3">
        <v>45699.266527777778</v>
      </c>
      <c r="D837" t="s">
        <v>278</v>
      </c>
      <c r="E837" s="4">
        <v>6.0000000000000001E-3</v>
      </c>
      <c r="F837" s="4">
        <v>351882.93800000002</v>
      </c>
      <c r="G837" s="4">
        <v>351882.94400000002</v>
      </c>
      <c r="H837" s="5">
        <f>0 / 86400</f>
        <v>0</v>
      </c>
      <c r="I837" t="s">
        <v>88</v>
      </c>
      <c r="J837" t="s">
        <v>57</v>
      </c>
      <c r="K837" s="5">
        <f>10 / 86400</f>
        <v>1.1574074074074075E-4</v>
      </c>
      <c r="L837" s="5">
        <f>422 / 86400</f>
        <v>4.8842592592592592E-3</v>
      </c>
    </row>
    <row r="838" spans="1:12" x14ac:dyDescent="0.25">
      <c r="A838" s="3">
        <v>45699.271412037036</v>
      </c>
      <c r="B838" t="s">
        <v>278</v>
      </c>
      <c r="C838" s="3">
        <v>45699.271562499998</v>
      </c>
      <c r="D838" t="s">
        <v>278</v>
      </c>
      <c r="E838" s="4">
        <v>6.0000000000000001E-3</v>
      </c>
      <c r="F838" s="4">
        <v>351882.94400000002</v>
      </c>
      <c r="G838" s="4">
        <v>351882.95</v>
      </c>
      <c r="H838" s="5">
        <f>0 / 86400</f>
        <v>0</v>
      </c>
      <c r="I838" t="s">
        <v>88</v>
      </c>
      <c r="J838" t="s">
        <v>57</v>
      </c>
      <c r="K838" s="5">
        <f>13 / 86400</f>
        <v>1.5046296296296297E-4</v>
      </c>
      <c r="L838" s="5">
        <f>288 / 86400</f>
        <v>3.3333333333333335E-3</v>
      </c>
    </row>
    <row r="839" spans="1:12" x14ac:dyDescent="0.25">
      <c r="A839" s="3">
        <v>45699.274895833332</v>
      </c>
      <c r="B839" t="s">
        <v>278</v>
      </c>
      <c r="C839" s="3">
        <v>45699.275138888886</v>
      </c>
      <c r="D839" t="s">
        <v>278</v>
      </c>
      <c r="E839" s="4">
        <v>3.0000000000000001E-3</v>
      </c>
      <c r="F839" s="4">
        <v>351882.95</v>
      </c>
      <c r="G839" s="4">
        <v>351882.95299999998</v>
      </c>
      <c r="H839" s="5">
        <f>19 / 86400</f>
        <v>2.199074074074074E-4</v>
      </c>
      <c r="I839" t="s">
        <v>88</v>
      </c>
      <c r="J839" t="s">
        <v>29</v>
      </c>
      <c r="K839" s="5">
        <f>21 / 86400</f>
        <v>2.4305555555555555E-4</v>
      </c>
      <c r="L839" s="5">
        <f>397 / 86400</f>
        <v>4.5949074074074078E-3</v>
      </c>
    </row>
    <row r="840" spans="1:12" x14ac:dyDescent="0.25">
      <c r="A840" s="3">
        <v>45699.279733796298</v>
      </c>
      <c r="B840" t="s">
        <v>278</v>
      </c>
      <c r="C840" s="3">
        <v>45699.345046296294</v>
      </c>
      <c r="D840" t="s">
        <v>190</v>
      </c>
      <c r="E840" s="4">
        <v>33.473999999999997</v>
      </c>
      <c r="F840" s="4">
        <v>351882.95299999998</v>
      </c>
      <c r="G840" s="4">
        <v>351916.42700000003</v>
      </c>
      <c r="H840" s="5">
        <f>1700 / 86400</f>
        <v>1.9675925925925927E-2</v>
      </c>
      <c r="I840" t="s">
        <v>106</v>
      </c>
      <c r="J840" t="s">
        <v>108</v>
      </c>
      <c r="K840" s="5">
        <f>5643 / 86400</f>
        <v>6.5312499999999996E-2</v>
      </c>
      <c r="L840" s="5">
        <f>91 / 86400</f>
        <v>1.0532407407407407E-3</v>
      </c>
    </row>
    <row r="841" spans="1:12" x14ac:dyDescent="0.25">
      <c r="A841" s="3">
        <v>45699.346099537041</v>
      </c>
      <c r="B841" t="s">
        <v>190</v>
      </c>
      <c r="C841" s="3">
        <v>45699.346238425926</v>
      </c>
      <c r="D841" t="s">
        <v>190</v>
      </c>
      <c r="E841" s="4">
        <v>4.0000000000000001E-3</v>
      </c>
      <c r="F841" s="4">
        <v>351916.42700000003</v>
      </c>
      <c r="G841" s="4">
        <v>351916.43099999998</v>
      </c>
      <c r="H841" s="5">
        <f>0 / 86400</f>
        <v>0</v>
      </c>
      <c r="I841" t="s">
        <v>88</v>
      </c>
      <c r="J841" t="s">
        <v>29</v>
      </c>
      <c r="K841" s="5">
        <f>11 / 86400</f>
        <v>1.273148148148148E-4</v>
      </c>
      <c r="L841" s="5">
        <f>114 / 86400</f>
        <v>1.3194444444444445E-3</v>
      </c>
    </row>
    <row r="842" spans="1:12" x14ac:dyDescent="0.25">
      <c r="A842" s="3">
        <v>45699.347557870366</v>
      </c>
      <c r="B842" t="s">
        <v>190</v>
      </c>
      <c r="C842" s="3">
        <v>45699.348483796297</v>
      </c>
      <c r="D842" t="s">
        <v>126</v>
      </c>
      <c r="E842" s="4">
        <v>0.129</v>
      </c>
      <c r="F842" s="4">
        <v>351916.43099999998</v>
      </c>
      <c r="G842" s="4">
        <v>351916.56</v>
      </c>
      <c r="H842" s="5">
        <f>39 / 86400</f>
        <v>4.5138888888888887E-4</v>
      </c>
      <c r="I842" t="s">
        <v>19</v>
      </c>
      <c r="J842" t="s">
        <v>128</v>
      </c>
      <c r="K842" s="5">
        <f>79 / 86400</f>
        <v>9.1435185185185185E-4</v>
      </c>
      <c r="L842" s="5">
        <f>55 / 86400</f>
        <v>6.3657407407407413E-4</v>
      </c>
    </row>
    <row r="843" spans="1:12" x14ac:dyDescent="0.25">
      <c r="A843" s="3">
        <v>45699.349120370374</v>
      </c>
      <c r="B843" t="s">
        <v>126</v>
      </c>
      <c r="C843" s="3">
        <v>45699.352384259255</v>
      </c>
      <c r="D843" t="s">
        <v>126</v>
      </c>
      <c r="E843" s="4">
        <v>4.0000000000000001E-3</v>
      </c>
      <c r="F843" s="4">
        <v>351916.56</v>
      </c>
      <c r="G843" s="4">
        <v>351916.56400000001</v>
      </c>
      <c r="H843" s="5">
        <f>279 / 86400</f>
        <v>3.2291666666666666E-3</v>
      </c>
      <c r="I843" t="s">
        <v>88</v>
      </c>
      <c r="J843" t="s">
        <v>88</v>
      </c>
      <c r="K843" s="5">
        <f>282 / 86400</f>
        <v>3.2638888888888891E-3</v>
      </c>
      <c r="L843" s="5">
        <f>516 / 86400</f>
        <v>5.9722222222222225E-3</v>
      </c>
    </row>
    <row r="844" spans="1:12" x14ac:dyDescent="0.25">
      <c r="A844" s="3">
        <v>45699.358356481476</v>
      </c>
      <c r="B844" t="s">
        <v>126</v>
      </c>
      <c r="C844" s="3">
        <v>45699.431342592594</v>
      </c>
      <c r="D844" t="s">
        <v>105</v>
      </c>
      <c r="E844" s="4">
        <v>34.036999999999999</v>
      </c>
      <c r="F844" s="4">
        <v>351916.56400000001</v>
      </c>
      <c r="G844" s="4">
        <v>351950.60100000002</v>
      </c>
      <c r="H844" s="5">
        <f>1700 / 86400</f>
        <v>1.9675925925925927E-2</v>
      </c>
      <c r="I844" t="s">
        <v>263</v>
      </c>
      <c r="J844" t="s">
        <v>22</v>
      </c>
      <c r="K844" s="5">
        <f>6306 / 86400</f>
        <v>7.2986111111111113E-2</v>
      </c>
      <c r="L844" s="5">
        <f>23 / 86400</f>
        <v>2.6620370370370372E-4</v>
      </c>
    </row>
    <row r="845" spans="1:12" x14ac:dyDescent="0.25">
      <c r="A845" s="3">
        <v>45699.431608796294</v>
      </c>
      <c r="B845" t="s">
        <v>105</v>
      </c>
      <c r="C845" s="3">
        <v>45699.431967592594</v>
      </c>
      <c r="D845" t="s">
        <v>105</v>
      </c>
      <c r="E845" s="4">
        <v>1.2999999999999999E-2</v>
      </c>
      <c r="F845" s="4">
        <v>351950.60100000002</v>
      </c>
      <c r="G845" s="4">
        <v>351950.614</v>
      </c>
      <c r="H845" s="5">
        <f>20 / 86400</f>
        <v>2.3148148148148149E-4</v>
      </c>
      <c r="I845" t="s">
        <v>128</v>
      </c>
      <c r="J845" t="s">
        <v>57</v>
      </c>
      <c r="K845" s="5">
        <f>31 / 86400</f>
        <v>3.5879629629629629E-4</v>
      </c>
      <c r="L845" s="5">
        <f>3 / 86400</f>
        <v>3.4722222222222222E-5</v>
      </c>
    </row>
    <row r="846" spans="1:12" x14ac:dyDescent="0.25">
      <c r="A846" s="3">
        <v>45699.432002314818</v>
      </c>
      <c r="B846" t="s">
        <v>105</v>
      </c>
      <c r="C846" s="3">
        <v>45699.432118055556</v>
      </c>
      <c r="D846" t="s">
        <v>105</v>
      </c>
      <c r="E846" s="4">
        <v>0</v>
      </c>
      <c r="F846" s="4">
        <v>351950.614</v>
      </c>
      <c r="G846" s="4">
        <v>351950.614</v>
      </c>
      <c r="H846" s="5">
        <f>0 / 86400</f>
        <v>0</v>
      </c>
      <c r="I846" t="s">
        <v>88</v>
      </c>
      <c r="J846" t="s">
        <v>88</v>
      </c>
      <c r="K846" s="5">
        <f>10 / 86400</f>
        <v>1.1574074074074075E-4</v>
      </c>
      <c r="L846" s="5">
        <f>1868 / 86400</f>
        <v>2.162037037037037E-2</v>
      </c>
    </row>
    <row r="847" spans="1:12" x14ac:dyDescent="0.25">
      <c r="A847" s="3">
        <v>45699.453738425931</v>
      </c>
      <c r="B847" t="s">
        <v>105</v>
      </c>
      <c r="C847" s="3">
        <v>45699.456921296296</v>
      </c>
      <c r="D847" t="s">
        <v>105</v>
      </c>
      <c r="E847" s="4">
        <v>0.10299999999999999</v>
      </c>
      <c r="F847" s="4">
        <v>351950.614</v>
      </c>
      <c r="G847" s="4">
        <v>351950.717</v>
      </c>
      <c r="H847" s="5">
        <f>179 / 86400</f>
        <v>2.0717592592592593E-3</v>
      </c>
      <c r="I847" t="s">
        <v>128</v>
      </c>
      <c r="J847" t="s">
        <v>29</v>
      </c>
      <c r="K847" s="5">
        <f>274 / 86400</f>
        <v>3.1712962962962962E-3</v>
      </c>
      <c r="L847" s="5">
        <f>13267 / 86400</f>
        <v>0.15355324074074075</v>
      </c>
    </row>
    <row r="848" spans="1:12" x14ac:dyDescent="0.25">
      <c r="A848" s="3">
        <v>45699.610474537039</v>
      </c>
      <c r="B848" t="s">
        <v>105</v>
      </c>
      <c r="C848" s="3">
        <v>45699.611192129625</v>
      </c>
      <c r="D848" t="s">
        <v>277</v>
      </c>
      <c r="E848" s="4">
        <v>3.3000000000000002E-2</v>
      </c>
      <c r="F848" s="4">
        <v>351950.717</v>
      </c>
      <c r="G848" s="4">
        <v>351950.75</v>
      </c>
      <c r="H848" s="5">
        <f>20 / 86400</f>
        <v>2.3148148148148149E-4</v>
      </c>
      <c r="I848" t="s">
        <v>28</v>
      </c>
      <c r="J848" t="s">
        <v>57</v>
      </c>
      <c r="K848" s="5">
        <f>61 / 86400</f>
        <v>7.0601851851851847E-4</v>
      </c>
      <c r="L848" s="5">
        <f>11 / 86400</f>
        <v>1.273148148148148E-4</v>
      </c>
    </row>
    <row r="849" spans="1:12" x14ac:dyDescent="0.25">
      <c r="A849" s="3">
        <v>45699.611319444448</v>
      </c>
      <c r="B849" t="s">
        <v>277</v>
      </c>
      <c r="C849" s="3">
        <v>45699.849699074075</v>
      </c>
      <c r="D849" t="s">
        <v>146</v>
      </c>
      <c r="E849" s="4">
        <v>88.629000000000005</v>
      </c>
      <c r="F849" s="4">
        <v>351950.75</v>
      </c>
      <c r="G849" s="4">
        <v>352039.37900000002</v>
      </c>
      <c r="H849" s="5">
        <f>8010 / 86400</f>
        <v>9.2708333333333337E-2</v>
      </c>
      <c r="I849" t="s">
        <v>43</v>
      </c>
      <c r="J849" t="s">
        <v>19</v>
      </c>
      <c r="K849" s="5">
        <f>20595 / 86400</f>
        <v>0.23836805555555557</v>
      </c>
      <c r="L849" s="5">
        <f>757 / 86400</f>
        <v>8.7615740740740744E-3</v>
      </c>
    </row>
    <row r="850" spans="1:12" x14ac:dyDescent="0.25">
      <c r="A850" s="3">
        <v>45699.858460648145</v>
      </c>
      <c r="B850" t="s">
        <v>146</v>
      </c>
      <c r="C850" s="3">
        <v>45699.864108796297</v>
      </c>
      <c r="D850" t="s">
        <v>78</v>
      </c>
      <c r="E850" s="4">
        <v>0.77700000000000002</v>
      </c>
      <c r="F850" s="4">
        <v>352039.37900000002</v>
      </c>
      <c r="G850" s="4">
        <v>352040.15600000002</v>
      </c>
      <c r="H850" s="5">
        <f>169 / 86400</f>
        <v>1.9560185185185184E-3</v>
      </c>
      <c r="I850" t="s">
        <v>42</v>
      </c>
      <c r="J850" t="s">
        <v>128</v>
      </c>
      <c r="K850" s="5">
        <f>488 / 86400</f>
        <v>5.6481481481481478E-3</v>
      </c>
      <c r="L850" s="5">
        <f>11740 / 86400</f>
        <v>0.13587962962962963</v>
      </c>
    </row>
    <row r="851" spans="1:12" x14ac:dyDescent="0.25">
      <c r="A851" s="11"/>
      <c r="B851" s="11"/>
      <c r="C851" s="11"/>
      <c r="D851" s="11"/>
      <c r="E851" s="11"/>
      <c r="F851" s="11"/>
      <c r="G851" s="11"/>
      <c r="H851" s="11"/>
      <c r="I851" s="11"/>
      <c r="J851" s="11"/>
    </row>
    <row r="852" spans="1:12" x14ac:dyDescent="0.25">
      <c r="A852" s="11"/>
      <c r="B852" s="11"/>
      <c r="C852" s="11"/>
      <c r="D852" s="11"/>
      <c r="E852" s="11"/>
      <c r="F852" s="11"/>
      <c r="G852" s="11"/>
      <c r="H852" s="11"/>
      <c r="I852" s="11"/>
      <c r="J852" s="11"/>
    </row>
    <row r="853" spans="1:12" s="10" customFormat="1" ht="20.100000000000001" customHeight="1" x14ac:dyDescent="0.35">
      <c r="A853" s="12" t="s">
        <v>473</v>
      </c>
      <c r="B853" s="12"/>
      <c r="C853" s="12"/>
      <c r="D853" s="12"/>
      <c r="E853" s="12"/>
      <c r="F853" s="12"/>
      <c r="G853" s="12"/>
      <c r="H853" s="12"/>
      <c r="I853" s="12"/>
      <c r="J853" s="12"/>
    </row>
    <row r="854" spans="1:12" x14ac:dyDescent="0.25">
      <c r="A854" s="11"/>
      <c r="B854" s="11"/>
      <c r="C854" s="11"/>
      <c r="D854" s="11"/>
      <c r="E854" s="11"/>
      <c r="F854" s="11"/>
      <c r="G854" s="11"/>
      <c r="H854" s="11"/>
      <c r="I854" s="11"/>
      <c r="J854" s="11"/>
    </row>
    <row r="855" spans="1:12" ht="30" x14ac:dyDescent="0.25">
      <c r="A855" s="2" t="s">
        <v>5</v>
      </c>
      <c r="B855" s="2" t="s">
        <v>6</v>
      </c>
      <c r="C855" s="2" t="s">
        <v>7</v>
      </c>
      <c r="D855" s="2" t="s">
        <v>8</v>
      </c>
      <c r="E855" s="2" t="s">
        <v>9</v>
      </c>
      <c r="F855" s="2" t="s">
        <v>10</v>
      </c>
      <c r="G855" s="2" t="s">
        <v>11</v>
      </c>
      <c r="H855" s="2" t="s">
        <v>12</v>
      </c>
      <c r="I855" s="2" t="s">
        <v>13</v>
      </c>
      <c r="J855" s="2" t="s">
        <v>14</v>
      </c>
      <c r="K855" s="2" t="s">
        <v>15</v>
      </c>
      <c r="L855" s="2" t="s">
        <v>16</v>
      </c>
    </row>
    <row r="856" spans="1:12" x14ac:dyDescent="0.25">
      <c r="A856" s="3">
        <v>45699.218576388885</v>
      </c>
      <c r="B856" t="s">
        <v>79</v>
      </c>
      <c r="C856" s="3">
        <v>45699.218680555554</v>
      </c>
      <c r="D856" t="s">
        <v>79</v>
      </c>
      <c r="E856" s="4">
        <v>0</v>
      </c>
      <c r="F856" s="4">
        <v>410434.49400000001</v>
      </c>
      <c r="G856" s="4">
        <v>410434.49400000001</v>
      </c>
      <c r="H856" s="5">
        <f>1 / 86400</f>
        <v>1.1574074074074073E-5</v>
      </c>
      <c r="I856" t="s">
        <v>88</v>
      </c>
      <c r="J856" t="s">
        <v>88</v>
      </c>
      <c r="K856" s="5">
        <f>9 / 86400</f>
        <v>1.0416666666666667E-4</v>
      </c>
      <c r="L856" s="5">
        <f>18926 / 86400</f>
        <v>0.21905092592592593</v>
      </c>
    </row>
    <row r="857" spans="1:12" x14ac:dyDescent="0.25">
      <c r="A857" s="3">
        <v>45699.219155092593</v>
      </c>
      <c r="B857" t="s">
        <v>79</v>
      </c>
      <c r="C857" s="3">
        <v>45699.461840277778</v>
      </c>
      <c r="D857" t="s">
        <v>158</v>
      </c>
      <c r="E857" s="4">
        <v>88.980999999999995</v>
      </c>
      <c r="F857" s="4">
        <v>410434.49400000001</v>
      </c>
      <c r="G857" s="4">
        <v>410523.47499999998</v>
      </c>
      <c r="H857" s="5">
        <f>7417 / 86400</f>
        <v>8.5844907407407411E-2</v>
      </c>
      <c r="I857" t="s">
        <v>25</v>
      </c>
      <c r="J857" t="s">
        <v>19</v>
      </c>
      <c r="K857" s="5">
        <f>20968 / 86400</f>
        <v>0.2426851851851852</v>
      </c>
      <c r="L857" s="5">
        <f>156 / 86400</f>
        <v>1.8055555555555555E-3</v>
      </c>
    </row>
    <row r="858" spans="1:12" x14ac:dyDescent="0.25">
      <c r="A858" s="3">
        <v>45699.463645833333</v>
      </c>
      <c r="B858" t="s">
        <v>158</v>
      </c>
      <c r="C858" s="3">
        <v>45699.464004629626</v>
      </c>
      <c r="D858" t="s">
        <v>158</v>
      </c>
      <c r="E858" s="4">
        <v>4.3999999999999997E-2</v>
      </c>
      <c r="F858" s="4">
        <v>410523.47499999998</v>
      </c>
      <c r="G858" s="4">
        <v>410523.51899999997</v>
      </c>
      <c r="H858" s="5">
        <f>19 / 86400</f>
        <v>2.199074074074074E-4</v>
      </c>
      <c r="I858" t="s">
        <v>88</v>
      </c>
      <c r="J858" t="s">
        <v>148</v>
      </c>
      <c r="K858" s="5">
        <f>31 / 86400</f>
        <v>3.5879629629629629E-4</v>
      </c>
      <c r="L858" s="5">
        <f>1902 / 86400</f>
        <v>2.2013888888888888E-2</v>
      </c>
    </row>
    <row r="859" spans="1:12" x14ac:dyDescent="0.25">
      <c r="A859" s="3">
        <v>45699.486018518517</v>
      </c>
      <c r="B859" t="s">
        <v>158</v>
      </c>
      <c r="C859" s="3">
        <v>45699.48846064815</v>
      </c>
      <c r="D859" t="s">
        <v>159</v>
      </c>
      <c r="E859" s="4">
        <v>0.63300000000000001</v>
      </c>
      <c r="F859" s="4">
        <v>410523.51899999997</v>
      </c>
      <c r="G859" s="4">
        <v>410524.152</v>
      </c>
      <c r="H859" s="5">
        <f>20 / 86400</f>
        <v>2.3148148148148149E-4</v>
      </c>
      <c r="I859" t="s">
        <v>152</v>
      </c>
      <c r="J859" t="s">
        <v>134</v>
      </c>
      <c r="K859" s="5">
        <f>210 / 86400</f>
        <v>2.4305555555555556E-3</v>
      </c>
      <c r="L859" s="5">
        <f>1581 / 86400</f>
        <v>1.8298611111111113E-2</v>
      </c>
    </row>
    <row r="860" spans="1:12" x14ac:dyDescent="0.25">
      <c r="A860" s="3">
        <v>45699.50675925926</v>
      </c>
      <c r="B860" t="s">
        <v>159</v>
      </c>
      <c r="C860" s="3">
        <v>45699.778622685189</v>
      </c>
      <c r="D860" t="s">
        <v>79</v>
      </c>
      <c r="E860" s="4">
        <v>112.78700000000001</v>
      </c>
      <c r="F860" s="4">
        <v>410524.152</v>
      </c>
      <c r="G860" s="4">
        <v>410636.93900000001</v>
      </c>
      <c r="H860" s="5">
        <f>7939 / 86400</f>
        <v>9.1886574074074079E-2</v>
      </c>
      <c r="I860" t="s">
        <v>145</v>
      </c>
      <c r="J860" t="s">
        <v>42</v>
      </c>
      <c r="K860" s="5">
        <f>23489 / 86400</f>
        <v>0.27186342592592594</v>
      </c>
      <c r="L860" s="5">
        <f>19126 / 86400</f>
        <v>0.22136574074074075</v>
      </c>
    </row>
    <row r="861" spans="1:12" x14ac:dyDescent="0.25">
      <c r="A861" s="11"/>
      <c r="B861" s="11"/>
      <c r="C861" s="11"/>
      <c r="D861" s="11"/>
      <c r="E861" s="11"/>
      <c r="F861" s="11"/>
      <c r="G861" s="11"/>
      <c r="H861" s="11"/>
      <c r="I861" s="11"/>
      <c r="J861" s="11"/>
    </row>
    <row r="862" spans="1:12" x14ac:dyDescent="0.25">
      <c r="A862" s="11"/>
      <c r="B862" s="11"/>
      <c r="C862" s="11"/>
      <c r="D862" s="11"/>
      <c r="E862" s="11"/>
      <c r="F862" s="11"/>
      <c r="G862" s="11"/>
      <c r="H862" s="11"/>
      <c r="I862" s="11"/>
      <c r="J862" s="11"/>
    </row>
    <row r="863" spans="1:12" s="10" customFormat="1" ht="20.100000000000001" customHeight="1" x14ac:dyDescent="0.35">
      <c r="A863" s="12" t="s">
        <v>474</v>
      </c>
      <c r="B863" s="12"/>
      <c r="C863" s="12"/>
      <c r="D863" s="12"/>
      <c r="E863" s="12"/>
      <c r="F863" s="12"/>
      <c r="G863" s="12"/>
      <c r="H863" s="12"/>
      <c r="I863" s="12"/>
      <c r="J863" s="12"/>
    </row>
    <row r="864" spans="1:12" x14ac:dyDescent="0.25">
      <c r="A864" s="11"/>
      <c r="B864" s="11"/>
      <c r="C864" s="11"/>
      <c r="D864" s="11"/>
      <c r="E864" s="11"/>
      <c r="F864" s="11"/>
      <c r="G864" s="11"/>
      <c r="H864" s="11"/>
      <c r="I864" s="11"/>
      <c r="J864" s="11"/>
    </row>
    <row r="865" spans="1:12" ht="30" x14ac:dyDescent="0.25">
      <c r="A865" s="2" t="s">
        <v>5</v>
      </c>
      <c r="B865" s="2" t="s">
        <v>6</v>
      </c>
      <c r="C865" s="2" t="s">
        <v>7</v>
      </c>
      <c r="D865" s="2" t="s">
        <v>8</v>
      </c>
      <c r="E865" s="2" t="s">
        <v>9</v>
      </c>
      <c r="F865" s="2" t="s">
        <v>10</v>
      </c>
      <c r="G865" s="2" t="s">
        <v>11</v>
      </c>
      <c r="H865" s="2" t="s">
        <v>12</v>
      </c>
      <c r="I865" s="2" t="s">
        <v>13</v>
      </c>
      <c r="J865" s="2" t="s">
        <v>14</v>
      </c>
      <c r="K865" s="2" t="s">
        <v>15</v>
      </c>
      <c r="L865" s="2" t="s">
        <v>16</v>
      </c>
    </row>
    <row r="866" spans="1:12" x14ac:dyDescent="0.25">
      <c r="A866" s="3">
        <v>45699.146643518514</v>
      </c>
      <c r="B866" t="s">
        <v>30</v>
      </c>
      <c r="C866" s="3">
        <v>45699.216354166667</v>
      </c>
      <c r="D866" t="s">
        <v>336</v>
      </c>
      <c r="E866" s="4">
        <v>34.546999999999997</v>
      </c>
      <c r="F866" s="4">
        <v>441328.77299999999</v>
      </c>
      <c r="G866" s="4">
        <v>441363.32</v>
      </c>
      <c r="H866" s="5">
        <f>1331 / 86400</f>
        <v>1.5405092592592592E-2</v>
      </c>
      <c r="I866" t="s">
        <v>25</v>
      </c>
      <c r="J866" t="s">
        <v>108</v>
      </c>
      <c r="K866" s="5">
        <f>6023 / 86400</f>
        <v>6.9710648148148147E-2</v>
      </c>
      <c r="L866" s="5">
        <f>13613 / 86400</f>
        <v>0.15755787037037036</v>
      </c>
    </row>
    <row r="867" spans="1:12" x14ac:dyDescent="0.25">
      <c r="A867" s="3">
        <v>45699.227268518516</v>
      </c>
      <c r="B867" t="s">
        <v>336</v>
      </c>
      <c r="C867" s="3">
        <v>45699.32980324074</v>
      </c>
      <c r="D867" t="s">
        <v>158</v>
      </c>
      <c r="E867" s="4">
        <v>49.82</v>
      </c>
      <c r="F867" s="4">
        <v>441363.32</v>
      </c>
      <c r="G867" s="4">
        <v>441413.14</v>
      </c>
      <c r="H867" s="5">
        <f>2080 / 86400</f>
        <v>2.4074074074074074E-2</v>
      </c>
      <c r="I867" t="s">
        <v>39</v>
      </c>
      <c r="J867" t="s">
        <v>152</v>
      </c>
      <c r="K867" s="5">
        <f>8859 / 86400</f>
        <v>0.10253472222222222</v>
      </c>
      <c r="L867" s="5">
        <f>230 / 86400</f>
        <v>2.662037037037037E-3</v>
      </c>
    </row>
    <row r="868" spans="1:12" x14ac:dyDescent="0.25">
      <c r="A868" s="3">
        <v>45699.332465277781</v>
      </c>
      <c r="B868" t="s">
        <v>158</v>
      </c>
      <c r="C868" s="3">
        <v>45699.334189814814</v>
      </c>
      <c r="D868" t="s">
        <v>159</v>
      </c>
      <c r="E868" s="4">
        <v>0.72099999999999997</v>
      </c>
      <c r="F868" s="4">
        <v>441413.14</v>
      </c>
      <c r="G868" s="4">
        <v>441413.86099999998</v>
      </c>
      <c r="H868" s="5">
        <f>0 / 86400</f>
        <v>0</v>
      </c>
      <c r="I868" t="s">
        <v>178</v>
      </c>
      <c r="J868" t="s">
        <v>42</v>
      </c>
      <c r="K868" s="5">
        <f>149 / 86400</f>
        <v>1.724537037037037E-3</v>
      </c>
      <c r="L868" s="5">
        <f>1751 / 86400</f>
        <v>2.0266203703703703E-2</v>
      </c>
    </row>
    <row r="869" spans="1:12" x14ac:dyDescent="0.25">
      <c r="A869" s="3">
        <v>45699.354456018518</v>
      </c>
      <c r="B869" t="s">
        <v>159</v>
      </c>
      <c r="C869" s="3">
        <v>45699.358958333338</v>
      </c>
      <c r="D869" t="s">
        <v>105</v>
      </c>
      <c r="E869" s="4">
        <v>1.373</v>
      </c>
      <c r="F869" s="4">
        <v>441413.86099999998</v>
      </c>
      <c r="G869" s="4">
        <v>441415.234</v>
      </c>
      <c r="H869" s="5">
        <f>40 / 86400</f>
        <v>4.6296296296296298E-4</v>
      </c>
      <c r="I869" t="s">
        <v>202</v>
      </c>
      <c r="J869" t="s">
        <v>56</v>
      </c>
      <c r="K869" s="5">
        <f>388 / 86400</f>
        <v>4.4907407407407405E-3</v>
      </c>
      <c r="L869" s="5">
        <f>398 / 86400</f>
        <v>4.6064814814814814E-3</v>
      </c>
    </row>
    <row r="870" spans="1:12" x14ac:dyDescent="0.25">
      <c r="A870" s="3">
        <v>45699.363564814819</v>
      </c>
      <c r="B870" t="s">
        <v>105</v>
      </c>
      <c r="C870" s="3">
        <v>45699.364502314813</v>
      </c>
      <c r="D870" t="s">
        <v>430</v>
      </c>
      <c r="E870" s="4">
        <v>0.105</v>
      </c>
      <c r="F870" s="4">
        <v>441415.234</v>
      </c>
      <c r="G870" s="4">
        <v>441415.33899999998</v>
      </c>
      <c r="H870" s="5">
        <f>40 / 86400</f>
        <v>4.6296296296296298E-4</v>
      </c>
      <c r="I870" t="s">
        <v>125</v>
      </c>
      <c r="J870" t="s">
        <v>148</v>
      </c>
      <c r="K870" s="5">
        <f>81 / 86400</f>
        <v>9.3749999999999997E-4</v>
      </c>
      <c r="L870" s="5">
        <f>220 / 86400</f>
        <v>2.5462962962962965E-3</v>
      </c>
    </row>
    <row r="871" spans="1:12" x14ac:dyDescent="0.25">
      <c r="A871" s="3">
        <v>45699.367048611108</v>
      </c>
      <c r="B871" t="s">
        <v>430</v>
      </c>
      <c r="C871" s="3">
        <v>45699.480567129634</v>
      </c>
      <c r="D871" t="s">
        <v>384</v>
      </c>
      <c r="E871" s="4">
        <v>49.71</v>
      </c>
      <c r="F871" s="4">
        <v>441415.33899999998</v>
      </c>
      <c r="G871" s="4">
        <v>441465.049</v>
      </c>
      <c r="H871" s="5">
        <f>3300 / 86400</f>
        <v>3.8194444444444448E-2</v>
      </c>
      <c r="I871" t="s">
        <v>83</v>
      </c>
      <c r="J871" t="s">
        <v>26</v>
      </c>
      <c r="K871" s="5">
        <f>9808 / 86400</f>
        <v>0.11351851851851852</v>
      </c>
      <c r="L871" s="5">
        <f>3699 / 86400</f>
        <v>4.2812500000000003E-2</v>
      </c>
    </row>
    <row r="872" spans="1:12" x14ac:dyDescent="0.25">
      <c r="A872" s="3">
        <v>45699.523379629631</v>
      </c>
      <c r="B872" t="s">
        <v>384</v>
      </c>
      <c r="C872" s="3">
        <v>45699.680706018524</v>
      </c>
      <c r="D872" t="s">
        <v>431</v>
      </c>
      <c r="E872" s="4">
        <v>67.522000000000006</v>
      </c>
      <c r="F872" s="4">
        <v>441465.049</v>
      </c>
      <c r="G872" s="4">
        <v>441532.571</v>
      </c>
      <c r="H872" s="5">
        <f>3881 / 86400</f>
        <v>4.4918981481481483E-2</v>
      </c>
      <c r="I872" t="s">
        <v>18</v>
      </c>
      <c r="J872" t="s">
        <v>26</v>
      </c>
      <c r="K872" s="5">
        <f>13592 / 86400</f>
        <v>0.15731481481481482</v>
      </c>
      <c r="L872" s="5">
        <f>192 / 86400</f>
        <v>2.2222222222222222E-3</v>
      </c>
    </row>
    <row r="873" spans="1:12" x14ac:dyDescent="0.25">
      <c r="A873" s="3">
        <v>45699.682928240742</v>
      </c>
      <c r="B873" t="s">
        <v>431</v>
      </c>
      <c r="C873" s="3">
        <v>45699.780509259261</v>
      </c>
      <c r="D873" t="s">
        <v>431</v>
      </c>
      <c r="E873" s="4">
        <v>45.052999999999997</v>
      </c>
      <c r="F873" s="4">
        <v>441532.571</v>
      </c>
      <c r="G873" s="4">
        <v>441577.62400000001</v>
      </c>
      <c r="H873" s="5">
        <f>2020 / 86400</f>
        <v>2.3379629629629629E-2</v>
      </c>
      <c r="I873" t="s">
        <v>83</v>
      </c>
      <c r="J873" t="s">
        <v>22</v>
      </c>
      <c r="K873" s="5">
        <f>8431 / 86400</f>
        <v>9.7581018518518525E-2</v>
      </c>
      <c r="L873" s="5">
        <f>373 / 86400</f>
        <v>4.31712962962963E-3</v>
      </c>
    </row>
    <row r="874" spans="1:12" x14ac:dyDescent="0.25">
      <c r="A874" s="3">
        <v>45699.784826388888</v>
      </c>
      <c r="B874" t="s">
        <v>431</v>
      </c>
      <c r="C874" s="3">
        <v>45699.794803240744</v>
      </c>
      <c r="D874" t="s">
        <v>30</v>
      </c>
      <c r="E874" s="4">
        <v>2.82</v>
      </c>
      <c r="F874" s="4">
        <v>441577.62400000001</v>
      </c>
      <c r="G874" s="4">
        <v>441580.44400000002</v>
      </c>
      <c r="H874" s="5">
        <f>180 / 86400</f>
        <v>2.0833333333333333E-3</v>
      </c>
      <c r="I874" t="s">
        <v>147</v>
      </c>
      <c r="J874" t="s">
        <v>131</v>
      </c>
      <c r="K874" s="5">
        <f>862 / 86400</f>
        <v>9.9768518518518513E-3</v>
      </c>
      <c r="L874" s="5">
        <f>17728 / 86400</f>
        <v>0.20518518518518519</v>
      </c>
    </row>
    <row r="875" spans="1:12" x14ac:dyDescent="0.25">
      <c r="A875" s="11"/>
      <c r="B875" s="11"/>
      <c r="C875" s="11"/>
      <c r="D875" s="11"/>
      <c r="E875" s="11"/>
      <c r="F875" s="11"/>
      <c r="G875" s="11"/>
      <c r="H875" s="11"/>
      <c r="I875" s="11"/>
      <c r="J875" s="11"/>
    </row>
    <row r="876" spans="1:12" x14ac:dyDescent="0.25">
      <c r="A876" s="11"/>
      <c r="B876" s="11"/>
      <c r="C876" s="11"/>
      <c r="D876" s="11"/>
      <c r="E876" s="11"/>
      <c r="F876" s="11"/>
      <c r="G876" s="11"/>
      <c r="H876" s="11"/>
      <c r="I876" s="11"/>
      <c r="J876" s="11"/>
    </row>
    <row r="877" spans="1:12" s="10" customFormat="1" ht="20.100000000000001" customHeight="1" x14ac:dyDescent="0.35">
      <c r="A877" s="12" t="s">
        <v>475</v>
      </c>
      <c r="B877" s="12"/>
      <c r="C877" s="12"/>
      <c r="D877" s="12"/>
      <c r="E877" s="12"/>
      <c r="F877" s="12"/>
      <c r="G877" s="12"/>
      <c r="H877" s="12"/>
      <c r="I877" s="12"/>
      <c r="J877" s="12"/>
    </row>
    <row r="878" spans="1:12" x14ac:dyDescent="0.25">
      <c r="A878" s="11"/>
      <c r="B878" s="11"/>
      <c r="C878" s="11"/>
      <c r="D878" s="11"/>
      <c r="E878" s="11"/>
      <c r="F878" s="11"/>
      <c r="G878" s="11"/>
      <c r="H878" s="11"/>
      <c r="I878" s="11"/>
      <c r="J878" s="11"/>
    </row>
    <row r="879" spans="1:12" ht="30" x14ac:dyDescent="0.25">
      <c r="A879" s="2" t="s">
        <v>5</v>
      </c>
      <c r="B879" s="2" t="s">
        <v>6</v>
      </c>
      <c r="C879" s="2" t="s">
        <v>7</v>
      </c>
      <c r="D879" s="2" t="s">
        <v>8</v>
      </c>
      <c r="E879" s="2" t="s">
        <v>9</v>
      </c>
      <c r="F879" s="2" t="s">
        <v>10</v>
      </c>
      <c r="G879" s="2" t="s">
        <v>11</v>
      </c>
      <c r="H879" s="2" t="s">
        <v>12</v>
      </c>
      <c r="I879" s="2" t="s">
        <v>13</v>
      </c>
      <c r="J879" s="2" t="s">
        <v>14</v>
      </c>
      <c r="K879" s="2" t="s">
        <v>15</v>
      </c>
      <c r="L879" s="2" t="s">
        <v>16</v>
      </c>
    </row>
    <row r="880" spans="1:12" x14ac:dyDescent="0.25">
      <c r="A880" s="3">
        <v>45699.291273148148</v>
      </c>
      <c r="B880" t="s">
        <v>80</v>
      </c>
      <c r="C880" s="3">
        <v>45699.420069444444</v>
      </c>
      <c r="D880" t="s">
        <v>336</v>
      </c>
      <c r="E880" s="4">
        <v>46.640999999999998</v>
      </c>
      <c r="F880" s="4">
        <v>473801.07799999998</v>
      </c>
      <c r="G880" s="4">
        <v>473847.71899999998</v>
      </c>
      <c r="H880" s="5">
        <f>4559 / 86400</f>
        <v>5.2766203703703704E-2</v>
      </c>
      <c r="I880" t="s">
        <v>54</v>
      </c>
      <c r="J880" t="s">
        <v>19</v>
      </c>
      <c r="K880" s="5">
        <f>11128 / 86400</f>
        <v>0.1287962962962963</v>
      </c>
      <c r="L880" s="5">
        <f>26007 / 86400</f>
        <v>0.30100694444444442</v>
      </c>
    </row>
    <row r="881" spans="1:12" x14ac:dyDescent="0.25">
      <c r="A881" s="3">
        <v>45699.429803240739</v>
      </c>
      <c r="B881" t="s">
        <v>336</v>
      </c>
      <c r="C881" s="3">
        <v>45699.506469907406</v>
      </c>
      <c r="D881" t="s">
        <v>87</v>
      </c>
      <c r="E881" s="4">
        <v>19.536000000000001</v>
      </c>
      <c r="F881" s="4">
        <v>473847.71899999998</v>
      </c>
      <c r="G881" s="4">
        <v>473867.255</v>
      </c>
      <c r="H881" s="5">
        <f>2940 / 86400</f>
        <v>3.4027777777777775E-2</v>
      </c>
      <c r="I881" t="s">
        <v>133</v>
      </c>
      <c r="J881" t="s">
        <v>134</v>
      </c>
      <c r="K881" s="5">
        <f>6624 / 86400</f>
        <v>7.6666666666666661E-2</v>
      </c>
      <c r="L881" s="5">
        <f>388 / 86400</f>
        <v>4.4907407407407405E-3</v>
      </c>
    </row>
    <row r="882" spans="1:12" x14ac:dyDescent="0.25">
      <c r="A882" s="3">
        <v>45699.510960648149</v>
      </c>
      <c r="B882" t="s">
        <v>87</v>
      </c>
      <c r="C882" s="3">
        <v>45699.574513888889</v>
      </c>
      <c r="D882" t="s">
        <v>159</v>
      </c>
      <c r="E882" s="4">
        <v>31.620999999999999</v>
      </c>
      <c r="F882" s="4">
        <v>473867.255</v>
      </c>
      <c r="G882" s="4">
        <v>473898.87599999999</v>
      </c>
      <c r="H882" s="5">
        <f>1379 / 86400</f>
        <v>1.5960648148148147E-2</v>
      </c>
      <c r="I882" t="s">
        <v>52</v>
      </c>
      <c r="J882" t="s">
        <v>108</v>
      </c>
      <c r="K882" s="5">
        <f>5491 / 86400</f>
        <v>6.3553240740740743E-2</v>
      </c>
      <c r="L882" s="5">
        <f>168 / 86400</f>
        <v>1.9444444444444444E-3</v>
      </c>
    </row>
    <row r="883" spans="1:12" x14ac:dyDescent="0.25">
      <c r="A883" s="3">
        <v>45699.576458333337</v>
      </c>
      <c r="B883" t="s">
        <v>159</v>
      </c>
      <c r="C883" s="3">
        <v>45699.580937499995</v>
      </c>
      <c r="D883" t="s">
        <v>153</v>
      </c>
      <c r="E883" s="4">
        <v>1.2569999999999999</v>
      </c>
      <c r="F883" s="4">
        <v>473898.87599999999</v>
      </c>
      <c r="G883" s="4">
        <v>473900.13299999997</v>
      </c>
      <c r="H883" s="5">
        <f>20 / 86400</f>
        <v>2.3148148148148149E-4</v>
      </c>
      <c r="I883" t="s">
        <v>108</v>
      </c>
      <c r="J883" t="s">
        <v>131</v>
      </c>
      <c r="K883" s="5">
        <f>386 / 86400</f>
        <v>4.4675925925925924E-3</v>
      </c>
      <c r="L883" s="5">
        <f>768 / 86400</f>
        <v>8.8888888888888889E-3</v>
      </c>
    </row>
    <row r="884" spans="1:12" x14ac:dyDescent="0.25">
      <c r="A884" s="3">
        <v>45699.589826388888</v>
      </c>
      <c r="B884" t="s">
        <v>153</v>
      </c>
      <c r="C884" s="3">
        <v>45699.595937499995</v>
      </c>
      <c r="D884" t="s">
        <v>105</v>
      </c>
      <c r="E884" s="4">
        <v>1.034</v>
      </c>
      <c r="F884" s="4">
        <v>473900.13299999997</v>
      </c>
      <c r="G884" s="4">
        <v>473901.16700000002</v>
      </c>
      <c r="H884" s="5">
        <f>259 / 86400</f>
        <v>2.9976851851851853E-3</v>
      </c>
      <c r="I884" t="s">
        <v>198</v>
      </c>
      <c r="J884" t="s">
        <v>28</v>
      </c>
      <c r="K884" s="5">
        <f>528 / 86400</f>
        <v>6.1111111111111114E-3</v>
      </c>
      <c r="L884" s="5">
        <f>530 / 86400</f>
        <v>6.1342592592592594E-3</v>
      </c>
    </row>
    <row r="885" spans="1:12" x14ac:dyDescent="0.25">
      <c r="A885" s="3">
        <v>45699.602071759262</v>
      </c>
      <c r="B885" t="s">
        <v>105</v>
      </c>
      <c r="C885" s="3">
        <v>45699.604097222225</v>
      </c>
      <c r="D885" t="s">
        <v>375</v>
      </c>
      <c r="E885" s="4">
        <v>0.245</v>
      </c>
      <c r="F885" s="4">
        <v>473901.16700000002</v>
      </c>
      <c r="G885" s="4">
        <v>473901.41200000001</v>
      </c>
      <c r="H885" s="5">
        <f>80 / 86400</f>
        <v>9.2592592592592596E-4</v>
      </c>
      <c r="I885" t="s">
        <v>152</v>
      </c>
      <c r="J885" t="s">
        <v>148</v>
      </c>
      <c r="K885" s="5">
        <f>175 / 86400</f>
        <v>2.0254629629629629E-3</v>
      </c>
      <c r="L885" s="5">
        <f>1151 / 86400</f>
        <v>1.3321759259259259E-2</v>
      </c>
    </row>
    <row r="886" spans="1:12" x14ac:dyDescent="0.25">
      <c r="A886" s="3">
        <v>45699.617418981477</v>
      </c>
      <c r="B886" t="s">
        <v>375</v>
      </c>
      <c r="C886" s="3">
        <v>45699.622453703705</v>
      </c>
      <c r="D886" t="s">
        <v>93</v>
      </c>
      <c r="E886" s="4">
        <v>1.008</v>
      </c>
      <c r="F886" s="4">
        <v>473901.41200000001</v>
      </c>
      <c r="G886" s="4">
        <v>473902.42</v>
      </c>
      <c r="H886" s="5">
        <f>99 / 86400</f>
        <v>1.1458333333333333E-3</v>
      </c>
      <c r="I886" t="s">
        <v>34</v>
      </c>
      <c r="J886" t="s">
        <v>125</v>
      </c>
      <c r="K886" s="5">
        <f>435 / 86400</f>
        <v>5.0347222222222225E-3</v>
      </c>
      <c r="L886" s="5">
        <f>8 / 86400</f>
        <v>9.2592592592592588E-5</v>
      </c>
    </row>
    <row r="887" spans="1:12" x14ac:dyDescent="0.25">
      <c r="A887" s="3">
        <v>45699.622546296298</v>
      </c>
      <c r="B887" t="s">
        <v>93</v>
      </c>
      <c r="C887" s="3">
        <v>45699.622569444444</v>
      </c>
      <c r="D887" t="s">
        <v>93</v>
      </c>
      <c r="E887" s="4">
        <v>0</v>
      </c>
      <c r="F887" s="4">
        <v>473902.42</v>
      </c>
      <c r="G887" s="4">
        <v>473902.42</v>
      </c>
      <c r="H887" s="5">
        <f>0 / 86400</f>
        <v>0</v>
      </c>
      <c r="I887" t="s">
        <v>88</v>
      </c>
      <c r="J887" t="s">
        <v>88</v>
      </c>
      <c r="K887" s="5">
        <f>2 / 86400</f>
        <v>2.3148148148148147E-5</v>
      </c>
      <c r="L887" s="5">
        <f>147 / 86400</f>
        <v>1.7013888888888888E-3</v>
      </c>
    </row>
    <row r="888" spans="1:12" x14ac:dyDescent="0.25">
      <c r="A888" s="3">
        <v>45699.62427083333</v>
      </c>
      <c r="B888" t="s">
        <v>93</v>
      </c>
      <c r="C888" s="3">
        <v>45699.6252662037</v>
      </c>
      <c r="D888" t="s">
        <v>20</v>
      </c>
      <c r="E888" s="4">
        <v>4.2999999999999997E-2</v>
      </c>
      <c r="F888" s="4">
        <v>473902.42</v>
      </c>
      <c r="G888" s="4">
        <v>473902.46299999999</v>
      </c>
      <c r="H888" s="5">
        <f>19 / 86400</f>
        <v>2.199074074074074E-4</v>
      </c>
      <c r="I888" t="s">
        <v>148</v>
      </c>
      <c r="J888" t="s">
        <v>57</v>
      </c>
      <c r="K888" s="5">
        <f>86 / 86400</f>
        <v>9.9537037037037042E-4</v>
      </c>
      <c r="L888" s="5">
        <f>150 / 86400</f>
        <v>1.736111111111111E-3</v>
      </c>
    </row>
    <row r="889" spans="1:12" x14ac:dyDescent="0.25">
      <c r="A889" s="3">
        <v>45699.62700231481</v>
      </c>
      <c r="B889" t="s">
        <v>20</v>
      </c>
      <c r="C889" s="3">
        <v>45699.62773148148</v>
      </c>
      <c r="D889" t="s">
        <v>20</v>
      </c>
      <c r="E889" s="4">
        <v>3.1E-2</v>
      </c>
      <c r="F889" s="4">
        <v>473902.46299999999</v>
      </c>
      <c r="G889" s="4">
        <v>473902.49400000001</v>
      </c>
      <c r="H889" s="5">
        <f>0 / 86400</f>
        <v>0</v>
      </c>
      <c r="I889" t="s">
        <v>128</v>
      </c>
      <c r="J889" t="s">
        <v>57</v>
      </c>
      <c r="K889" s="5">
        <f>62 / 86400</f>
        <v>7.1759259259259259E-4</v>
      </c>
      <c r="L889" s="5">
        <f>409 / 86400</f>
        <v>4.7337962962962967E-3</v>
      </c>
    </row>
    <row r="890" spans="1:12" x14ac:dyDescent="0.25">
      <c r="A890" s="3">
        <v>45699.632465277777</v>
      </c>
      <c r="B890" t="s">
        <v>20</v>
      </c>
      <c r="C890" s="3">
        <v>45699.638043981482</v>
      </c>
      <c r="D890" t="s">
        <v>153</v>
      </c>
      <c r="E890" s="4">
        <v>1.4410000000000001</v>
      </c>
      <c r="F890" s="4">
        <v>473902.49400000001</v>
      </c>
      <c r="G890" s="4">
        <v>473903.935</v>
      </c>
      <c r="H890" s="5">
        <f>159 / 86400</f>
        <v>1.8402777777777777E-3</v>
      </c>
      <c r="I890" t="s">
        <v>202</v>
      </c>
      <c r="J890" t="s">
        <v>134</v>
      </c>
      <c r="K890" s="5">
        <f>481 / 86400</f>
        <v>5.5671296296296293E-3</v>
      </c>
      <c r="L890" s="5">
        <f>21 / 86400</f>
        <v>2.4305555555555555E-4</v>
      </c>
    </row>
    <row r="891" spans="1:12" x14ac:dyDescent="0.25">
      <c r="A891" s="3">
        <v>45699.638287037036</v>
      </c>
      <c r="B891" t="s">
        <v>153</v>
      </c>
      <c r="C891" s="3">
        <v>45699.638402777782</v>
      </c>
      <c r="D891" t="s">
        <v>153</v>
      </c>
      <c r="E891" s="4">
        <v>0</v>
      </c>
      <c r="F891" s="4">
        <v>473903.935</v>
      </c>
      <c r="G891" s="4">
        <v>473903.935</v>
      </c>
      <c r="H891" s="5">
        <f>0 / 86400</f>
        <v>0</v>
      </c>
      <c r="I891" t="s">
        <v>88</v>
      </c>
      <c r="J891" t="s">
        <v>88</v>
      </c>
      <c r="K891" s="5">
        <f>10 / 86400</f>
        <v>1.1574074074074075E-4</v>
      </c>
      <c r="L891" s="5">
        <f>1184 / 86400</f>
        <v>1.3703703703703704E-2</v>
      </c>
    </row>
    <row r="892" spans="1:12" x14ac:dyDescent="0.25">
      <c r="A892" s="3">
        <v>45699.652106481481</v>
      </c>
      <c r="B892" t="s">
        <v>153</v>
      </c>
      <c r="C892" s="3">
        <v>45699.804965277777</v>
      </c>
      <c r="D892" t="s">
        <v>336</v>
      </c>
      <c r="E892" s="4">
        <v>50.466000000000001</v>
      </c>
      <c r="F892" s="4">
        <v>473903.935</v>
      </c>
      <c r="G892" s="4">
        <v>473954.40100000001</v>
      </c>
      <c r="H892" s="5">
        <f>5439 / 86400</f>
        <v>6.295138888888889E-2</v>
      </c>
      <c r="I892" t="s">
        <v>145</v>
      </c>
      <c r="J892" t="s">
        <v>31</v>
      </c>
      <c r="K892" s="5">
        <f>13207 / 86400</f>
        <v>0.15285879629629628</v>
      </c>
      <c r="L892" s="5">
        <f>63 / 86400</f>
        <v>7.291666666666667E-4</v>
      </c>
    </row>
    <row r="893" spans="1:12" x14ac:dyDescent="0.25">
      <c r="A893" s="3">
        <v>45699.80569444444</v>
      </c>
      <c r="B893" t="s">
        <v>336</v>
      </c>
      <c r="C893" s="3">
        <v>45699.928124999999</v>
      </c>
      <c r="D893" t="s">
        <v>146</v>
      </c>
      <c r="E893" s="4">
        <v>45.872999999999998</v>
      </c>
      <c r="F893" s="4">
        <v>473954.40100000001</v>
      </c>
      <c r="G893" s="4">
        <v>474000.27399999998</v>
      </c>
      <c r="H893" s="5">
        <f>3639 / 86400</f>
        <v>4.2118055555555554E-2</v>
      </c>
      <c r="I893" t="s">
        <v>55</v>
      </c>
      <c r="J893" t="s">
        <v>37</v>
      </c>
      <c r="K893" s="5">
        <f>10577 / 86400</f>
        <v>0.12241898148148148</v>
      </c>
      <c r="L893" s="5">
        <f>718 / 86400</f>
        <v>8.3101851851851843E-3</v>
      </c>
    </row>
    <row r="894" spans="1:12" x14ac:dyDescent="0.25">
      <c r="A894" s="3">
        <v>45699.936435185184</v>
      </c>
      <c r="B894" t="s">
        <v>146</v>
      </c>
      <c r="C894" s="3">
        <v>45699.94127314815</v>
      </c>
      <c r="D894" t="s">
        <v>78</v>
      </c>
      <c r="E894" s="4">
        <v>0.89200000000000002</v>
      </c>
      <c r="F894" s="4">
        <v>474000.27399999998</v>
      </c>
      <c r="G894" s="4">
        <v>474001.16600000003</v>
      </c>
      <c r="H894" s="5">
        <f>79 / 86400</f>
        <v>9.1435185185185185E-4</v>
      </c>
      <c r="I894" t="s">
        <v>124</v>
      </c>
      <c r="J894" t="s">
        <v>125</v>
      </c>
      <c r="K894" s="5">
        <f>418 / 86400</f>
        <v>4.8379629629629632E-3</v>
      </c>
      <c r="L894" s="5">
        <f>5073 / 86400</f>
        <v>5.8715277777777776E-2</v>
      </c>
    </row>
    <row r="895" spans="1:12" x14ac:dyDescent="0.25">
      <c r="A895" s="11"/>
      <c r="B895" s="11"/>
      <c r="C895" s="11"/>
      <c r="D895" s="11"/>
      <c r="E895" s="11"/>
      <c r="F895" s="11"/>
      <c r="G895" s="11"/>
      <c r="H895" s="11"/>
      <c r="I895" s="11"/>
      <c r="J895" s="11"/>
    </row>
    <row r="896" spans="1:12" x14ac:dyDescent="0.25">
      <c r="A896" s="11"/>
      <c r="B896" s="11"/>
      <c r="C896" s="11"/>
      <c r="D896" s="11"/>
      <c r="E896" s="11"/>
      <c r="F896" s="11"/>
      <c r="G896" s="11"/>
      <c r="H896" s="11"/>
      <c r="I896" s="11"/>
      <c r="J896" s="11"/>
    </row>
    <row r="897" spans="1:12" s="10" customFormat="1" ht="20.100000000000001" customHeight="1" x14ac:dyDescent="0.35">
      <c r="A897" s="12" t="s">
        <v>476</v>
      </c>
      <c r="B897" s="12"/>
      <c r="C897" s="12"/>
      <c r="D897" s="12"/>
      <c r="E897" s="12"/>
      <c r="F897" s="12"/>
      <c r="G897" s="12"/>
      <c r="H897" s="12"/>
      <c r="I897" s="12"/>
      <c r="J897" s="12"/>
    </row>
    <row r="898" spans="1:12" x14ac:dyDescent="0.25">
      <c r="A898" s="11"/>
      <c r="B898" s="11"/>
      <c r="C898" s="11"/>
      <c r="D898" s="11"/>
      <c r="E898" s="11"/>
      <c r="F898" s="11"/>
      <c r="G898" s="11"/>
      <c r="H898" s="11"/>
      <c r="I898" s="11"/>
      <c r="J898" s="11"/>
    </row>
    <row r="899" spans="1:12" ht="30" x14ac:dyDescent="0.25">
      <c r="A899" s="2" t="s">
        <v>5</v>
      </c>
      <c r="B899" s="2" t="s">
        <v>6</v>
      </c>
      <c r="C899" s="2" t="s">
        <v>7</v>
      </c>
      <c r="D899" s="2" t="s">
        <v>8</v>
      </c>
      <c r="E899" s="2" t="s">
        <v>9</v>
      </c>
      <c r="F899" s="2" t="s">
        <v>10</v>
      </c>
      <c r="G899" s="2" t="s">
        <v>11</v>
      </c>
      <c r="H899" s="2" t="s">
        <v>12</v>
      </c>
      <c r="I899" s="2" t="s">
        <v>13</v>
      </c>
      <c r="J899" s="2" t="s">
        <v>14</v>
      </c>
      <c r="K899" s="2" t="s">
        <v>15</v>
      </c>
      <c r="L899" s="2" t="s">
        <v>16</v>
      </c>
    </row>
    <row r="900" spans="1:12" x14ac:dyDescent="0.25">
      <c r="A900" s="3">
        <v>45699.120810185181</v>
      </c>
      <c r="B900" t="s">
        <v>77</v>
      </c>
      <c r="C900" s="3">
        <v>45699.192303240736</v>
      </c>
      <c r="D900" t="s">
        <v>432</v>
      </c>
      <c r="E900" s="4">
        <v>37.69</v>
      </c>
      <c r="F900" s="4">
        <v>413154.76400000002</v>
      </c>
      <c r="G900" s="4">
        <v>413192.45400000003</v>
      </c>
      <c r="H900" s="5">
        <f>1600 / 86400</f>
        <v>1.8518518518518517E-2</v>
      </c>
      <c r="I900" t="s">
        <v>83</v>
      </c>
      <c r="J900" t="s">
        <v>34</v>
      </c>
      <c r="K900" s="5">
        <f>6177 / 86400</f>
        <v>7.149305555555556E-2</v>
      </c>
      <c r="L900" s="5">
        <f>10763 / 86400</f>
        <v>0.12457175925925926</v>
      </c>
    </row>
    <row r="901" spans="1:12" x14ac:dyDescent="0.25">
      <c r="A901" s="3">
        <v>45699.196064814816</v>
      </c>
      <c r="B901" t="s">
        <v>142</v>
      </c>
      <c r="C901" s="3">
        <v>45699.295393518521</v>
      </c>
      <c r="D901" t="s">
        <v>159</v>
      </c>
      <c r="E901" s="4">
        <v>52.768000000000001</v>
      </c>
      <c r="F901" s="4">
        <v>413192.45400000003</v>
      </c>
      <c r="G901" s="4">
        <v>413245.22200000001</v>
      </c>
      <c r="H901" s="5">
        <f>1982 / 86400</f>
        <v>2.2939814814814816E-2</v>
      </c>
      <c r="I901" t="s">
        <v>139</v>
      </c>
      <c r="J901" t="s">
        <v>34</v>
      </c>
      <c r="K901" s="5">
        <f>8582 / 86400</f>
        <v>9.9328703703703697E-2</v>
      </c>
      <c r="L901" s="5">
        <f>2302 / 86400</f>
        <v>2.6643518518518518E-2</v>
      </c>
    </row>
    <row r="902" spans="1:12" x14ac:dyDescent="0.25">
      <c r="A902" s="3">
        <v>45699.32203703704</v>
      </c>
      <c r="B902" t="s">
        <v>159</v>
      </c>
      <c r="C902" s="3">
        <v>45699.326203703706</v>
      </c>
      <c r="D902" t="s">
        <v>105</v>
      </c>
      <c r="E902" s="4">
        <v>1.3680000000000001</v>
      </c>
      <c r="F902" s="4">
        <v>413245.22200000001</v>
      </c>
      <c r="G902" s="4">
        <v>413246.59</v>
      </c>
      <c r="H902" s="5">
        <f>39 / 86400</f>
        <v>4.5138888888888887E-4</v>
      </c>
      <c r="I902" t="s">
        <v>178</v>
      </c>
      <c r="J902" t="s">
        <v>31</v>
      </c>
      <c r="K902" s="5">
        <f>359 / 86400</f>
        <v>4.1550925925925922E-3</v>
      </c>
      <c r="L902" s="5">
        <f>510 / 86400</f>
        <v>5.9027777777777776E-3</v>
      </c>
    </row>
    <row r="903" spans="1:12" x14ac:dyDescent="0.25">
      <c r="A903" s="3">
        <v>45699.332106481481</v>
      </c>
      <c r="B903" t="s">
        <v>105</v>
      </c>
      <c r="C903" s="3">
        <v>45699.437268518523</v>
      </c>
      <c r="D903" t="s">
        <v>70</v>
      </c>
      <c r="E903" s="4">
        <v>47.161000000000001</v>
      </c>
      <c r="F903" s="4">
        <v>413246.59</v>
      </c>
      <c r="G903" s="4">
        <v>413293.75099999999</v>
      </c>
      <c r="H903" s="5">
        <f>2922 / 86400</f>
        <v>3.3819444444444444E-2</v>
      </c>
      <c r="I903" t="s">
        <v>32</v>
      </c>
      <c r="J903" t="s">
        <v>22</v>
      </c>
      <c r="K903" s="5">
        <f>9086 / 86400</f>
        <v>0.10516203703703704</v>
      </c>
      <c r="L903" s="5">
        <f>172 / 86400</f>
        <v>1.9907407407407408E-3</v>
      </c>
    </row>
    <row r="904" spans="1:12" x14ac:dyDescent="0.25">
      <c r="A904" s="3">
        <v>45699.439259259263</v>
      </c>
      <c r="B904" t="s">
        <v>70</v>
      </c>
      <c r="C904" s="3">
        <v>45699.487453703703</v>
      </c>
      <c r="D904" t="s">
        <v>190</v>
      </c>
      <c r="E904" s="4">
        <v>11.59</v>
      </c>
      <c r="F904" s="4">
        <v>413293.75099999999</v>
      </c>
      <c r="G904" s="4">
        <v>413305.34100000001</v>
      </c>
      <c r="H904" s="5">
        <f>2019 / 86400</f>
        <v>2.3368055555555555E-2</v>
      </c>
      <c r="I904" t="s">
        <v>39</v>
      </c>
      <c r="J904" t="s">
        <v>112</v>
      </c>
      <c r="K904" s="5">
        <f>4164 / 86400</f>
        <v>4.8194444444444443E-2</v>
      </c>
      <c r="L904" s="5">
        <f>160 / 86400</f>
        <v>1.8518518518518519E-3</v>
      </c>
    </row>
    <row r="905" spans="1:12" x14ac:dyDescent="0.25">
      <c r="A905" s="3">
        <v>45699.489305555559</v>
      </c>
      <c r="B905" t="s">
        <v>190</v>
      </c>
      <c r="C905" s="3">
        <v>45699.515810185185</v>
      </c>
      <c r="D905" t="s">
        <v>76</v>
      </c>
      <c r="E905" s="4">
        <v>12.606</v>
      </c>
      <c r="F905" s="4">
        <v>413305.34100000001</v>
      </c>
      <c r="G905" s="4">
        <v>413317.94699999999</v>
      </c>
      <c r="H905" s="5">
        <f>640 / 86400</f>
        <v>7.4074074074074077E-3</v>
      </c>
      <c r="I905" t="s">
        <v>111</v>
      </c>
      <c r="J905" t="s">
        <v>152</v>
      </c>
      <c r="K905" s="5">
        <f>2289 / 86400</f>
        <v>2.6493055555555554E-2</v>
      </c>
      <c r="L905" s="5">
        <f>310 / 86400</f>
        <v>3.5879629629629629E-3</v>
      </c>
    </row>
    <row r="906" spans="1:12" x14ac:dyDescent="0.25">
      <c r="A906" s="3">
        <v>45699.51939814815</v>
      </c>
      <c r="B906" t="s">
        <v>76</v>
      </c>
      <c r="C906" s="3">
        <v>45699.525185185186</v>
      </c>
      <c r="D906" t="s">
        <v>77</v>
      </c>
      <c r="E906" s="4">
        <v>1.7210000000000001</v>
      </c>
      <c r="F906" s="4">
        <v>413317.94699999999</v>
      </c>
      <c r="G906" s="4">
        <v>413319.66800000001</v>
      </c>
      <c r="H906" s="5">
        <f>140 / 86400</f>
        <v>1.6203703703703703E-3</v>
      </c>
      <c r="I906" t="s">
        <v>240</v>
      </c>
      <c r="J906" t="s">
        <v>131</v>
      </c>
      <c r="K906" s="5">
        <f>500 / 86400</f>
        <v>5.7870370370370367E-3</v>
      </c>
      <c r="L906" s="5">
        <f>9799 / 86400</f>
        <v>0.11341435185185185</v>
      </c>
    </row>
    <row r="907" spans="1:12" x14ac:dyDescent="0.25">
      <c r="A907" s="3">
        <v>45699.638599537036</v>
      </c>
      <c r="B907" t="s">
        <v>77</v>
      </c>
      <c r="C907" s="3">
        <v>45699.638645833329</v>
      </c>
      <c r="D907" t="s">
        <v>77</v>
      </c>
      <c r="E907" s="4">
        <v>0</v>
      </c>
      <c r="F907" s="4">
        <v>413319.66800000001</v>
      </c>
      <c r="G907" s="4">
        <v>413319.66800000001</v>
      </c>
      <c r="H907" s="5">
        <f>0 / 86400</f>
        <v>0</v>
      </c>
      <c r="I907" t="s">
        <v>88</v>
      </c>
      <c r="J907" t="s">
        <v>88</v>
      </c>
      <c r="K907" s="5">
        <f>3 / 86400</f>
        <v>3.4722222222222222E-5</v>
      </c>
      <c r="L907" s="5">
        <f>20 / 86400</f>
        <v>2.3148148148148149E-4</v>
      </c>
    </row>
    <row r="908" spans="1:12" x14ac:dyDescent="0.25">
      <c r="A908" s="3">
        <v>45699.638877314814</v>
      </c>
      <c r="B908" t="s">
        <v>77</v>
      </c>
      <c r="C908" s="3">
        <v>45699.818495370375</v>
      </c>
      <c r="D908" t="s">
        <v>115</v>
      </c>
      <c r="E908" s="4">
        <v>80.724999999999994</v>
      </c>
      <c r="F908" s="4">
        <v>413319.66800000001</v>
      </c>
      <c r="G908" s="4">
        <v>413400.39299999998</v>
      </c>
      <c r="H908" s="5">
        <f>5182 / 86400</f>
        <v>5.9976851851851851E-2</v>
      </c>
      <c r="I908" t="s">
        <v>25</v>
      </c>
      <c r="J908" t="s">
        <v>22</v>
      </c>
      <c r="K908" s="5">
        <f>15519 / 86400</f>
        <v>0.17961805555555554</v>
      </c>
      <c r="L908" s="5">
        <f>1072 / 86400</f>
        <v>1.2407407407407407E-2</v>
      </c>
    </row>
    <row r="909" spans="1:12" x14ac:dyDescent="0.25">
      <c r="A909" s="3">
        <v>45699.83090277778</v>
      </c>
      <c r="B909" t="s">
        <v>115</v>
      </c>
      <c r="C909" s="3">
        <v>45699.831157407403</v>
      </c>
      <c r="D909" t="s">
        <v>115</v>
      </c>
      <c r="E909" s="4">
        <v>8.9999999999999993E-3</v>
      </c>
      <c r="F909" s="4">
        <v>413400.39299999998</v>
      </c>
      <c r="G909" s="4">
        <v>413400.402</v>
      </c>
      <c r="H909" s="5">
        <f>19 / 86400</f>
        <v>2.199074074074074E-4</v>
      </c>
      <c r="I909" t="s">
        <v>88</v>
      </c>
      <c r="J909" t="s">
        <v>57</v>
      </c>
      <c r="K909" s="5">
        <f>21 / 86400</f>
        <v>2.4305555555555555E-4</v>
      </c>
      <c r="L909" s="5">
        <f>1430 / 86400</f>
        <v>1.6550925925925927E-2</v>
      </c>
    </row>
    <row r="910" spans="1:12" x14ac:dyDescent="0.25">
      <c r="A910" s="3">
        <v>45699.847708333335</v>
      </c>
      <c r="B910" t="s">
        <v>115</v>
      </c>
      <c r="C910" s="3">
        <v>45699.947604166664</v>
      </c>
      <c r="D910" t="s">
        <v>71</v>
      </c>
      <c r="E910" s="4">
        <v>43.387999999999998</v>
      </c>
      <c r="F910" s="4">
        <v>413400.402</v>
      </c>
      <c r="G910" s="4">
        <v>413443.79</v>
      </c>
      <c r="H910" s="5">
        <f>3698 / 86400</f>
        <v>4.2800925925925923E-2</v>
      </c>
      <c r="I910" t="s">
        <v>72</v>
      </c>
      <c r="J910" t="s">
        <v>26</v>
      </c>
      <c r="K910" s="5">
        <f>8630 / 86400</f>
        <v>9.9884259259259256E-2</v>
      </c>
      <c r="L910" s="5">
        <f>243 / 86400</f>
        <v>2.8124999999999999E-3</v>
      </c>
    </row>
    <row r="911" spans="1:12" x14ac:dyDescent="0.25">
      <c r="A911" s="3">
        <v>45699.950416666667</v>
      </c>
      <c r="B911" t="s">
        <v>71</v>
      </c>
      <c r="C911" s="3">
        <v>45699.99998842593</v>
      </c>
      <c r="D911" t="s">
        <v>81</v>
      </c>
      <c r="E911" s="4">
        <v>17.692</v>
      </c>
      <c r="F911" s="4">
        <v>413443.79</v>
      </c>
      <c r="G911" s="4">
        <v>413461.48200000002</v>
      </c>
      <c r="H911" s="5">
        <f>1660 / 86400</f>
        <v>1.9212962962962963E-2</v>
      </c>
      <c r="I911" t="s">
        <v>133</v>
      </c>
      <c r="J911" t="s">
        <v>19</v>
      </c>
      <c r="K911" s="5">
        <f>4283 / 86400</f>
        <v>4.957175925925926E-2</v>
      </c>
      <c r="L911" s="5">
        <f>0 / 86400</f>
        <v>0</v>
      </c>
    </row>
    <row r="912" spans="1:12" x14ac:dyDescent="0.25">
      <c r="A912" s="11"/>
      <c r="B912" s="11"/>
      <c r="C912" s="11"/>
      <c r="D912" s="11"/>
      <c r="E912" s="11"/>
      <c r="F912" s="11"/>
      <c r="G912" s="11"/>
      <c r="H912" s="11"/>
      <c r="I912" s="11"/>
      <c r="J912" s="11"/>
    </row>
    <row r="913" spans="1:12" x14ac:dyDescent="0.25">
      <c r="A913" s="11"/>
      <c r="B913" s="11"/>
      <c r="C913" s="11"/>
      <c r="D913" s="11"/>
      <c r="E913" s="11"/>
      <c r="F913" s="11"/>
      <c r="G913" s="11"/>
      <c r="H913" s="11"/>
      <c r="I913" s="11"/>
      <c r="J913" s="11"/>
    </row>
    <row r="914" spans="1:12" s="10" customFormat="1" ht="20.100000000000001" customHeight="1" x14ac:dyDescent="0.35">
      <c r="A914" s="12" t="s">
        <v>477</v>
      </c>
      <c r="B914" s="12"/>
      <c r="C914" s="12"/>
      <c r="D914" s="12"/>
      <c r="E914" s="12"/>
      <c r="F914" s="12"/>
      <c r="G914" s="12"/>
      <c r="H914" s="12"/>
      <c r="I914" s="12"/>
      <c r="J914" s="12"/>
    </row>
    <row r="915" spans="1:12" x14ac:dyDescent="0.25">
      <c r="A915" s="11"/>
      <c r="B915" s="11"/>
      <c r="C915" s="11"/>
      <c r="D915" s="11"/>
      <c r="E915" s="11"/>
      <c r="F915" s="11"/>
      <c r="G915" s="11"/>
      <c r="H915" s="11"/>
      <c r="I915" s="11"/>
      <c r="J915" s="11"/>
    </row>
    <row r="916" spans="1:12" ht="30" x14ac:dyDescent="0.25">
      <c r="A916" s="2" t="s">
        <v>5</v>
      </c>
      <c r="B916" s="2" t="s">
        <v>6</v>
      </c>
      <c r="C916" s="2" t="s">
        <v>7</v>
      </c>
      <c r="D916" s="2" t="s">
        <v>8</v>
      </c>
      <c r="E916" s="2" t="s">
        <v>9</v>
      </c>
      <c r="F916" s="2" t="s">
        <v>10</v>
      </c>
      <c r="G916" s="2" t="s">
        <v>11</v>
      </c>
      <c r="H916" s="2" t="s">
        <v>12</v>
      </c>
      <c r="I916" s="2" t="s">
        <v>13</v>
      </c>
      <c r="J916" s="2" t="s">
        <v>14</v>
      </c>
      <c r="K916" s="2" t="s">
        <v>15</v>
      </c>
      <c r="L916" s="2" t="s">
        <v>16</v>
      </c>
    </row>
    <row r="917" spans="1:12" x14ac:dyDescent="0.25">
      <c r="A917" s="3">
        <v>45699.293321759258</v>
      </c>
      <c r="B917" t="s">
        <v>30</v>
      </c>
      <c r="C917" s="3">
        <v>45699.293576388889</v>
      </c>
      <c r="D917" t="s">
        <v>30</v>
      </c>
      <c r="E917" s="4">
        <v>0</v>
      </c>
      <c r="F917" s="4">
        <v>327576.57400000002</v>
      </c>
      <c r="G917" s="4">
        <v>327576.57400000002</v>
      </c>
      <c r="H917" s="5">
        <f>19 / 86400</f>
        <v>2.199074074074074E-4</v>
      </c>
      <c r="I917" t="s">
        <v>88</v>
      </c>
      <c r="J917" t="s">
        <v>88</v>
      </c>
      <c r="K917" s="5">
        <f>21 / 86400</f>
        <v>2.4305555555555555E-4</v>
      </c>
      <c r="L917" s="5">
        <f>42276 / 86400</f>
        <v>0.48930555555555555</v>
      </c>
    </row>
    <row r="918" spans="1:12" x14ac:dyDescent="0.25">
      <c r="A918" s="3">
        <v>45699.489560185189</v>
      </c>
      <c r="B918" t="s">
        <v>30</v>
      </c>
      <c r="C918" s="3">
        <v>45699.49013888889</v>
      </c>
      <c r="D918" t="s">
        <v>30</v>
      </c>
      <c r="E918" s="4">
        <v>1.6E-2</v>
      </c>
      <c r="F918" s="4">
        <v>327576.57400000002</v>
      </c>
      <c r="G918" s="4">
        <v>327576.59000000003</v>
      </c>
      <c r="H918" s="5">
        <f>39 / 86400</f>
        <v>4.5138888888888887E-4</v>
      </c>
      <c r="I918" t="s">
        <v>88</v>
      </c>
      <c r="J918" t="s">
        <v>29</v>
      </c>
      <c r="K918" s="5">
        <f>49 / 86400</f>
        <v>5.6712962962962967E-4</v>
      </c>
      <c r="L918" s="5">
        <f>52 / 86400</f>
        <v>6.018518518518519E-4</v>
      </c>
    </row>
    <row r="919" spans="1:12" x14ac:dyDescent="0.25">
      <c r="A919" s="3">
        <v>45699.490740740745</v>
      </c>
      <c r="B919" t="s">
        <v>30</v>
      </c>
      <c r="C919" s="3">
        <v>45699.493761574078</v>
      </c>
      <c r="D919" t="s">
        <v>431</v>
      </c>
      <c r="E919" s="4">
        <v>1.1439999999999999</v>
      </c>
      <c r="F919" s="4">
        <v>327576.59000000003</v>
      </c>
      <c r="G919" s="4">
        <v>327577.734</v>
      </c>
      <c r="H919" s="5">
        <f>0 / 86400</f>
        <v>0</v>
      </c>
      <c r="I919" t="s">
        <v>178</v>
      </c>
      <c r="J919" t="s">
        <v>37</v>
      </c>
      <c r="K919" s="5">
        <f>260 / 86400</f>
        <v>3.0092592592592593E-3</v>
      </c>
      <c r="L919" s="5">
        <f>2692 / 86400</f>
        <v>3.1157407407407408E-2</v>
      </c>
    </row>
    <row r="920" spans="1:12" x14ac:dyDescent="0.25">
      <c r="A920" s="3">
        <v>45699.524918981479</v>
      </c>
      <c r="B920" t="s">
        <v>431</v>
      </c>
      <c r="C920" s="3">
        <v>45699.526469907403</v>
      </c>
      <c r="D920" t="s">
        <v>30</v>
      </c>
      <c r="E920" s="4">
        <v>0.502</v>
      </c>
      <c r="F920" s="4">
        <v>327577.734</v>
      </c>
      <c r="G920" s="4">
        <v>327578.23599999998</v>
      </c>
      <c r="H920" s="5">
        <f>20 / 86400</f>
        <v>2.3148148148148149E-4</v>
      </c>
      <c r="I920" t="s">
        <v>198</v>
      </c>
      <c r="J920" t="s">
        <v>56</v>
      </c>
      <c r="K920" s="5">
        <f>134 / 86400</f>
        <v>1.5509259259259259E-3</v>
      </c>
      <c r="L920" s="5">
        <f>142 / 86400</f>
        <v>1.6435185185185185E-3</v>
      </c>
    </row>
    <row r="921" spans="1:12" x14ac:dyDescent="0.25">
      <c r="A921" s="3">
        <v>45699.528113425928</v>
      </c>
      <c r="B921" t="s">
        <v>30</v>
      </c>
      <c r="C921" s="3">
        <v>45699.543333333335</v>
      </c>
      <c r="D921" t="s">
        <v>30</v>
      </c>
      <c r="E921" s="4">
        <v>7.0000000000000001E-3</v>
      </c>
      <c r="F921" s="4">
        <v>327578.23599999998</v>
      </c>
      <c r="G921" s="4">
        <v>327578.24300000002</v>
      </c>
      <c r="H921" s="5">
        <f>1299 / 86400</f>
        <v>1.5034722222222222E-2</v>
      </c>
      <c r="I921" t="s">
        <v>88</v>
      </c>
      <c r="J921" t="s">
        <v>88</v>
      </c>
      <c r="K921" s="5">
        <f>1315 / 86400</f>
        <v>1.5219907407407408E-2</v>
      </c>
      <c r="L921" s="5">
        <f>9840 / 86400</f>
        <v>0.11388888888888889</v>
      </c>
    </row>
    <row r="922" spans="1:12" x14ac:dyDescent="0.25">
      <c r="A922" s="3">
        <v>45699.657222222224</v>
      </c>
      <c r="B922" t="s">
        <v>30</v>
      </c>
      <c r="C922" s="3">
        <v>45699.657500000001</v>
      </c>
      <c r="D922" t="s">
        <v>30</v>
      </c>
      <c r="E922" s="4">
        <v>0</v>
      </c>
      <c r="F922" s="4">
        <v>327578.24300000002</v>
      </c>
      <c r="G922" s="4">
        <v>327578.24300000002</v>
      </c>
      <c r="H922" s="5">
        <f>19 / 86400</f>
        <v>2.199074074074074E-4</v>
      </c>
      <c r="I922" t="s">
        <v>88</v>
      </c>
      <c r="J922" t="s">
        <v>88</v>
      </c>
      <c r="K922" s="5">
        <f>23 / 86400</f>
        <v>2.6620370370370372E-4</v>
      </c>
      <c r="L922" s="5">
        <f>1680 / 86400</f>
        <v>1.9444444444444445E-2</v>
      </c>
    </row>
    <row r="923" spans="1:12" x14ac:dyDescent="0.25">
      <c r="A923" s="3">
        <v>45699.676944444444</v>
      </c>
      <c r="B923" t="s">
        <v>30</v>
      </c>
      <c r="C923" s="3">
        <v>45699.820972222224</v>
      </c>
      <c r="D923" t="s">
        <v>113</v>
      </c>
      <c r="E923" s="4">
        <v>57.935000000000002</v>
      </c>
      <c r="F923" s="4">
        <v>327578.24300000002</v>
      </c>
      <c r="G923" s="4">
        <v>327636.17800000001</v>
      </c>
      <c r="H923" s="5">
        <f>4565 / 86400</f>
        <v>5.2835648148148145E-2</v>
      </c>
      <c r="I923" t="s">
        <v>33</v>
      </c>
      <c r="J923" t="s">
        <v>42</v>
      </c>
      <c r="K923" s="5">
        <f>12443 / 86400</f>
        <v>0.14401620370370372</v>
      </c>
      <c r="L923" s="5">
        <f>49 / 86400</f>
        <v>5.6712962962962967E-4</v>
      </c>
    </row>
    <row r="924" spans="1:12" x14ac:dyDescent="0.25">
      <c r="A924" s="3">
        <v>45699.821539351848</v>
      </c>
      <c r="B924" t="s">
        <v>113</v>
      </c>
      <c r="C924" s="3">
        <v>45699.991655092592</v>
      </c>
      <c r="D924" t="s">
        <v>76</v>
      </c>
      <c r="E924" s="4">
        <v>73.424999999999997</v>
      </c>
      <c r="F924" s="4">
        <v>327636.17800000001</v>
      </c>
      <c r="G924" s="4">
        <v>327709.603</v>
      </c>
      <c r="H924" s="5">
        <f>4839 / 86400</f>
        <v>5.6006944444444443E-2</v>
      </c>
      <c r="I924" t="s">
        <v>66</v>
      </c>
      <c r="J924" t="s">
        <v>26</v>
      </c>
      <c r="K924" s="5">
        <f>14697 / 86400</f>
        <v>0.17010416666666667</v>
      </c>
      <c r="L924" s="5">
        <f>440 / 86400</f>
        <v>5.092592592592593E-3</v>
      </c>
    </row>
    <row r="925" spans="1:12" x14ac:dyDescent="0.25">
      <c r="A925" s="3">
        <v>45699.996747685189</v>
      </c>
      <c r="B925" t="s">
        <v>76</v>
      </c>
      <c r="C925" s="3">
        <v>45699.99998842593</v>
      </c>
      <c r="D925" t="s">
        <v>82</v>
      </c>
      <c r="E925" s="4">
        <v>1.391</v>
      </c>
      <c r="F925" s="4">
        <v>327709.603</v>
      </c>
      <c r="G925" s="4">
        <v>327710.99400000001</v>
      </c>
      <c r="H925" s="5">
        <f>99 / 86400</f>
        <v>1.1458333333333333E-3</v>
      </c>
      <c r="I925" t="s">
        <v>171</v>
      </c>
      <c r="J925" t="s">
        <v>26</v>
      </c>
      <c r="K925" s="5">
        <f>280 / 86400</f>
        <v>3.2407407407407406E-3</v>
      </c>
      <c r="L925" s="5">
        <f>0 / 86400</f>
        <v>0</v>
      </c>
    </row>
    <row r="926" spans="1:12" x14ac:dyDescent="0.25">
      <c r="A926" s="11"/>
      <c r="B926" s="11"/>
      <c r="C926" s="11"/>
      <c r="D926" s="11"/>
      <c r="E926" s="11"/>
      <c r="F926" s="11"/>
      <c r="G926" s="11"/>
      <c r="H926" s="11"/>
      <c r="I926" s="11"/>
      <c r="J926" s="11"/>
    </row>
    <row r="927" spans="1:12" x14ac:dyDescent="0.25">
      <c r="A927" s="11"/>
      <c r="B927" s="11"/>
      <c r="C927" s="11"/>
      <c r="D927" s="11"/>
      <c r="E927" s="11"/>
      <c r="F927" s="11"/>
      <c r="G927" s="11"/>
      <c r="H927" s="11"/>
      <c r="I927" s="11"/>
      <c r="J927" s="11"/>
    </row>
    <row r="928" spans="1:12" s="10" customFormat="1" ht="20.100000000000001" customHeight="1" x14ac:dyDescent="0.35">
      <c r="A928" s="12" t="s">
        <v>478</v>
      </c>
      <c r="B928" s="12"/>
      <c r="C928" s="12"/>
      <c r="D928" s="12"/>
      <c r="E928" s="12"/>
      <c r="F928" s="12"/>
      <c r="G928" s="12"/>
      <c r="H928" s="12"/>
      <c r="I928" s="12"/>
      <c r="J928" s="12"/>
    </row>
    <row r="929" spans="1:12" x14ac:dyDescent="0.25">
      <c r="A929" s="11"/>
      <c r="B929" s="11"/>
      <c r="C929" s="11"/>
      <c r="D929" s="11"/>
      <c r="E929" s="11"/>
      <c r="F929" s="11"/>
      <c r="G929" s="11"/>
      <c r="H929" s="11"/>
      <c r="I929" s="11"/>
      <c r="J929" s="11"/>
    </row>
    <row r="930" spans="1:12" ht="30" x14ac:dyDescent="0.25">
      <c r="A930" s="2" t="s">
        <v>5</v>
      </c>
      <c r="B930" s="2" t="s">
        <v>6</v>
      </c>
      <c r="C930" s="2" t="s">
        <v>7</v>
      </c>
      <c r="D930" s="2" t="s">
        <v>8</v>
      </c>
      <c r="E930" s="2" t="s">
        <v>9</v>
      </c>
      <c r="F930" s="2" t="s">
        <v>10</v>
      </c>
      <c r="G930" s="2" t="s">
        <v>11</v>
      </c>
      <c r="H930" s="2" t="s">
        <v>12</v>
      </c>
      <c r="I930" s="2" t="s">
        <v>13</v>
      </c>
      <c r="J930" s="2" t="s">
        <v>14</v>
      </c>
      <c r="K930" s="2" t="s">
        <v>15</v>
      </c>
      <c r="L930" s="2" t="s">
        <v>16</v>
      </c>
    </row>
    <row r="931" spans="1:12" x14ac:dyDescent="0.25">
      <c r="A931" s="3">
        <v>45699.246898148151</v>
      </c>
      <c r="B931" t="s">
        <v>30</v>
      </c>
      <c r="C931" s="3">
        <v>45699.258553240739</v>
      </c>
      <c r="D931" t="s">
        <v>82</v>
      </c>
      <c r="E931" s="4">
        <v>0.59699999999999998</v>
      </c>
      <c r="F931" s="4">
        <v>359921.41100000002</v>
      </c>
      <c r="G931" s="4">
        <v>359922.00799999997</v>
      </c>
      <c r="H931" s="5">
        <f>800 / 86400</f>
        <v>9.2592592592592587E-3</v>
      </c>
      <c r="I931" t="s">
        <v>108</v>
      </c>
      <c r="J931" t="s">
        <v>57</v>
      </c>
      <c r="K931" s="5">
        <f>1007 / 86400</f>
        <v>1.1655092592592592E-2</v>
      </c>
      <c r="L931" s="5">
        <f>22488 / 86400</f>
        <v>0.26027777777777777</v>
      </c>
    </row>
    <row r="932" spans="1:12" x14ac:dyDescent="0.25">
      <c r="A932" s="3">
        <v>45699.271932870368</v>
      </c>
      <c r="B932" t="s">
        <v>82</v>
      </c>
      <c r="C932" s="3">
        <v>45699.503067129626</v>
      </c>
      <c r="D932" t="s">
        <v>105</v>
      </c>
      <c r="E932" s="4">
        <v>81.569000000000003</v>
      </c>
      <c r="F932" s="4">
        <v>359922.00799999997</v>
      </c>
      <c r="G932" s="4">
        <v>360003.57699999999</v>
      </c>
      <c r="H932" s="5">
        <f>7737 / 86400</f>
        <v>8.9548611111111107E-2</v>
      </c>
      <c r="I932" t="s">
        <v>107</v>
      </c>
      <c r="J932" t="s">
        <v>19</v>
      </c>
      <c r="K932" s="5">
        <f>19969 / 86400</f>
        <v>0.23112268518518519</v>
      </c>
      <c r="L932" s="5">
        <f>571 / 86400</f>
        <v>6.6087962962962966E-3</v>
      </c>
    </row>
    <row r="933" spans="1:12" x14ac:dyDescent="0.25">
      <c r="A933" s="3">
        <v>45699.509675925925</v>
      </c>
      <c r="B933" t="s">
        <v>105</v>
      </c>
      <c r="C933" s="3">
        <v>45699.512118055558</v>
      </c>
      <c r="D933" t="s">
        <v>153</v>
      </c>
      <c r="E933" s="4">
        <v>0.88400000000000001</v>
      </c>
      <c r="F933" s="4">
        <v>360003.57699999999</v>
      </c>
      <c r="G933" s="4">
        <v>360004.46100000001</v>
      </c>
      <c r="H933" s="5">
        <f>20 / 86400</f>
        <v>2.3148148148148149E-4</v>
      </c>
      <c r="I933" t="s">
        <v>210</v>
      </c>
      <c r="J933" t="s">
        <v>19</v>
      </c>
      <c r="K933" s="5">
        <f>211 / 86400</f>
        <v>2.4421296296296296E-3</v>
      </c>
      <c r="L933" s="5">
        <f>2112 / 86400</f>
        <v>2.4444444444444446E-2</v>
      </c>
    </row>
    <row r="934" spans="1:12" x14ac:dyDescent="0.25">
      <c r="A934" s="3">
        <v>45699.536562499998</v>
      </c>
      <c r="B934" t="s">
        <v>153</v>
      </c>
      <c r="C934" s="3">
        <v>45699.542199074072</v>
      </c>
      <c r="D934" t="s">
        <v>159</v>
      </c>
      <c r="E934" s="4">
        <v>1.278</v>
      </c>
      <c r="F934" s="4">
        <v>360004.46100000001</v>
      </c>
      <c r="G934" s="4">
        <v>360005.739</v>
      </c>
      <c r="H934" s="5">
        <f>79 / 86400</f>
        <v>9.1435185185185185E-4</v>
      </c>
      <c r="I934" t="s">
        <v>137</v>
      </c>
      <c r="J934" t="s">
        <v>127</v>
      </c>
      <c r="K934" s="5">
        <f>487 / 86400</f>
        <v>5.6365740740740742E-3</v>
      </c>
      <c r="L934" s="5">
        <f>3386 / 86400</f>
        <v>3.9189814814814816E-2</v>
      </c>
    </row>
    <row r="935" spans="1:12" x14ac:dyDescent="0.25">
      <c r="A935" s="3">
        <v>45699.581388888888</v>
      </c>
      <c r="B935" t="s">
        <v>159</v>
      </c>
      <c r="C935" s="3">
        <v>45699.85938657407</v>
      </c>
      <c r="D935" t="s">
        <v>23</v>
      </c>
      <c r="E935" s="4">
        <v>109.556</v>
      </c>
      <c r="F935" s="4">
        <v>360005.739</v>
      </c>
      <c r="G935" s="4">
        <v>360115.29499999998</v>
      </c>
      <c r="H935" s="5">
        <f>8938 / 86400</f>
        <v>0.10344907407407407</v>
      </c>
      <c r="I935" t="s">
        <v>83</v>
      </c>
      <c r="J935" t="s">
        <v>37</v>
      </c>
      <c r="K935" s="5">
        <f>24019 / 86400</f>
        <v>0.27799768518518519</v>
      </c>
      <c r="L935" s="5">
        <f>426 / 86400</f>
        <v>4.9305555555555552E-3</v>
      </c>
    </row>
    <row r="936" spans="1:12" x14ac:dyDescent="0.25">
      <c r="A936" s="3">
        <v>45699.864317129628</v>
      </c>
      <c r="B936" t="s">
        <v>23</v>
      </c>
      <c r="C936" s="3">
        <v>45699.873900462961</v>
      </c>
      <c r="D936" t="s">
        <v>30</v>
      </c>
      <c r="E936" s="4">
        <v>3</v>
      </c>
      <c r="F936" s="4">
        <v>360115.29499999998</v>
      </c>
      <c r="G936" s="4">
        <v>360118.29499999998</v>
      </c>
      <c r="H936" s="5">
        <f>180 / 86400</f>
        <v>2.0833333333333333E-3</v>
      </c>
      <c r="I936" t="s">
        <v>166</v>
      </c>
      <c r="J936" t="s">
        <v>56</v>
      </c>
      <c r="K936" s="5">
        <f>828 / 86400</f>
        <v>9.5833333333333326E-3</v>
      </c>
      <c r="L936" s="5">
        <f>10894 / 86400</f>
        <v>0.12608796296296296</v>
      </c>
    </row>
    <row r="937" spans="1:12" x14ac:dyDescent="0.25">
      <c r="A937" s="11"/>
      <c r="B937" s="11"/>
      <c r="C937" s="11"/>
      <c r="D937" s="11"/>
      <c r="E937" s="11"/>
      <c r="F937" s="11"/>
      <c r="G937" s="11"/>
      <c r="H937" s="11"/>
      <c r="I937" s="11"/>
      <c r="J937" s="11"/>
    </row>
    <row r="938" spans="1:12" x14ac:dyDescent="0.25">
      <c r="A938" s="11"/>
      <c r="B938" s="11"/>
      <c r="C938" s="11"/>
      <c r="D938" s="11"/>
      <c r="E938" s="11"/>
      <c r="F938" s="11"/>
      <c r="G938" s="11"/>
      <c r="H938" s="11"/>
      <c r="I938" s="11"/>
      <c r="J938" s="11"/>
    </row>
    <row r="939" spans="1:12" s="10" customFormat="1" ht="20.100000000000001" customHeight="1" x14ac:dyDescent="0.35">
      <c r="A939" s="12" t="s">
        <v>479</v>
      </c>
      <c r="B939" s="12"/>
      <c r="C939" s="12"/>
      <c r="D939" s="12"/>
      <c r="E939" s="12"/>
      <c r="F939" s="12"/>
      <c r="G939" s="12"/>
      <c r="H939" s="12"/>
      <c r="I939" s="12"/>
      <c r="J939" s="12"/>
    </row>
    <row r="940" spans="1:12" x14ac:dyDescent="0.25">
      <c r="A940" s="11"/>
      <c r="B940" s="11"/>
      <c r="C940" s="11"/>
      <c r="D940" s="11"/>
      <c r="E940" s="11"/>
      <c r="F940" s="11"/>
      <c r="G940" s="11"/>
      <c r="H940" s="11"/>
      <c r="I940" s="11"/>
      <c r="J940" s="11"/>
    </row>
    <row r="941" spans="1:12" ht="30" x14ac:dyDescent="0.25">
      <c r="A941" s="2" t="s">
        <v>5</v>
      </c>
      <c r="B941" s="2" t="s">
        <v>6</v>
      </c>
      <c r="C941" s="2" t="s">
        <v>7</v>
      </c>
      <c r="D941" s="2" t="s">
        <v>8</v>
      </c>
      <c r="E941" s="2" t="s">
        <v>9</v>
      </c>
      <c r="F941" s="2" t="s">
        <v>10</v>
      </c>
      <c r="G941" s="2" t="s">
        <v>11</v>
      </c>
      <c r="H941" s="2" t="s">
        <v>12</v>
      </c>
      <c r="I941" s="2" t="s">
        <v>13</v>
      </c>
      <c r="J941" s="2" t="s">
        <v>14</v>
      </c>
      <c r="K941" s="2" t="s">
        <v>15</v>
      </c>
      <c r="L941" s="2" t="s">
        <v>16</v>
      </c>
    </row>
    <row r="942" spans="1:12" x14ac:dyDescent="0.25">
      <c r="A942" s="3">
        <v>45699.282210648147</v>
      </c>
      <c r="B942" t="s">
        <v>84</v>
      </c>
      <c r="C942" s="3">
        <v>45699.411250000005</v>
      </c>
      <c r="D942" t="s">
        <v>138</v>
      </c>
      <c r="E942" s="4">
        <v>50.795999999999999</v>
      </c>
      <c r="F942" s="4">
        <v>81389.615000000005</v>
      </c>
      <c r="G942" s="4">
        <v>81440.410999999993</v>
      </c>
      <c r="H942" s="5">
        <f>3880 / 86400</f>
        <v>4.490740740740741E-2</v>
      </c>
      <c r="I942" t="s">
        <v>45</v>
      </c>
      <c r="J942" t="s">
        <v>37</v>
      </c>
      <c r="K942" s="5">
        <f>11149 / 86400</f>
        <v>0.12903935185185186</v>
      </c>
      <c r="L942" s="5">
        <f>25172 / 86400</f>
        <v>0.2913425925925926</v>
      </c>
    </row>
    <row r="943" spans="1:12" x14ac:dyDescent="0.25">
      <c r="A943" s="3">
        <v>45699.420381944445</v>
      </c>
      <c r="B943" t="s">
        <v>136</v>
      </c>
      <c r="C943" s="3">
        <v>45699.553761574076</v>
      </c>
      <c r="D943" t="s">
        <v>408</v>
      </c>
      <c r="E943" s="4">
        <v>53.395000000000003</v>
      </c>
      <c r="F943" s="4">
        <v>81440.410999999993</v>
      </c>
      <c r="G943" s="4">
        <v>81493.805999999997</v>
      </c>
      <c r="H943" s="5">
        <f>3501 / 86400</f>
        <v>4.0520833333333332E-2</v>
      </c>
      <c r="I943" t="s">
        <v>45</v>
      </c>
      <c r="J943" t="s">
        <v>42</v>
      </c>
      <c r="K943" s="5">
        <f>11524 / 86400</f>
        <v>0.13337962962962963</v>
      </c>
      <c r="L943" s="5">
        <f>2 / 86400</f>
        <v>2.3148148148148147E-5</v>
      </c>
    </row>
    <row r="944" spans="1:12" x14ac:dyDescent="0.25">
      <c r="A944" s="3">
        <v>45699.553784722222</v>
      </c>
      <c r="B944" t="s">
        <v>408</v>
      </c>
      <c r="C944" s="3">
        <v>45699.553807870368</v>
      </c>
      <c r="D944" t="s">
        <v>408</v>
      </c>
      <c r="E944" s="4">
        <v>0</v>
      </c>
      <c r="F944" s="4">
        <v>81493.805999999997</v>
      </c>
      <c r="G944" s="4">
        <v>81493.805999999997</v>
      </c>
      <c r="H944" s="5">
        <f>0 / 86400</f>
        <v>0</v>
      </c>
      <c r="I944" t="s">
        <v>88</v>
      </c>
      <c r="J944" t="s">
        <v>88</v>
      </c>
      <c r="K944" s="5">
        <f>2 / 86400</f>
        <v>2.3148148148148147E-5</v>
      </c>
      <c r="L944" s="5">
        <f>367 / 86400</f>
        <v>4.2476851851851851E-3</v>
      </c>
    </row>
    <row r="945" spans="1:12" x14ac:dyDescent="0.25">
      <c r="A945" s="3">
        <v>45699.558055555557</v>
      </c>
      <c r="B945" t="s">
        <v>408</v>
      </c>
      <c r="C945" s="3">
        <v>45699.561064814814</v>
      </c>
      <c r="D945" t="s">
        <v>84</v>
      </c>
      <c r="E945" s="4">
        <v>1.196</v>
      </c>
      <c r="F945" s="4">
        <v>81493.805999999997</v>
      </c>
      <c r="G945" s="4">
        <v>81495.001999999993</v>
      </c>
      <c r="H945" s="5">
        <f>39 / 86400</f>
        <v>4.5138888888888887E-4</v>
      </c>
      <c r="I945" t="s">
        <v>171</v>
      </c>
      <c r="J945" t="s">
        <v>42</v>
      </c>
      <c r="K945" s="5">
        <f>259 / 86400</f>
        <v>2.9976851851851853E-3</v>
      </c>
      <c r="L945" s="5">
        <f>22387 / 86400</f>
        <v>0.2591087962962963</v>
      </c>
    </row>
    <row r="946" spans="1:12" x14ac:dyDescent="0.25">
      <c r="A946" s="3">
        <v>45699.820173611108</v>
      </c>
      <c r="B946" t="s">
        <v>84</v>
      </c>
      <c r="C946" s="3">
        <v>45699.875335648147</v>
      </c>
      <c r="D946" t="s">
        <v>84</v>
      </c>
      <c r="E946" s="4">
        <v>2.129</v>
      </c>
      <c r="F946" s="4">
        <v>81495.001999999993</v>
      </c>
      <c r="G946" s="4">
        <v>81497.130999999994</v>
      </c>
      <c r="H946" s="5">
        <f>3379 / 86400</f>
        <v>3.9108796296296294E-2</v>
      </c>
      <c r="I946" t="s">
        <v>26</v>
      </c>
      <c r="J946" t="s">
        <v>57</v>
      </c>
      <c r="K946" s="5">
        <f>4766 / 86400</f>
        <v>5.5162037037037037E-2</v>
      </c>
      <c r="L946" s="5">
        <f>10770 / 86400</f>
        <v>0.12465277777777778</v>
      </c>
    </row>
    <row r="947" spans="1:12" x14ac:dyDescent="0.25">
      <c r="A947" s="11"/>
      <c r="B947" s="11"/>
      <c r="C947" s="11"/>
      <c r="D947" s="11"/>
      <c r="E947" s="11"/>
      <c r="F947" s="11"/>
      <c r="G947" s="11"/>
      <c r="H947" s="11"/>
      <c r="I947" s="11"/>
      <c r="J947" s="11"/>
    </row>
    <row r="948" spans="1:12" x14ac:dyDescent="0.25">
      <c r="A948" s="11"/>
      <c r="B948" s="11"/>
      <c r="C948" s="11"/>
      <c r="D948" s="11"/>
      <c r="E948" s="11"/>
      <c r="F948" s="11"/>
      <c r="G948" s="11"/>
      <c r="H948" s="11"/>
      <c r="I948" s="11"/>
      <c r="J948" s="11"/>
    </row>
    <row r="949" spans="1:12" s="10" customFormat="1" ht="20.100000000000001" customHeight="1" x14ac:dyDescent="0.35">
      <c r="A949" s="12" t="s">
        <v>480</v>
      </c>
      <c r="B949" s="12"/>
      <c r="C949" s="12"/>
      <c r="D949" s="12"/>
      <c r="E949" s="12"/>
      <c r="F949" s="12"/>
      <c r="G949" s="12"/>
      <c r="H949" s="12"/>
      <c r="I949" s="12"/>
      <c r="J949" s="12"/>
    </row>
    <row r="950" spans="1:12" x14ac:dyDescent="0.25">
      <c r="A950" s="11"/>
      <c r="B950" s="11"/>
      <c r="C950" s="11"/>
      <c r="D950" s="11"/>
      <c r="E950" s="11"/>
      <c r="F950" s="11"/>
      <c r="G950" s="11"/>
      <c r="H950" s="11"/>
      <c r="I950" s="11"/>
      <c r="J950" s="11"/>
    </row>
    <row r="951" spans="1:12" ht="30" x14ac:dyDescent="0.25">
      <c r="A951" s="2" t="s">
        <v>5</v>
      </c>
      <c r="B951" s="2" t="s">
        <v>6</v>
      </c>
      <c r="C951" s="2" t="s">
        <v>7</v>
      </c>
      <c r="D951" s="2" t="s">
        <v>8</v>
      </c>
      <c r="E951" s="2" t="s">
        <v>9</v>
      </c>
      <c r="F951" s="2" t="s">
        <v>10</v>
      </c>
      <c r="G951" s="2" t="s">
        <v>11</v>
      </c>
      <c r="H951" s="2" t="s">
        <v>12</v>
      </c>
      <c r="I951" s="2" t="s">
        <v>13</v>
      </c>
      <c r="J951" s="2" t="s">
        <v>14</v>
      </c>
      <c r="K951" s="2" t="s">
        <v>15</v>
      </c>
      <c r="L951" s="2" t="s">
        <v>16</v>
      </c>
    </row>
    <row r="952" spans="1:12" x14ac:dyDescent="0.25">
      <c r="A952" s="3">
        <v>45699.212025462963</v>
      </c>
      <c r="B952" t="s">
        <v>85</v>
      </c>
      <c r="C952" s="3">
        <v>45699.215358796297</v>
      </c>
      <c r="D952" t="s">
        <v>158</v>
      </c>
      <c r="E952" s="4">
        <v>0.63500000000000001</v>
      </c>
      <c r="F952" s="4">
        <v>469260.087</v>
      </c>
      <c r="G952" s="4">
        <v>469260.72200000001</v>
      </c>
      <c r="H952" s="5">
        <f>59 / 86400</f>
        <v>6.8287037037037036E-4</v>
      </c>
      <c r="I952" t="s">
        <v>22</v>
      </c>
      <c r="J952" t="s">
        <v>125</v>
      </c>
      <c r="K952" s="5">
        <f>287 / 86400</f>
        <v>3.3217592592592591E-3</v>
      </c>
      <c r="L952" s="5">
        <f>19644 / 86400</f>
        <v>0.22736111111111112</v>
      </c>
    </row>
    <row r="953" spans="1:12" x14ac:dyDescent="0.25">
      <c r="A953" s="3">
        <v>45699.230694444443</v>
      </c>
      <c r="B953" t="s">
        <v>158</v>
      </c>
      <c r="C953" s="3">
        <v>45699.231712962966</v>
      </c>
      <c r="D953" t="s">
        <v>278</v>
      </c>
      <c r="E953" s="4">
        <v>3.6999999999999998E-2</v>
      </c>
      <c r="F953" s="4">
        <v>469260.72200000001</v>
      </c>
      <c r="G953" s="4">
        <v>469260.75900000002</v>
      </c>
      <c r="H953" s="5">
        <f>80 / 86400</f>
        <v>9.2592592592592596E-4</v>
      </c>
      <c r="I953" t="s">
        <v>148</v>
      </c>
      <c r="J953" t="s">
        <v>57</v>
      </c>
      <c r="K953" s="5">
        <f>87 / 86400</f>
        <v>1.0069444444444444E-3</v>
      </c>
      <c r="L953" s="5">
        <f>282 / 86400</f>
        <v>3.2638888888888891E-3</v>
      </c>
    </row>
    <row r="954" spans="1:12" x14ac:dyDescent="0.25">
      <c r="A954" s="3">
        <v>45699.234976851847</v>
      </c>
      <c r="B954" t="s">
        <v>278</v>
      </c>
      <c r="C954" s="3">
        <v>45699.492581018523</v>
      </c>
      <c r="D954" t="s">
        <v>371</v>
      </c>
      <c r="E954" s="4">
        <v>103.642</v>
      </c>
      <c r="F954" s="4">
        <v>469260.75900000002</v>
      </c>
      <c r="G954" s="4">
        <v>469364.40100000001</v>
      </c>
      <c r="H954" s="5">
        <f>7699 / 86400</f>
        <v>8.9108796296296297E-2</v>
      </c>
      <c r="I954" t="s">
        <v>86</v>
      </c>
      <c r="J954" t="s">
        <v>42</v>
      </c>
      <c r="K954" s="5">
        <f>22257 / 86400</f>
        <v>0.25760416666666669</v>
      </c>
      <c r="L954" s="5">
        <f>2303 / 86400</f>
        <v>2.6655092592592591E-2</v>
      </c>
    </row>
    <row r="955" spans="1:12" x14ac:dyDescent="0.25">
      <c r="A955" s="3">
        <v>45699.519236111111</v>
      </c>
      <c r="B955" t="s">
        <v>371</v>
      </c>
      <c r="C955" s="3">
        <v>45699.611481481479</v>
      </c>
      <c r="D955" t="s">
        <v>433</v>
      </c>
      <c r="E955" s="4">
        <v>38.780999999999999</v>
      </c>
      <c r="F955" s="4">
        <v>469364.40100000001</v>
      </c>
      <c r="G955" s="4">
        <v>469403.18199999997</v>
      </c>
      <c r="H955" s="5">
        <f>3219 / 86400</f>
        <v>3.7256944444444447E-2</v>
      </c>
      <c r="I955" t="s">
        <v>45</v>
      </c>
      <c r="J955" t="s">
        <v>26</v>
      </c>
      <c r="K955" s="5">
        <f>7970 / 86400</f>
        <v>9.2245370370370366E-2</v>
      </c>
      <c r="L955" s="5">
        <f>2414 / 86400</f>
        <v>2.7939814814814813E-2</v>
      </c>
    </row>
    <row r="956" spans="1:12" x14ac:dyDescent="0.25">
      <c r="A956" s="3">
        <v>45699.639421296291</v>
      </c>
      <c r="B956" t="s">
        <v>433</v>
      </c>
      <c r="C956" s="3">
        <v>45699.741249999999</v>
      </c>
      <c r="D956" t="s">
        <v>105</v>
      </c>
      <c r="E956" s="4">
        <v>39.281999999999996</v>
      </c>
      <c r="F956" s="4">
        <v>469403.18199999997</v>
      </c>
      <c r="G956" s="4">
        <v>469442.46399999998</v>
      </c>
      <c r="H956" s="5">
        <f>2659 / 86400</f>
        <v>3.0775462962962963E-2</v>
      </c>
      <c r="I956" t="s">
        <v>32</v>
      </c>
      <c r="J956" t="s">
        <v>37</v>
      </c>
      <c r="K956" s="5">
        <f>8798 / 86400</f>
        <v>0.1018287037037037</v>
      </c>
      <c r="L956" s="5">
        <f>704 / 86400</f>
        <v>8.1481481481481474E-3</v>
      </c>
    </row>
    <row r="957" spans="1:12" x14ac:dyDescent="0.25">
      <c r="A957" s="3">
        <v>45699.749398148153</v>
      </c>
      <c r="B957" t="s">
        <v>105</v>
      </c>
      <c r="C957" s="3">
        <v>45699.75136574074</v>
      </c>
      <c r="D957" t="s">
        <v>417</v>
      </c>
      <c r="E957" s="4">
        <v>0.55700000000000005</v>
      </c>
      <c r="F957" s="4">
        <v>469442.46399999998</v>
      </c>
      <c r="G957" s="4">
        <v>469443.02100000001</v>
      </c>
      <c r="H957" s="5">
        <f>40 / 86400</f>
        <v>4.6296296296296298E-4</v>
      </c>
      <c r="I957" t="s">
        <v>203</v>
      </c>
      <c r="J957" t="s">
        <v>131</v>
      </c>
      <c r="K957" s="5">
        <f>170 / 86400</f>
        <v>1.9675925925925924E-3</v>
      </c>
      <c r="L957" s="5">
        <f>51 / 86400</f>
        <v>5.9027777777777778E-4</v>
      </c>
    </row>
    <row r="958" spans="1:12" x14ac:dyDescent="0.25">
      <c r="A958" s="3">
        <v>45699.751956018517</v>
      </c>
      <c r="B958" t="s">
        <v>417</v>
      </c>
      <c r="C958" s="3">
        <v>45699.754317129627</v>
      </c>
      <c r="D958" t="s">
        <v>85</v>
      </c>
      <c r="E958" s="4">
        <v>0.47599999999999998</v>
      </c>
      <c r="F958" s="4">
        <v>469443.02100000001</v>
      </c>
      <c r="G958" s="4">
        <v>469443.49699999997</v>
      </c>
      <c r="H958" s="5">
        <f>40 / 86400</f>
        <v>4.6296296296296298E-4</v>
      </c>
      <c r="I958" t="s">
        <v>141</v>
      </c>
      <c r="J958" t="s">
        <v>125</v>
      </c>
      <c r="K958" s="5">
        <f>203 / 86400</f>
        <v>2.3495370370370371E-3</v>
      </c>
      <c r="L958" s="5">
        <f>21226 / 86400</f>
        <v>0.2456712962962963</v>
      </c>
    </row>
    <row r="959" spans="1:12" x14ac:dyDescent="0.25">
      <c r="A959" s="11"/>
      <c r="B959" s="11"/>
      <c r="C959" s="11"/>
      <c r="D959" s="11"/>
      <c r="E959" s="11"/>
      <c r="F959" s="11"/>
      <c r="G959" s="11"/>
      <c r="H959" s="11"/>
      <c r="I959" s="11"/>
      <c r="J959" s="11"/>
    </row>
    <row r="960" spans="1:12" x14ac:dyDescent="0.25">
      <c r="A960" s="11"/>
      <c r="B960" s="11"/>
      <c r="C960" s="11"/>
      <c r="D960" s="11"/>
      <c r="E960" s="11"/>
      <c r="F960" s="11"/>
      <c r="G960" s="11"/>
      <c r="H960" s="11"/>
      <c r="I960" s="11"/>
      <c r="J960" s="11"/>
    </row>
    <row r="961" spans="1:12" s="10" customFormat="1" ht="20.100000000000001" customHeight="1" x14ac:dyDescent="0.35">
      <c r="A961" s="12" t="s">
        <v>481</v>
      </c>
      <c r="B961" s="12"/>
      <c r="C961" s="12"/>
      <c r="D961" s="12"/>
      <c r="E961" s="12"/>
      <c r="F961" s="12"/>
      <c r="G961" s="12"/>
      <c r="H961" s="12"/>
      <c r="I961" s="12"/>
      <c r="J961" s="12"/>
    </row>
    <row r="962" spans="1:12" x14ac:dyDescent="0.25">
      <c r="A962" s="11"/>
      <c r="B962" s="11"/>
      <c r="C962" s="11"/>
      <c r="D962" s="11"/>
      <c r="E962" s="11"/>
      <c r="F962" s="11"/>
      <c r="G962" s="11"/>
      <c r="H962" s="11"/>
      <c r="I962" s="11"/>
      <c r="J962" s="11"/>
    </row>
    <row r="963" spans="1:12" ht="30" x14ac:dyDescent="0.25">
      <c r="A963" s="2" t="s">
        <v>5</v>
      </c>
      <c r="B963" s="2" t="s">
        <v>6</v>
      </c>
      <c r="C963" s="2" t="s">
        <v>7</v>
      </c>
      <c r="D963" s="2" t="s">
        <v>8</v>
      </c>
      <c r="E963" s="2" t="s">
        <v>9</v>
      </c>
      <c r="F963" s="2" t="s">
        <v>10</v>
      </c>
      <c r="G963" s="2" t="s">
        <v>11</v>
      </c>
      <c r="H963" s="2" t="s">
        <v>12</v>
      </c>
      <c r="I963" s="2" t="s">
        <v>13</v>
      </c>
      <c r="J963" s="2" t="s">
        <v>14</v>
      </c>
      <c r="K963" s="2" t="s">
        <v>15</v>
      </c>
      <c r="L963" s="2" t="s">
        <v>16</v>
      </c>
    </row>
    <row r="964" spans="1:12" x14ac:dyDescent="0.25">
      <c r="A964" s="3">
        <v>45699.265138888892</v>
      </c>
      <c r="B964" t="s">
        <v>87</v>
      </c>
      <c r="C964" s="3">
        <v>45699.535833333328</v>
      </c>
      <c r="D964" t="s">
        <v>87</v>
      </c>
      <c r="E964" s="4">
        <v>0</v>
      </c>
      <c r="F964" s="4">
        <v>428213.33600000001</v>
      </c>
      <c r="G964" s="4">
        <v>428213.33600000001</v>
      </c>
      <c r="H964" s="5">
        <f>23379 / 86400</f>
        <v>0.27059027777777778</v>
      </c>
      <c r="I964" t="s">
        <v>88</v>
      </c>
      <c r="J964" t="s">
        <v>88</v>
      </c>
      <c r="K964" s="5">
        <f>23388 / 86400</f>
        <v>0.27069444444444446</v>
      </c>
      <c r="L964" s="5">
        <f>22911 / 86400</f>
        <v>0.2651736111111111</v>
      </c>
    </row>
    <row r="965" spans="1:12" x14ac:dyDescent="0.25">
      <c r="A965" s="3">
        <v>45699.535868055551</v>
      </c>
      <c r="B965" t="s">
        <v>87</v>
      </c>
      <c r="C965" s="3">
        <v>45699.535937499997</v>
      </c>
      <c r="D965" t="s">
        <v>87</v>
      </c>
      <c r="E965" s="4">
        <v>0</v>
      </c>
      <c r="F965" s="4">
        <v>428213.33600000001</v>
      </c>
      <c r="G965" s="4">
        <v>428213.33600000001</v>
      </c>
      <c r="H965" s="5">
        <f>0 / 86400</f>
        <v>0</v>
      </c>
      <c r="I965" t="s">
        <v>88</v>
      </c>
      <c r="J965" t="s">
        <v>88</v>
      </c>
      <c r="K965" s="5">
        <f>6 / 86400</f>
        <v>6.9444444444444444E-5</v>
      </c>
      <c r="L965" s="5">
        <f>4665 / 86400</f>
        <v>5.3993055555555558E-2</v>
      </c>
    </row>
    <row r="966" spans="1:12" x14ac:dyDescent="0.25">
      <c r="A966" s="3">
        <v>45699.58993055555</v>
      </c>
      <c r="B966" t="s">
        <v>87</v>
      </c>
      <c r="C966" s="3">
        <v>45699.592199074075</v>
      </c>
      <c r="D966" t="s">
        <v>87</v>
      </c>
      <c r="E966" s="4">
        <v>0</v>
      </c>
      <c r="F966" s="4">
        <v>428213.33600000001</v>
      </c>
      <c r="G966" s="4">
        <v>428213.33600000001</v>
      </c>
      <c r="H966" s="5">
        <f>179 / 86400</f>
        <v>2.0717592592592593E-3</v>
      </c>
      <c r="I966" t="s">
        <v>88</v>
      </c>
      <c r="J966" t="s">
        <v>88</v>
      </c>
      <c r="K966" s="5">
        <f>195 / 86400</f>
        <v>2.2569444444444442E-3</v>
      </c>
      <c r="L966" s="5">
        <f>2 / 86400</f>
        <v>2.3148148148148147E-5</v>
      </c>
    </row>
    <row r="967" spans="1:12" x14ac:dyDescent="0.25">
      <c r="A967" s="3">
        <v>45699.592222222222</v>
      </c>
      <c r="B967" t="s">
        <v>87</v>
      </c>
      <c r="C967" s="3">
        <v>45699.592349537037</v>
      </c>
      <c r="D967" t="s">
        <v>87</v>
      </c>
      <c r="E967" s="4">
        <v>0</v>
      </c>
      <c r="F967" s="4">
        <v>428213.33600000001</v>
      </c>
      <c r="G967" s="4">
        <v>428213.33600000001</v>
      </c>
      <c r="H967" s="5">
        <f>2 / 86400</f>
        <v>2.3148148148148147E-5</v>
      </c>
      <c r="I967" t="s">
        <v>88</v>
      </c>
      <c r="J967" t="s">
        <v>88</v>
      </c>
      <c r="K967" s="5">
        <f>11 / 86400</f>
        <v>1.273148148148148E-4</v>
      </c>
      <c r="L967" s="5">
        <f>59 / 86400</f>
        <v>6.8287037037037036E-4</v>
      </c>
    </row>
    <row r="968" spans="1:12" x14ac:dyDescent="0.25">
      <c r="A968" s="3">
        <v>45699.593032407407</v>
      </c>
      <c r="B968" t="s">
        <v>87</v>
      </c>
      <c r="C968" s="3">
        <v>45699.594814814816</v>
      </c>
      <c r="D968" t="s">
        <v>87</v>
      </c>
      <c r="E968" s="4">
        <v>0</v>
      </c>
      <c r="F968" s="4">
        <v>428213.33600000001</v>
      </c>
      <c r="G968" s="4">
        <v>428213.33600000001</v>
      </c>
      <c r="H968" s="5">
        <f>139 / 86400</f>
        <v>1.6087962962962963E-3</v>
      </c>
      <c r="I968" t="s">
        <v>88</v>
      </c>
      <c r="J968" t="s">
        <v>88</v>
      </c>
      <c r="K968" s="5">
        <f>153 / 86400</f>
        <v>1.7708333333333332E-3</v>
      </c>
      <c r="L968" s="5">
        <f>540 / 86400</f>
        <v>6.2500000000000003E-3</v>
      </c>
    </row>
    <row r="969" spans="1:12" x14ac:dyDescent="0.25">
      <c r="A969" s="3">
        <v>45699.601064814815</v>
      </c>
      <c r="B969" t="s">
        <v>87</v>
      </c>
      <c r="C969" s="3">
        <v>45699.602986111116</v>
      </c>
      <c r="D969" t="s">
        <v>87</v>
      </c>
      <c r="E969" s="4">
        <v>0</v>
      </c>
      <c r="F969" s="4">
        <v>428213.33600000001</v>
      </c>
      <c r="G969" s="4">
        <v>428213.33600000001</v>
      </c>
      <c r="H969" s="5">
        <f>159 / 86400</f>
        <v>1.8402777777777777E-3</v>
      </c>
      <c r="I969" t="s">
        <v>88</v>
      </c>
      <c r="J969" t="s">
        <v>88</v>
      </c>
      <c r="K969" s="5">
        <f>166 / 86400</f>
        <v>1.9212962962962964E-3</v>
      </c>
      <c r="L969" s="5">
        <f>848 / 86400</f>
        <v>9.8148148148148144E-3</v>
      </c>
    </row>
    <row r="970" spans="1:12" x14ac:dyDescent="0.25">
      <c r="A970" s="3">
        <v>45699.612800925926</v>
      </c>
      <c r="B970" t="s">
        <v>87</v>
      </c>
      <c r="C970" s="3">
        <v>45699.615347222221</v>
      </c>
      <c r="D970" t="s">
        <v>87</v>
      </c>
      <c r="E970" s="4">
        <v>0</v>
      </c>
      <c r="F970" s="4">
        <v>428213.33600000001</v>
      </c>
      <c r="G970" s="4">
        <v>428213.33600000001</v>
      </c>
      <c r="H970" s="5">
        <f>199 / 86400</f>
        <v>2.3032407407407407E-3</v>
      </c>
      <c r="I970" t="s">
        <v>88</v>
      </c>
      <c r="J970" t="s">
        <v>88</v>
      </c>
      <c r="K970" s="5">
        <f>219 / 86400</f>
        <v>2.5347222222222221E-3</v>
      </c>
      <c r="L970" s="5">
        <f>117 / 86400</f>
        <v>1.3541666666666667E-3</v>
      </c>
    </row>
    <row r="971" spans="1:12" x14ac:dyDescent="0.25">
      <c r="A971" s="3">
        <v>45699.616701388892</v>
      </c>
      <c r="B971" t="s">
        <v>87</v>
      </c>
      <c r="C971" s="3">
        <v>45699.747442129628</v>
      </c>
      <c r="D971" t="s">
        <v>87</v>
      </c>
      <c r="E971" s="4">
        <v>0</v>
      </c>
      <c r="F971" s="4">
        <v>428213.33600000001</v>
      </c>
      <c r="G971" s="4">
        <v>428213.33600000001</v>
      </c>
      <c r="H971" s="5">
        <f>11289 / 86400</f>
        <v>0.13065972222222222</v>
      </c>
      <c r="I971" t="s">
        <v>88</v>
      </c>
      <c r="J971" t="s">
        <v>88</v>
      </c>
      <c r="K971" s="5">
        <f>11295 / 86400</f>
        <v>0.13072916666666667</v>
      </c>
      <c r="L971" s="5">
        <f>79 / 86400</f>
        <v>9.1435185185185185E-4</v>
      </c>
    </row>
    <row r="972" spans="1:12" x14ac:dyDescent="0.25">
      <c r="A972" s="3">
        <v>45699.748356481483</v>
      </c>
      <c r="B972" t="s">
        <v>87</v>
      </c>
      <c r="C972" s="3">
        <v>45699.902731481481</v>
      </c>
      <c r="D972" t="s">
        <v>87</v>
      </c>
      <c r="E972" s="4">
        <v>0</v>
      </c>
      <c r="F972" s="4">
        <v>428213.33600000001</v>
      </c>
      <c r="G972" s="4">
        <v>428213.33600000001</v>
      </c>
      <c r="H972" s="5">
        <f>13319 / 86400</f>
        <v>0.15415509259259258</v>
      </c>
      <c r="I972" t="s">
        <v>88</v>
      </c>
      <c r="J972" t="s">
        <v>88</v>
      </c>
      <c r="K972" s="5">
        <f>13338 / 86400</f>
        <v>0.15437500000000001</v>
      </c>
      <c r="L972" s="5">
        <f>741 / 86400</f>
        <v>8.5763888888888886E-3</v>
      </c>
    </row>
    <row r="973" spans="1:12" x14ac:dyDescent="0.25">
      <c r="A973" s="3">
        <v>45699.911307870367</v>
      </c>
      <c r="B973" t="s">
        <v>87</v>
      </c>
      <c r="C973" s="3">
        <v>45699.911481481482</v>
      </c>
      <c r="D973" t="s">
        <v>87</v>
      </c>
      <c r="E973" s="4">
        <v>0</v>
      </c>
      <c r="F973" s="4">
        <v>428213.33600000001</v>
      </c>
      <c r="G973" s="4">
        <v>428213.33600000001</v>
      </c>
      <c r="H973" s="5">
        <f>0 / 86400</f>
        <v>0</v>
      </c>
      <c r="I973" t="s">
        <v>88</v>
      </c>
      <c r="J973" t="s">
        <v>88</v>
      </c>
      <c r="K973" s="5">
        <f>15 / 86400</f>
        <v>1.7361111111111112E-4</v>
      </c>
      <c r="L973" s="5">
        <f>135 / 86400</f>
        <v>1.5625000000000001E-3</v>
      </c>
    </row>
    <row r="974" spans="1:12" x14ac:dyDescent="0.25">
      <c r="A974" s="3">
        <v>45699.913043981476</v>
      </c>
      <c r="B974" t="s">
        <v>87</v>
      </c>
      <c r="C974" s="3">
        <v>45699.915960648148</v>
      </c>
      <c r="D974" t="s">
        <v>87</v>
      </c>
      <c r="E974" s="4">
        <v>0</v>
      </c>
      <c r="F974" s="4">
        <v>428213.33600000001</v>
      </c>
      <c r="G974" s="4">
        <v>428213.33600000001</v>
      </c>
      <c r="H974" s="5">
        <f>239 / 86400</f>
        <v>2.7662037037037039E-3</v>
      </c>
      <c r="I974" t="s">
        <v>88</v>
      </c>
      <c r="J974" t="s">
        <v>88</v>
      </c>
      <c r="K974" s="5">
        <f>252 / 86400</f>
        <v>2.9166666666666668E-3</v>
      </c>
      <c r="L974" s="5">
        <f>7260 / 86400</f>
        <v>8.4027777777777785E-2</v>
      </c>
    </row>
    <row r="975" spans="1:12" x14ac:dyDescent="0.25">
      <c r="A975" s="11"/>
      <c r="B975" s="11"/>
      <c r="C975" s="11"/>
      <c r="D975" s="11"/>
      <c r="E975" s="11"/>
      <c r="F975" s="11"/>
      <c r="G975" s="11"/>
      <c r="H975" s="11"/>
      <c r="I975" s="11"/>
      <c r="J975" s="11"/>
    </row>
    <row r="976" spans="1:12" x14ac:dyDescent="0.25">
      <c r="A976" s="11"/>
      <c r="B976" s="11"/>
      <c r="C976" s="11"/>
      <c r="D976" s="11"/>
      <c r="E976" s="11"/>
      <c r="F976" s="11"/>
      <c r="G976" s="11"/>
      <c r="H976" s="11"/>
      <c r="I976" s="11"/>
      <c r="J976" s="11"/>
    </row>
    <row r="977" spans="1:12" s="10" customFormat="1" ht="20.100000000000001" customHeight="1" x14ac:dyDescent="0.35">
      <c r="A977" s="12" t="s">
        <v>482</v>
      </c>
      <c r="B977" s="12"/>
      <c r="C977" s="12"/>
      <c r="D977" s="12"/>
      <c r="E977" s="12"/>
      <c r="F977" s="12"/>
      <c r="G977" s="12"/>
      <c r="H977" s="12"/>
      <c r="I977" s="12"/>
      <c r="J977" s="12"/>
    </row>
    <row r="978" spans="1:12" x14ac:dyDescent="0.25">
      <c r="A978" s="11"/>
      <c r="B978" s="11"/>
      <c r="C978" s="11"/>
      <c r="D978" s="11"/>
      <c r="E978" s="11"/>
      <c r="F978" s="11"/>
      <c r="G978" s="11"/>
      <c r="H978" s="11"/>
      <c r="I978" s="11"/>
      <c r="J978" s="11"/>
    </row>
    <row r="979" spans="1:12" ht="30" x14ac:dyDescent="0.25">
      <c r="A979" s="2" t="s">
        <v>5</v>
      </c>
      <c r="B979" s="2" t="s">
        <v>6</v>
      </c>
      <c r="C979" s="2" t="s">
        <v>7</v>
      </c>
      <c r="D979" s="2" t="s">
        <v>8</v>
      </c>
      <c r="E979" s="2" t="s">
        <v>9</v>
      </c>
      <c r="F979" s="2" t="s">
        <v>10</v>
      </c>
      <c r="G979" s="2" t="s">
        <v>11</v>
      </c>
      <c r="H979" s="2" t="s">
        <v>12</v>
      </c>
      <c r="I979" s="2" t="s">
        <v>13</v>
      </c>
      <c r="J979" s="2" t="s">
        <v>14</v>
      </c>
      <c r="K979" s="2" t="s">
        <v>15</v>
      </c>
      <c r="L979" s="2" t="s">
        <v>16</v>
      </c>
    </row>
    <row r="980" spans="1:12" x14ac:dyDescent="0.25">
      <c r="A980" s="3">
        <v>45699.22655092593</v>
      </c>
      <c r="B980" t="s">
        <v>30</v>
      </c>
      <c r="C980" s="3">
        <v>45699.440925925926</v>
      </c>
      <c r="D980" t="s">
        <v>144</v>
      </c>
      <c r="E980" s="4">
        <v>85.284999999999997</v>
      </c>
      <c r="F980" s="4">
        <v>575094.45900000003</v>
      </c>
      <c r="G980" s="4">
        <v>575179.74399999995</v>
      </c>
      <c r="H980" s="5">
        <f>6109 / 86400</f>
        <v>7.0706018518518515E-2</v>
      </c>
      <c r="I980" t="s">
        <v>21</v>
      </c>
      <c r="J980" t="s">
        <v>42</v>
      </c>
      <c r="K980" s="5">
        <f>18522 / 86400</f>
        <v>0.21437500000000001</v>
      </c>
      <c r="L980" s="5">
        <f>22274 / 86400</f>
        <v>0.25780092592592591</v>
      </c>
    </row>
    <row r="981" spans="1:12" x14ac:dyDescent="0.25">
      <c r="A981" s="3">
        <v>45699.472175925926</v>
      </c>
      <c r="B981" t="s">
        <v>159</v>
      </c>
      <c r="C981" s="3">
        <v>45699.477743055555</v>
      </c>
      <c r="D981" t="s">
        <v>153</v>
      </c>
      <c r="E981" s="4">
        <v>1.268</v>
      </c>
      <c r="F981" s="4">
        <v>575179.74399999995</v>
      </c>
      <c r="G981" s="4">
        <v>575181.01199999999</v>
      </c>
      <c r="H981" s="5">
        <f>139 / 86400</f>
        <v>1.6087962962962963E-3</v>
      </c>
      <c r="I981" t="s">
        <v>193</v>
      </c>
      <c r="J981" t="s">
        <v>127</v>
      </c>
      <c r="K981" s="5">
        <f>481 / 86400</f>
        <v>5.5671296296296293E-3</v>
      </c>
      <c r="L981" s="5">
        <f>2718 / 86400</f>
        <v>3.1458333333333331E-2</v>
      </c>
    </row>
    <row r="982" spans="1:12" x14ac:dyDescent="0.25">
      <c r="A982" s="3">
        <v>45699.509201388893</v>
      </c>
      <c r="B982" t="s">
        <v>153</v>
      </c>
      <c r="C982" s="3">
        <v>45699.643275462964</v>
      </c>
      <c r="D982" t="s">
        <v>206</v>
      </c>
      <c r="E982" s="4">
        <v>49.881999999999998</v>
      </c>
      <c r="F982" s="4">
        <v>575181.01199999999</v>
      </c>
      <c r="G982" s="4">
        <v>575230.89399999997</v>
      </c>
      <c r="H982" s="5">
        <f>4678 / 86400</f>
        <v>5.4143518518518521E-2</v>
      </c>
      <c r="I982" t="s">
        <v>72</v>
      </c>
      <c r="J982" t="s">
        <v>37</v>
      </c>
      <c r="K982" s="5">
        <f>11583 / 86400</f>
        <v>0.1340625</v>
      </c>
      <c r="L982" s="5">
        <f>84 / 86400</f>
        <v>9.7222222222222219E-4</v>
      </c>
    </row>
    <row r="983" spans="1:12" x14ac:dyDescent="0.25">
      <c r="A983" s="3">
        <v>45699.644247685181</v>
      </c>
      <c r="B983" t="s">
        <v>206</v>
      </c>
      <c r="C983" s="3">
        <v>45699.930810185186</v>
      </c>
      <c r="D983" t="s">
        <v>30</v>
      </c>
      <c r="E983" s="4">
        <v>57.795999999999999</v>
      </c>
      <c r="F983" s="4">
        <v>575230.89399999997</v>
      </c>
      <c r="G983" s="4">
        <v>575288.68999999994</v>
      </c>
      <c r="H983" s="5">
        <f>13699 / 86400</f>
        <v>0.15855324074074073</v>
      </c>
      <c r="I983" t="s">
        <v>55</v>
      </c>
      <c r="J983" t="s">
        <v>125</v>
      </c>
      <c r="K983" s="5">
        <f>24759 / 86400</f>
        <v>0.2865625</v>
      </c>
      <c r="L983" s="5">
        <f>5977 / 86400</f>
        <v>6.9178240740740735E-2</v>
      </c>
    </row>
    <row r="984" spans="1:12" x14ac:dyDescent="0.25">
      <c r="A984" s="11"/>
      <c r="B984" s="11"/>
      <c r="C984" s="11"/>
      <c r="D984" s="11"/>
      <c r="E984" s="11"/>
      <c r="F984" s="11"/>
      <c r="G984" s="11"/>
      <c r="H984" s="11"/>
      <c r="I984" s="11"/>
      <c r="J984" s="11"/>
    </row>
    <row r="985" spans="1:12" x14ac:dyDescent="0.25">
      <c r="A985" s="11"/>
      <c r="B985" s="11"/>
      <c r="C985" s="11"/>
      <c r="D985" s="11"/>
      <c r="E985" s="11"/>
      <c r="F985" s="11"/>
      <c r="G985" s="11"/>
      <c r="H985" s="11"/>
      <c r="I985" s="11"/>
      <c r="J985" s="11"/>
    </row>
    <row r="986" spans="1:12" s="10" customFormat="1" ht="20.100000000000001" customHeight="1" x14ac:dyDescent="0.35">
      <c r="A986" s="12" t="s">
        <v>483</v>
      </c>
      <c r="B986" s="12"/>
      <c r="C986" s="12"/>
      <c r="D986" s="12"/>
      <c r="E986" s="12"/>
      <c r="F986" s="12"/>
      <c r="G986" s="12"/>
      <c r="H986" s="12"/>
      <c r="I986" s="12"/>
      <c r="J986" s="12"/>
    </row>
    <row r="987" spans="1:12" x14ac:dyDescent="0.25">
      <c r="A987" s="11"/>
      <c r="B987" s="11"/>
      <c r="C987" s="11"/>
      <c r="D987" s="11"/>
      <c r="E987" s="11"/>
      <c r="F987" s="11"/>
      <c r="G987" s="11"/>
      <c r="H987" s="11"/>
      <c r="I987" s="11"/>
      <c r="J987" s="11"/>
    </row>
    <row r="988" spans="1:12" ht="30" x14ac:dyDescent="0.25">
      <c r="A988" s="2" t="s">
        <v>5</v>
      </c>
      <c r="B988" s="2" t="s">
        <v>6</v>
      </c>
      <c r="C988" s="2" t="s">
        <v>7</v>
      </c>
      <c r="D988" s="2" t="s">
        <v>8</v>
      </c>
      <c r="E988" s="2" t="s">
        <v>9</v>
      </c>
      <c r="F988" s="2" t="s">
        <v>10</v>
      </c>
      <c r="G988" s="2" t="s">
        <v>11</v>
      </c>
      <c r="H988" s="2" t="s">
        <v>12</v>
      </c>
      <c r="I988" s="2" t="s">
        <v>13</v>
      </c>
      <c r="J988" s="2" t="s">
        <v>14</v>
      </c>
      <c r="K988" s="2" t="s">
        <v>15</v>
      </c>
      <c r="L988" s="2" t="s">
        <v>16</v>
      </c>
    </row>
    <row r="989" spans="1:12" x14ac:dyDescent="0.25">
      <c r="A989" s="3">
        <v>45699.243506944447</v>
      </c>
      <c r="B989" t="s">
        <v>89</v>
      </c>
      <c r="C989" s="3">
        <v>45699.580648148149</v>
      </c>
      <c r="D989" t="s">
        <v>151</v>
      </c>
      <c r="E989" s="4">
        <v>138.297</v>
      </c>
      <c r="F989" s="4">
        <v>416149.50699999998</v>
      </c>
      <c r="G989" s="4">
        <v>416287.804</v>
      </c>
      <c r="H989" s="5">
        <f>9720 / 86400</f>
        <v>0.1125</v>
      </c>
      <c r="I989" t="s">
        <v>25</v>
      </c>
      <c r="J989" t="s">
        <v>42</v>
      </c>
      <c r="K989" s="5">
        <f>29129 / 86400</f>
        <v>0.33714120370370371</v>
      </c>
      <c r="L989" s="5">
        <f>22803 / 86400</f>
        <v>0.26392361111111112</v>
      </c>
    </row>
    <row r="990" spans="1:12" x14ac:dyDescent="0.25">
      <c r="A990" s="3">
        <v>45699.601064814815</v>
      </c>
      <c r="B990" t="s">
        <v>151</v>
      </c>
      <c r="C990" s="3">
        <v>45699.601319444446</v>
      </c>
      <c r="D990" t="s">
        <v>151</v>
      </c>
      <c r="E990" s="4">
        <v>0.02</v>
      </c>
      <c r="F990" s="4">
        <v>416287.804</v>
      </c>
      <c r="G990" s="4">
        <v>416287.82400000002</v>
      </c>
      <c r="H990" s="5">
        <f>0 / 86400</f>
        <v>0</v>
      </c>
      <c r="I990" t="s">
        <v>148</v>
      </c>
      <c r="J990" t="s">
        <v>157</v>
      </c>
      <c r="K990" s="5">
        <f>21 / 86400</f>
        <v>2.4305555555555555E-4</v>
      </c>
      <c r="L990" s="5">
        <f>118 / 86400</f>
        <v>1.3657407407407407E-3</v>
      </c>
    </row>
    <row r="991" spans="1:12" x14ac:dyDescent="0.25">
      <c r="A991" s="3">
        <v>45699.602685185186</v>
      </c>
      <c r="B991" t="s">
        <v>151</v>
      </c>
      <c r="C991" s="3">
        <v>45699.603645833333</v>
      </c>
      <c r="D991" t="s">
        <v>277</v>
      </c>
      <c r="E991" s="4">
        <v>0.13500000000000001</v>
      </c>
      <c r="F991" s="4">
        <v>416287.82400000002</v>
      </c>
      <c r="G991" s="4">
        <v>416287.95899999997</v>
      </c>
      <c r="H991" s="5">
        <f>20 / 86400</f>
        <v>2.3148148148148149E-4</v>
      </c>
      <c r="I991" t="s">
        <v>37</v>
      </c>
      <c r="J991" t="s">
        <v>128</v>
      </c>
      <c r="K991" s="5">
        <f>82 / 86400</f>
        <v>9.4907407407407408E-4</v>
      </c>
      <c r="L991" s="5">
        <f>212 / 86400</f>
        <v>2.4537037037037036E-3</v>
      </c>
    </row>
    <row r="992" spans="1:12" x14ac:dyDescent="0.25">
      <c r="A992" s="3">
        <v>45699.606099537035</v>
      </c>
      <c r="B992" t="s">
        <v>277</v>
      </c>
      <c r="C992" s="3">
        <v>45699.607534722221</v>
      </c>
      <c r="D992" t="s">
        <v>105</v>
      </c>
      <c r="E992" s="4">
        <v>0.11700000000000001</v>
      </c>
      <c r="F992" s="4">
        <v>416287.95899999997</v>
      </c>
      <c r="G992" s="4">
        <v>416288.076</v>
      </c>
      <c r="H992" s="5">
        <f>79 / 86400</f>
        <v>9.1435185185185185E-4</v>
      </c>
      <c r="I992" t="s">
        <v>160</v>
      </c>
      <c r="J992" t="s">
        <v>157</v>
      </c>
      <c r="K992" s="5">
        <f>123 / 86400</f>
        <v>1.4236111111111112E-3</v>
      </c>
      <c r="L992" s="5">
        <f>280 / 86400</f>
        <v>3.2407407407407406E-3</v>
      </c>
    </row>
    <row r="993" spans="1:12" x14ac:dyDescent="0.25">
      <c r="A993" s="3">
        <v>45699.610775462963</v>
      </c>
      <c r="B993" t="s">
        <v>105</v>
      </c>
      <c r="C993" s="3">
        <v>45699.613981481481</v>
      </c>
      <c r="D993" t="s">
        <v>105</v>
      </c>
      <c r="E993" s="4">
        <v>4.2000000000000003E-2</v>
      </c>
      <c r="F993" s="4">
        <v>416288.076</v>
      </c>
      <c r="G993" s="4">
        <v>416288.11800000002</v>
      </c>
      <c r="H993" s="5">
        <f>199 / 86400</f>
        <v>2.3032407407407407E-3</v>
      </c>
      <c r="I993" t="s">
        <v>28</v>
      </c>
      <c r="J993" t="s">
        <v>29</v>
      </c>
      <c r="K993" s="5">
        <f>277 / 86400</f>
        <v>3.2060185185185186E-3</v>
      </c>
      <c r="L993" s="5">
        <f>658 / 86400</f>
        <v>7.6157407407407406E-3</v>
      </c>
    </row>
    <row r="994" spans="1:12" x14ac:dyDescent="0.25">
      <c r="A994" s="3">
        <v>45699.621597222227</v>
      </c>
      <c r="B994" t="s">
        <v>105</v>
      </c>
      <c r="C994" s="3">
        <v>45699.833067129628</v>
      </c>
      <c r="D994" t="s">
        <v>89</v>
      </c>
      <c r="E994" s="4">
        <v>70.682000000000002</v>
      </c>
      <c r="F994" s="4">
        <v>416288.11800000002</v>
      </c>
      <c r="G994" s="4">
        <v>416358.8</v>
      </c>
      <c r="H994" s="5">
        <f>6875 / 86400</f>
        <v>7.9571759259259259E-2</v>
      </c>
      <c r="I994" t="s">
        <v>39</v>
      </c>
      <c r="J994" t="s">
        <v>31</v>
      </c>
      <c r="K994" s="5">
        <f>18270 / 86400</f>
        <v>0.21145833333333333</v>
      </c>
      <c r="L994" s="5">
        <f>14422 / 86400</f>
        <v>0.16692129629629629</v>
      </c>
    </row>
    <row r="995" spans="1:12" x14ac:dyDescent="0.25">
      <c r="A995" s="11"/>
      <c r="B995" s="11"/>
      <c r="C995" s="11"/>
      <c r="D995" s="11"/>
      <c r="E995" s="11"/>
      <c r="F995" s="11"/>
      <c r="G995" s="11"/>
      <c r="H995" s="11"/>
      <c r="I995" s="11"/>
      <c r="J995" s="11"/>
    </row>
    <row r="996" spans="1:12" x14ac:dyDescent="0.25">
      <c r="A996" s="11"/>
      <c r="B996" s="11"/>
      <c r="C996" s="11"/>
      <c r="D996" s="11"/>
      <c r="E996" s="11"/>
      <c r="F996" s="11"/>
      <c r="G996" s="11"/>
      <c r="H996" s="11"/>
      <c r="I996" s="11"/>
      <c r="J996" s="11"/>
    </row>
    <row r="997" spans="1:12" s="10" customFormat="1" ht="20.100000000000001" customHeight="1" x14ac:dyDescent="0.35">
      <c r="A997" s="12" t="s">
        <v>484</v>
      </c>
      <c r="B997" s="12"/>
      <c r="C997" s="12"/>
      <c r="D997" s="12"/>
      <c r="E997" s="12"/>
      <c r="F997" s="12"/>
      <c r="G997" s="12"/>
      <c r="H997" s="12"/>
      <c r="I997" s="12"/>
      <c r="J997" s="12"/>
    </row>
    <row r="998" spans="1:12" x14ac:dyDescent="0.25">
      <c r="A998" s="11"/>
      <c r="B998" s="11"/>
      <c r="C998" s="11"/>
      <c r="D998" s="11"/>
      <c r="E998" s="11"/>
      <c r="F998" s="11"/>
      <c r="G998" s="11"/>
      <c r="H998" s="11"/>
      <c r="I998" s="11"/>
      <c r="J998" s="11"/>
    </row>
    <row r="999" spans="1:12" ht="30" x14ac:dyDescent="0.25">
      <c r="A999" s="2" t="s">
        <v>5</v>
      </c>
      <c r="B999" s="2" t="s">
        <v>6</v>
      </c>
      <c r="C999" s="2" t="s">
        <v>7</v>
      </c>
      <c r="D999" s="2" t="s">
        <v>8</v>
      </c>
      <c r="E999" s="2" t="s">
        <v>9</v>
      </c>
      <c r="F999" s="2" t="s">
        <v>10</v>
      </c>
      <c r="G999" s="2" t="s">
        <v>11</v>
      </c>
      <c r="H999" s="2" t="s">
        <v>12</v>
      </c>
      <c r="I999" s="2" t="s">
        <v>13</v>
      </c>
      <c r="J999" s="2" t="s">
        <v>14</v>
      </c>
      <c r="K999" s="2" t="s">
        <v>15</v>
      </c>
      <c r="L999" s="2" t="s">
        <v>16</v>
      </c>
    </row>
    <row r="1000" spans="1:12" x14ac:dyDescent="0.25">
      <c r="A1000" s="3">
        <v>45699.036215277782</v>
      </c>
      <c r="B1000" t="s">
        <v>90</v>
      </c>
      <c r="C1000" s="3">
        <v>45699.052048611113</v>
      </c>
      <c r="D1000" t="s">
        <v>91</v>
      </c>
      <c r="E1000" s="4">
        <v>9.6159999999999997</v>
      </c>
      <c r="F1000" s="4">
        <v>400333.77899999998</v>
      </c>
      <c r="G1000" s="4">
        <v>400343.39500000002</v>
      </c>
      <c r="H1000" s="5">
        <f>99 / 86400</f>
        <v>1.1458333333333333E-3</v>
      </c>
      <c r="I1000" t="s">
        <v>171</v>
      </c>
      <c r="J1000" t="s">
        <v>141</v>
      </c>
      <c r="K1000" s="5">
        <f>1367 / 86400</f>
        <v>1.5821759259259258E-2</v>
      </c>
      <c r="L1000" s="5">
        <f>29963 / 86400</f>
        <v>0.34679398148148149</v>
      </c>
    </row>
    <row r="1001" spans="1:12" x14ac:dyDescent="0.25">
      <c r="A1001" s="3">
        <v>45699.362627314811</v>
      </c>
      <c r="B1001" t="s">
        <v>91</v>
      </c>
      <c r="C1001" s="3">
        <v>45699.37568287037</v>
      </c>
      <c r="D1001" t="s">
        <v>158</v>
      </c>
      <c r="E1001" s="4">
        <v>8.7319999999999993</v>
      </c>
      <c r="F1001" s="4">
        <v>400343.39500000002</v>
      </c>
      <c r="G1001" s="4">
        <v>400352.12699999998</v>
      </c>
      <c r="H1001" s="5">
        <f>279 / 86400</f>
        <v>3.2291666666666666E-3</v>
      </c>
      <c r="I1001" t="s">
        <v>295</v>
      </c>
      <c r="J1001" t="s">
        <v>178</v>
      </c>
      <c r="K1001" s="5">
        <f>1127 / 86400</f>
        <v>1.3043981481481481E-2</v>
      </c>
      <c r="L1001" s="5">
        <f>1923 / 86400</f>
        <v>2.2256944444444444E-2</v>
      </c>
    </row>
    <row r="1002" spans="1:12" x14ac:dyDescent="0.25">
      <c r="A1002" s="3">
        <v>45699.397939814815</v>
      </c>
      <c r="B1002" t="s">
        <v>158</v>
      </c>
      <c r="C1002" s="3">
        <v>45699.482974537037</v>
      </c>
      <c r="D1002" t="s">
        <v>250</v>
      </c>
      <c r="E1002" s="4">
        <v>39.463000000000001</v>
      </c>
      <c r="F1002" s="4">
        <v>400352.12699999998</v>
      </c>
      <c r="G1002" s="4">
        <v>400391.59</v>
      </c>
      <c r="H1002" s="5">
        <f>2318 / 86400</f>
        <v>2.6828703703703705E-2</v>
      </c>
      <c r="I1002" t="s">
        <v>62</v>
      </c>
      <c r="J1002" t="s">
        <v>22</v>
      </c>
      <c r="K1002" s="5">
        <f>7346 / 86400</f>
        <v>8.5023148148148153E-2</v>
      </c>
      <c r="L1002" s="5">
        <f>1101 / 86400</f>
        <v>1.2743055555555556E-2</v>
      </c>
    </row>
    <row r="1003" spans="1:12" x14ac:dyDescent="0.25">
      <c r="A1003" s="3">
        <v>45699.495717592596</v>
      </c>
      <c r="B1003" t="s">
        <v>251</v>
      </c>
      <c r="C1003" s="3">
        <v>45699.595196759255</v>
      </c>
      <c r="D1003" t="s">
        <v>158</v>
      </c>
      <c r="E1003" s="4">
        <v>39.118000000000002</v>
      </c>
      <c r="F1003" s="4">
        <v>400391.59</v>
      </c>
      <c r="G1003" s="4">
        <v>400430.70799999998</v>
      </c>
      <c r="H1003" s="5">
        <f>3158 / 86400</f>
        <v>3.6550925925925924E-2</v>
      </c>
      <c r="I1003" t="s">
        <v>183</v>
      </c>
      <c r="J1003" t="s">
        <v>37</v>
      </c>
      <c r="K1003" s="5">
        <f>8594 / 86400</f>
        <v>9.9467592592592594E-2</v>
      </c>
      <c r="L1003" s="5">
        <f>12430 / 86400</f>
        <v>0.14386574074074074</v>
      </c>
    </row>
    <row r="1004" spans="1:12" x14ac:dyDescent="0.25">
      <c r="A1004" s="3">
        <v>45699.739062499997</v>
      </c>
      <c r="B1004" t="s">
        <v>158</v>
      </c>
      <c r="C1004" s="3">
        <v>45699.757233796292</v>
      </c>
      <c r="D1004" t="s">
        <v>434</v>
      </c>
      <c r="E1004" s="4">
        <v>4.9669999999999996</v>
      </c>
      <c r="F1004" s="4">
        <v>400430.70799999998</v>
      </c>
      <c r="G1004" s="4">
        <v>400435.67499999999</v>
      </c>
      <c r="H1004" s="5">
        <f>340 / 86400</f>
        <v>3.9351851851851848E-3</v>
      </c>
      <c r="I1004" t="s">
        <v>240</v>
      </c>
      <c r="J1004" t="s">
        <v>134</v>
      </c>
      <c r="K1004" s="5">
        <f>1570 / 86400</f>
        <v>1.8171296296296297E-2</v>
      </c>
      <c r="L1004" s="5">
        <f>129 / 86400</f>
        <v>1.4930555555555556E-3</v>
      </c>
    </row>
    <row r="1005" spans="1:12" x14ac:dyDescent="0.25">
      <c r="A1005" s="3">
        <v>45699.758726851855</v>
      </c>
      <c r="B1005" t="s">
        <v>435</v>
      </c>
      <c r="C1005" s="3">
        <v>45699.759247685186</v>
      </c>
      <c r="D1005" t="s">
        <v>435</v>
      </c>
      <c r="E1005" s="4">
        <v>3.0000000000000001E-3</v>
      </c>
      <c r="F1005" s="4">
        <v>400435.67499999999</v>
      </c>
      <c r="G1005" s="4">
        <v>400435.67800000001</v>
      </c>
      <c r="H1005" s="5">
        <f>39 / 86400</f>
        <v>4.5138888888888887E-4</v>
      </c>
      <c r="I1005" t="s">
        <v>88</v>
      </c>
      <c r="J1005" t="s">
        <v>88</v>
      </c>
      <c r="K1005" s="5">
        <f>44 / 86400</f>
        <v>5.0925925925925921E-4</v>
      </c>
      <c r="L1005" s="5">
        <f>6598 / 86400</f>
        <v>7.6365740740740734E-2</v>
      </c>
    </row>
    <row r="1006" spans="1:12" x14ac:dyDescent="0.25">
      <c r="A1006" s="3">
        <v>45699.835613425923</v>
      </c>
      <c r="B1006" t="s">
        <v>435</v>
      </c>
      <c r="C1006" s="3">
        <v>45699.844398148147</v>
      </c>
      <c r="D1006" t="s">
        <v>436</v>
      </c>
      <c r="E1006" s="4">
        <v>1.0289999999999999</v>
      </c>
      <c r="F1006" s="4">
        <v>400435.67800000001</v>
      </c>
      <c r="G1006" s="4">
        <v>400436.70699999999</v>
      </c>
      <c r="H1006" s="5">
        <f>219 / 86400</f>
        <v>2.5347222222222221E-3</v>
      </c>
      <c r="I1006" t="s">
        <v>31</v>
      </c>
      <c r="J1006" t="s">
        <v>148</v>
      </c>
      <c r="K1006" s="5">
        <f>759 / 86400</f>
        <v>8.7847222222222215E-3</v>
      </c>
      <c r="L1006" s="5">
        <f>2600 / 86400</f>
        <v>3.0092592592592591E-2</v>
      </c>
    </row>
    <row r="1007" spans="1:12" x14ac:dyDescent="0.25">
      <c r="A1007" s="3">
        <v>45699.874490740738</v>
      </c>
      <c r="B1007" t="s">
        <v>436</v>
      </c>
      <c r="C1007" s="3">
        <v>45699.883796296301</v>
      </c>
      <c r="D1007" t="s">
        <v>90</v>
      </c>
      <c r="E1007" s="4">
        <v>3.7149999999999999</v>
      </c>
      <c r="F1007" s="4">
        <v>400436.70699999999</v>
      </c>
      <c r="G1007" s="4">
        <v>400440.42200000002</v>
      </c>
      <c r="H1007" s="5">
        <f>139 / 86400</f>
        <v>1.6087962962962963E-3</v>
      </c>
      <c r="I1007" t="s">
        <v>154</v>
      </c>
      <c r="J1007" t="s">
        <v>42</v>
      </c>
      <c r="K1007" s="5">
        <f>803 / 86400</f>
        <v>9.2939814814814812E-3</v>
      </c>
      <c r="L1007" s="5">
        <f>3068 / 86400</f>
        <v>3.5509259259259261E-2</v>
      </c>
    </row>
    <row r="1008" spans="1:12" x14ac:dyDescent="0.25">
      <c r="A1008" s="3">
        <v>45699.919305555552</v>
      </c>
      <c r="B1008" t="s">
        <v>90</v>
      </c>
      <c r="C1008" s="3">
        <v>45699.921249999999</v>
      </c>
      <c r="D1008" t="s">
        <v>277</v>
      </c>
      <c r="E1008" s="4">
        <v>0.23799999999999999</v>
      </c>
      <c r="F1008" s="4">
        <v>400440.42200000002</v>
      </c>
      <c r="G1008" s="4">
        <v>400440.66</v>
      </c>
      <c r="H1008" s="5">
        <f>100 / 86400</f>
        <v>1.1574074074074073E-3</v>
      </c>
      <c r="I1008" t="s">
        <v>42</v>
      </c>
      <c r="J1008" t="s">
        <v>148</v>
      </c>
      <c r="K1008" s="5">
        <f>168 / 86400</f>
        <v>1.9444444444444444E-3</v>
      </c>
      <c r="L1008" s="5">
        <f>170 / 86400</f>
        <v>1.9675925925925924E-3</v>
      </c>
    </row>
    <row r="1009" spans="1:12" x14ac:dyDescent="0.25">
      <c r="A1009" s="3">
        <v>45699.923217592594</v>
      </c>
      <c r="B1009" t="s">
        <v>277</v>
      </c>
      <c r="C1009" s="3">
        <v>45699.93751157407</v>
      </c>
      <c r="D1009" t="s">
        <v>91</v>
      </c>
      <c r="E1009" s="4">
        <v>9.0760000000000005</v>
      </c>
      <c r="F1009" s="4">
        <v>400440.66</v>
      </c>
      <c r="G1009" s="4">
        <v>400449.73599999998</v>
      </c>
      <c r="H1009" s="5">
        <f>20 / 86400</f>
        <v>2.3148148148148149E-4</v>
      </c>
      <c r="I1009" t="s">
        <v>174</v>
      </c>
      <c r="J1009" t="s">
        <v>137</v>
      </c>
      <c r="K1009" s="5">
        <f>1235 / 86400</f>
        <v>1.4293981481481482E-2</v>
      </c>
      <c r="L1009" s="5">
        <f>5398 / 86400</f>
        <v>6.2476851851851853E-2</v>
      </c>
    </row>
    <row r="1010" spans="1:12" x14ac:dyDescent="0.25">
      <c r="A1010" s="11"/>
      <c r="B1010" s="11"/>
      <c r="C1010" s="11"/>
      <c r="D1010" s="11"/>
      <c r="E1010" s="11"/>
      <c r="F1010" s="11"/>
      <c r="G1010" s="11"/>
      <c r="H1010" s="11"/>
      <c r="I1010" s="11"/>
      <c r="J1010" s="11"/>
    </row>
    <row r="1011" spans="1:12" x14ac:dyDescent="0.25">
      <c r="A1011" s="11"/>
      <c r="B1011" s="11"/>
      <c r="C1011" s="11"/>
      <c r="D1011" s="11"/>
      <c r="E1011" s="11"/>
      <c r="F1011" s="11"/>
      <c r="G1011" s="11"/>
      <c r="H1011" s="11"/>
      <c r="I1011" s="11"/>
      <c r="J1011" s="11"/>
    </row>
    <row r="1012" spans="1:12" s="10" customFormat="1" ht="20.100000000000001" customHeight="1" x14ac:dyDescent="0.35">
      <c r="A1012" s="12" t="s">
        <v>485</v>
      </c>
      <c r="B1012" s="12"/>
      <c r="C1012" s="12"/>
      <c r="D1012" s="12"/>
      <c r="E1012" s="12"/>
      <c r="F1012" s="12"/>
      <c r="G1012" s="12"/>
      <c r="H1012" s="12"/>
      <c r="I1012" s="12"/>
      <c r="J1012" s="12"/>
    </row>
    <row r="1013" spans="1:12" x14ac:dyDescent="0.25">
      <c r="A1013" s="11"/>
      <c r="B1013" s="11"/>
      <c r="C1013" s="11"/>
      <c r="D1013" s="11"/>
      <c r="E1013" s="11"/>
      <c r="F1013" s="11"/>
      <c r="G1013" s="11"/>
      <c r="H1013" s="11"/>
      <c r="I1013" s="11"/>
      <c r="J1013" s="11"/>
    </row>
    <row r="1014" spans="1:12" ht="30" x14ac:dyDescent="0.25">
      <c r="A1014" s="2" t="s">
        <v>5</v>
      </c>
      <c r="B1014" s="2" t="s">
        <v>6</v>
      </c>
      <c r="C1014" s="2" t="s">
        <v>7</v>
      </c>
      <c r="D1014" s="2" t="s">
        <v>8</v>
      </c>
      <c r="E1014" s="2" t="s">
        <v>9</v>
      </c>
      <c r="F1014" s="2" t="s">
        <v>10</v>
      </c>
      <c r="G1014" s="2" t="s">
        <v>11</v>
      </c>
      <c r="H1014" s="2" t="s">
        <v>12</v>
      </c>
      <c r="I1014" s="2" t="s">
        <v>13</v>
      </c>
      <c r="J1014" s="2" t="s">
        <v>14</v>
      </c>
      <c r="K1014" s="2" t="s">
        <v>15</v>
      </c>
      <c r="L1014" s="2" t="s">
        <v>16</v>
      </c>
    </row>
    <row r="1015" spans="1:12" x14ac:dyDescent="0.25">
      <c r="A1015" s="3">
        <v>45699.202037037037</v>
      </c>
      <c r="B1015" t="s">
        <v>30</v>
      </c>
      <c r="C1015" s="3">
        <v>45699.386041666672</v>
      </c>
      <c r="D1015" t="s">
        <v>116</v>
      </c>
      <c r="E1015" s="4">
        <v>72.807000000000002</v>
      </c>
      <c r="F1015" s="4">
        <v>382234.29200000002</v>
      </c>
      <c r="G1015" s="4">
        <v>382307.09899999999</v>
      </c>
      <c r="H1015" s="5">
        <f>5679 / 86400</f>
        <v>6.5729166666666672E-2</v>
      </c>
      <c r="I1015" t="s">
        <v>18</v>
      </c>
      <c r="J1015" t="s">
        <v>37</v>
      </c>
      <c r="K1015" s="5">
        <f>15897 / 86400</f>
        <v>0.18399305555555556</v>
      </c>
      <c r="L1015" s="5">
        <f>17496 / 86400</f>
        <v>0.20250000000000001</v>
      </c>
    </row>
    <row r="1016" spans="1:12" x14ac:dyDescent="0.25">
      <c r="A1016" s="3">
        <v>45699.386504629627</v>
      </c>
      <c r="B1016" t="s">
        <v>116</v>
      </c>
      <c r="C1016" s="3">
        <v>45699.434062500004</v>
      </c>
      <c r="D1016" t="s">
        <v>159</v>
      </c>
      <c r="E1016" s="4">
        <v>25.32</v>
      </c>
      <c r="F1016" s="4">
        <v>382307.09899999999</v>
      </c>
      <c r="G1016" s="4">
        <v>382332.41899999999</v>
      </c>
      <c r="H1016" s="5">
        <f>1020 / 86400</f>
        <v>1.1805555555555555E-2</v>
      </c>
      <c r="I1016" t="s">
        <v>36</v>
      </c>
      <c r="J1016" t="s">
        <v>34</v>
      </c>
      <c r="K1016" s="5">
        <f>4109 / 86400</f>
        <v>4.7557870370370368E-2</v>
      </c>
      <c r="L1016" s="5">
        <f>113 / 86400</f>
        <v>1.3078703703703703E-3</v>
      </c>
    </row>
    <row r="1017" spans="1:12" x14ac:dyDescent="0.25">
      <c r="A1017" s="3">
        <v>45699.435370370367</v>
      </c>
      <c r="B1017" t="s">
        <v>159</v>
      </c>
      <c r="C1017" s="3">
        <v>45699.437175925923</v>
      </c>
      <c r="D1017" t="s">
        <v>158</v>
      </c>
      <c r="E1017" s="4">
        <v>0.69699999999999995</v>
      </c>
      <c r="F1017" s="4">
        <v>382332.41899999999</v>
      </c>
      <c r="G1017" s="4">
        <v>382333.11599999998</v>
      </c>
      <c r="H1017" s="5">
        <f>0 / 86400</f>
        <v>0</v>
      </c>
      <c r="I1017" t="s">
        <v>178</v>
      </c>
      <c r="J1017" t="s">
        <v>37</v>
      </c>
      <c r="K1017" s="5">
        <f>155 / 86400</f>
        <v>1.7939814814814815E-3</v>
      </c>
      <c r="L1017" s="5">
        <f>682 / 86400</f>
        <v>7.8935185185185185E-3</v>
      </c>
    </row>
    <row r="1018" spans="1:12" x14ac:dyDescent="0.25">
      <c r="A1018" s="3">
        <v>45699.445069444446</v>
      </c>
      <c r="B1018" t="s">
        <v>158</v>
      </c>
      <c r="C1018" s="3">
        <v>45699.446689814809</v>
      </c>
      <c r="D1018" t="s">
        <v>44</v>
      </c>
      <c r="E1018" s="4">
        <v>0.38900000000000001</v>
      </c>
      <c r="F1018" s="4">
        <v>382333.11599999998</v>
      </c>
      <c r="G1018" s="4">
        <v>382333.505</v>
      </c>
      <c r="H1018" s="5">
        <f>0 / 86400</f>
        <v>0</v>
      </c>
      <c r="I1018" t="s">
        <v>152</v>
      </c>
      <c r="J1018" t="s">
        <v>112</v>
      </c>
      <c r="K1018" s="5">
        <f>139 / 86400</f>
        <v>1.6087962962962963E-3</v>
      </c>
      <c r="L1018" s="5">
        <f>4628 / 86400</f>
        <v>5.3564814814814815E-2</v>
      </c>
    </row>
    <row r="1019" spans="1:12" x14ac:dyDescent="0.25">
      <c r="A1019" s="3">
        <v>45699.500254629631</v>
      </c>
      <c r="B1019" t="s">
        <v>44</v>
      </c>
      <c r="C1019" s="3">
        <v>45699.566608796296</v>
      </c>
      <c r="D1019" t="s">
        <v>303</v>
      </c>
      <c r="E1019" s="4">
        <v>34.741999999999997</v>
      </c>
      <c r="F1019" s="4">
        <v>382333.505</v>
      </c>
      <c r="G1019" s="4">
        <v>382368.24699999997</v>
      </c>
      <c r="H1019" s="5">
        <f>1439 / 86400</f>
        <v>1.6655092592592593E-2</v>
      </c>
      <c r="I1019" t="s">
        <v>66</v>
      </c>
      <c r="J1019" t="s">
        <v>34</v>
      </c>
      <c r="K1019" s="5">
        <f>5733 / 86400</f>
        <v>6.6354166666666672E-2</v>
      </c>
      <c r="L1019" s="5">
        <f>34 / 86400</f>
        <v>3.9351851851851852E-4</v>
      </c>
    </row>
    <row r="1020" spans="1:12" x14ac:dyDescent="0.25">
      <c r="A1020" s="3">
        <v>45699.567002314812</v>
      </c>
      <c r="B1020" t="s">
        <v>303</v>
      </c>
      <c r="C1020" s="3">
        <v>45699.620578703703</v>
      </c>
      <c r="D1020" t="s">
        <v>384</v>
      </c>
      <c r="E1020" s="4">
        <v>15.826000000000001</v>
      </c>
      <c r="F1020" s="4">
        <v>382368.24699999997</v>
      </c>
      <c r="G1020" s="4">
        <v>382384.07299999997</v>
      </c>
      <c r="H1020" s="5">
        <f>1740 / 86400</f>
        <v>2.013888888888889E-2</v>
      </c>
      <c r="I1020" t="s">
        <v>262</v>
      </c>
      <c r="J1020" t="s">
        <v>131</v>
      </c>
      <c r="K1020" s="5">
        <f>4628 / 86400</f>
        <v>5.3564814814814815E-2</v>
      </c>
      <c r="L1020" s="5">
        <f>1269 / 86400</f>
        <v>1.4687499999999999E-2</v>
      </c>
    </row>
    <row r="1021" spans="1:12" x14ac:dyDescent="0.25">
      <c r="A1021" s="3">
        <v>45699.635266203702</v>
      </c>
      <c r="B1021" t="s">
        <v>384</v>
      </c>
      <c r="C1021" s="3">
        <v>45699.777939814812</v>
      </c>
      <c r="D1021" t="s">
        <v>375</v>
      </c>
      <c r="E1021" s="4">
        <v>49.064999999999998</v>
      </c>
      <c r="F1021" s="4">
        <v>382384.07299999997</v>
      </c>
      <c r="G1021" s="4">
        <v>382433.13799999998</v>
      </c>
      <c r="H1021" s="5">
        <f>4439 / 86400</f>
        <v>5.1377314814814813E-2</v>
      </c>
      <c r="I1021" t="s">
        <v>62</v>
      </c>
      <c r="J1021" t="s">
        <v>31</v>
      </c>
      <c r="K1021" s="5">
        <f>12326 / 86400</f>
        <v>0.14266203703703703</v>
      </c>
      <c r="L1021" s="5">
        <f>316 / 86400</f>
        <v>3.6574074074074074E-3</v>
      </c>
    </row>
    <row r="1022" spans="1:12" x14ac:dyDescent="0.25">
      <c r="A1022" s="3">
        <v>45699.781597222223</v>
      </c>
      <c r="B1022" t="s">
        <v>276</v>
      </c>
      <c r="C1022" s="3">
        <v>45699.836053240739</v>
      </c>
      <c r="D1022" t="s">
        <v>30</v>
      </c>
      <c r="E1022" s="4">
        <v>31.318000000000001</v>
      </c>
      <c r="F1022" s="4">
        <v>382433.13799999998</v>
      </c>
      <c r="G1022" s="4">
        <v>382464.45600000001</v>
      </c>
      <c r="H1022" s="5">
        <f>881 / 86400</f>
        <v>1.019675925925926E-2</v>
      </c>
      <c r="I1022" t="s">
        <v>92</v>
      </c>
      <c r="J1022" t="s">
        <v>130</v>
      </c>
      <c r="K1022" s="5">
        <f>4704 / 86400</f>
        <v>5.4444444444444441E-2</v>
      </c>
      <c r="L1022" s="5">
        <f>258 / 86400</f>
        <v>2.9861111111111113E-3</v>
      </c>
    </row>
    <row r="1023" spans="1:12" x14ac:dyDescent="0.25">
      <c r="A1023" s="3">
        <v>45699.839039351849</v>
      </c>
      <c r="B1023" t="s">
        <v>30</v>
      </c>
      <c r="C1023" s="3">
        <v>45699.841967592598</v>
      </c>
      <c r="D1023" t="s">
        <v>30</v>
      </c>
      <c r="E1023" s="4">
        <v>3.2000000000000001E-2</v>
      </c>
      <c r="F1023" s="4">
        <v>382464.45600000001</v>
      </c>
      <c r="G1023" s="4">
        <v>382464.48800000001</v>
      </c>
      <c r="H1023" s="5">
        <f>219 / 86400</f>
        <v>2.5347222222222221E-3</v>
      </c>
      <c r="I1023" t="s">
        <v>57</v>
      </c>
      <c r="J1023" t="s">
        <v>88</v>
      </c>
      <c r="K1023" s="5">
        <f>253 / 86400</f>
        <v>2.9282407407407408E-3</v>
      </c>
      <c r="L1023" s="5">
        <f>13653 / 86400</f>
        <v>0.15802083333333333</v>
      </c>
    </row>
    <row r="1024" spans="1:12" x14ac:dyDescent="0.25">
      <c r="A1024" s="11"/>
      <c r="B1024" s="11"/>
      <c r="C1024" s="11"/>
      <c r="D1024" s="11"/>
      <c r="E1024" s="11"/>
      <c r="F1024" s="11"/>
      <c r="G1024" s="11"/>
      <c r="H1024" s="11"/>
      <c r="I1024" s="11"/>
      <c r="J1024" s="11"/>
    </row>
    <row r="1025" spans="1:12" x14ac:dyDescent="0.25">
      <c r="A1025" s="11"/>
      <c r="B1025" s="11"/>
      <c r="C1025" s="11"/>
      <c r="D1025" s="11"/>
      <c r="E1025" s="11"/>
      <c r="F1025" s="11"/>
      <c r="G1025" s="11"/>
      <c r="H1025" s="11"/>
      <c r="I1025" s="11"/>
      <c r="J1025" s="11"/>
    </row>
    <row r="1026" spans="1:12" s="10" customFormat="1" ht="20.100000000000001" customHeight="1" x14ac:dyDescent="0.35">
      <c r="A1026" s="12" t="s">
        <v>486</v>
      </c>
      <c r="B1026" s="12"/>
      <c r="C1026" s="12"/>
      <c r="D1026" s="12"/>
      <c r="E1026" s="12"/>
      <c r="F1026" s="12"/>
      <c r="G1026" s="12"/>
      <c r="H1026" s="12"/>
      <c r="I1026" s="12"/>
      <c r="J1026" s="12"/>
    </row>
    <row r="1027" spans="1:12" x14ac:dyDescent="0.25">
      <c r="A1027" s="11"/>
      <c r="B1027" s="11"/>
      <c r="C1027" s="11"/>
      <c r="D1027" s="11"/>
      <c r="E1027" s="11"/>
      <c r="F1027" s="11"/>
      <c r="G1027" s="11"/>
      <c r="H1027" s="11"/>
      <c r="I1027" s="11"/>
      <c r="J1027" s="11"/>
    </row>
    <row r="1028" spans="1:12" ht="30" x14ac:dyDescent="0.25">
      <c r="A1028" s="2" t="s">
        <v>5</v>
      </c>
      <c r="B1028" s="2" t="s">
        <v>6</v>
      </c>
      <c r="C1028" s="2" t="s">
        <v>7</v>
      </c>
      <c r="D1028" s="2" t="s">
        <v>8</v>
      </c>
      <c r="E1028" s="2" t="s">
        <v>9</v>
      </c>
      <c r="F1028" s="2" t="s">
        <v>10</v>
      </c>
      <c r="G1028" s="2" t="s">
        <v>11</v>
      </c>
      <c r="H1028" s="2" t="s">
        <v>12</v>
      </c>
      <c r="I1028" s="2" t="s">
        <v>13</v>
      </c>
      <c r="J1028" s="2" t="s">
        <v>14</v>
      </c>
      <c r="K1028" s="2" t="s">
        <v>15</v>
      </c>
      <c r="L1028" s="2" t="s">
        <v>16</v>
      </c>
    </row>
    <row r="1029" spans="1:12" x14ac:dyDescent="0.25">
      <c r="A1029" s="3">
        <v>45699.272743055553</v>
      </c>
      <c r="B1029" t="s">
        <v>20</v>
      </c>
      <c r="C1029" s="3">
        <v>45699.274976851855</v>
      </c>
      <c r="D1029" t="s">
        <v>93</v>
      </c>
      <c r="E1029" s="4">
        <v>0.16600000000000001</v>
      </c>
      <c r="F1029" s="4">
        <v>545731.60699999996</v>
      </c>
      <c r="G1029" s="4">
        <v>545731.77300000004</v>
      </c>
      <c r="H1029" s="5">
        <f>80 / 86400</f>
        <v>9.2592592592592596E-4</v>
      </c>
      <c r="I1029" t="s">
        <v>56</v>
      </c>
      <c r="J1029" t="s">
        <v>157</v>
      </c>
      <c r="K1029" s="5">
        <f>193 / 86400</f>
        <v>2.2337962962962962E-3</v>
      </c>
      <c r="L1029" s="5">
        <f>25954 / 86400</f>
        <v>0.30039351851851853</v>
      </c>
    </row>
    <row r="1030" spans="1:12" x14ac:dyDescent="0.25">
      <c r="A1030" s="3">
        <v>45699.302627314813</v>
      </c>
      <c r="B1030" t="s">
        <v>93</v>
      </c>
      <c r="C1030" s="3">
        <v>45699.304120370369</v>
      </c>
      <c r="D1030" t="s">
        <v>93</v>
      </c>
      <c r="E1030" s="4">
        <v>3.3000000000000002E-2</v>
      </c>
      <c r="F1030" s="4">
        <v>545731.77300000004</v>
      </c>
      <c r="G1030" s="4">
        <v>545731.80599999998</v>
      </c>
      <c r="H1030" s="5">
        <f>79 / 86400</f>
        <v>9.1435185185185185E-4</v>
      </c>
      <c r="I1030" t="s">
        <v>57</v>
      </c>
      <c r="J1030" t="s">
        <v>29</v>
      </c>
      <c r="K1030" s="5">
        <f>129 / 86400</f>
        <v>1.4930555555555556E-3</v>
      </c>
      <c r="L1030" s="5">
        <f>101 / 86400</f>
        <v>1.1689814814814816E-3</v>
      </c>
    </row>
    <row r="1031" spans="1:12" x14ac:dyDescent="0.25">
      <c r="A1031" s="3">
        <v>45699.305289351847</v>
      </c>
      <c r="B1031" t="s">
        <v>93</v>
      </c>
      <c r="C1031" s="3">
        <v>45699.311666666668</v>
      </c>
      <c r="D1031" t="s">
        <v>159</v>
      </c>
      <c r="E1031" s="4">
        <v>1.891</v>
      </c>
      <c r="F1031" s="4">
        <v>545731.80599999998</v>
      </c>
      <c r="G1031" s="4">
        <v>545733.69700000004</v>
      </c>
      <c r="H1031" s="5">
        <f>159 / 86400</f>
        <v>1.8402777777777777E-3</v>
      </c>
      <c r="I1031" t="s">
        <v>149</v>
      </c>
      <c r="J1031" t="s">
        <v>131</v>
      </c>
      <c r="K1031" s="5">
        <f>551 / 86400</f>
        <v>6.3773148148148148E-3</v>
      </c>
      <c r="L1031" s="5">
        <f>970 / 86400</f>
        <v>1.1226851851851852E-2</v>
      </c>
    </row>
    <row r="1032" spans="1:12" x14ac:dyDescent="0.25">
      <c r="A1032" s="3">
        <v>45699.322893518518</v>
      </c>
      <c r="B1032" t="s">
        <v>159</v>
      </c>
      <c r="C1032" s="3">
        <v>45699.444074074076</v>
      </c>
      <c r="D1032" t="s">
        <v>384</v>
      </c>
      <c r="E1032" s="4">
        <v>50.845999999999997</v>
      </c>
      <c r="F1032" s="4">
        <v>545733.69700000004</v>
      </c>
      <c r="G1032" s="4">
        <v>545784.54299999995</v>
      </c>
      <c r="H1032" s="5">
        <f>3079 / 86400</f>
        <v>3.5636574074074077E-2</v>
      </c>
      <c r="I1032" t="s">
        <v>18</v>
      </c>
      <c r="J1032" t="s">
        <v>42</v>
      </c>
      <c r="K1032" s="5">
        <f>10470 / 86400</f>
        <v>0.12118055555555556</v>
      </c>
      <c r="L1032" s="5">
        <f>154 / 86400</f>
        <v>1.7824074074074075E-3</v>
      </c>
    </row>
    <row r="1033" spans="1:12" x14ac:dyDescent="0.25">
      <c r="A1033" s="3">
        <v>45699.445856481485</v>
      </c>
      <c r="B1033" t="s">
        <v>384</v>
      </c>
      <c r="C1033" s="3">
        <v>45699.446620370371</v>
      </c>
      <c r="D1033" t="s">
        <v>384</v>
      </c>
      <c r="E1033" s="4">
        <v>0</v>
      </c>
      <c r="F1033" s="4">
        <v>545784.54299999995</v>
      </c>
      <c r="G1033" s="4">
        <v>545784.54299999995</v>
      </c>
      <c r="H1033" s="5">
        <f>59 / 86400</f>
        <v>6.8287037037037036E-4</v>
      </c>
      <c r="I1033" t="s">
        <v>88</v>
      </c>
      <c r="J1033" t="s">
        <v>88</v>
      </c>
      <c r="K1033" s="5">
        <f>65 / 86400</f>
        <v>7.5231481481481482E-4</v>
      </c>
      <c r="L1033" s="5">
        <f>1818 / 86400</f>
        <v>2.1041666666666667E-2</v>
      </c>
    </row>
    <row r="1034" spans="1:12" x14ac:dyDescent="0.25">
      <c r="A1034" s="3">
        <v>45699.467662037037</v>
      </c>
      <c r="B1034" t="s">
        <v>384</v>
      </c>
      <c r="C1034" s="3">
        <v>45699.471018518518</v>
      </c>
      <c r="D1034" t="s">
        <v>432</v>
      </c>
      <c r="E1034" s="4">
        <v>8.5000000000000006E-2</v>
      </c>
      <c r="F1034" s="4">
        <v>545784.54299999995</v>
      </c>
      <c r="G1034" s="4">
        <v>545784.62800000003</v>
      </c>
      <c r="H1034" s="5">
        <f>239 / 86400</f>
        <v>2.7662037037037039E-3</v>
      </c>
      <c r="I1034" t="s">
        <v>28</v>
      </c>
      <c r="J1034" t="s">
        <v>29</v>
      </c>
      <c r="K1034" s="5">
        <f>290 / 86400</f>
        <v>3.3564814814814816E-3</v>
      </c>
      <c r="L1034" s="5">
        <f>104 / 86400</f>
        <v>1.2037037037037038E-3</v>
      </c>
    </row>
    <row r="1035" spans="1:12" x14ac:dyDescent="0.25">
      <c r="A1035" s="3">
        <v>45699.472222222219</v>
      </c>
      <c r="B1035" t="s">
        <v>432</v>
      </c>
      <c r="C1035" s="3">
        <v>45699.607870370368</v>
      </c>
      <c r="D1035" t="s">
        <v>153</v>
      </c>
      <c r="E1035" s="4">
        <v>50.526000000000003</v>
      </c>
      <c r="F1035" s="4">
        <v>545784.62800000003</v>
      </c>
      <c r="G1035" s="4">
        <v>545835.15399999998</v>
      </c>
      <c r="H1035" s="5">
        <f>4280 / 86400</f>
        <v>4.9537037037037039E-2</v>
      </c>
      <c r="I1035" t="s">
        <v>139</v>
      </c>
      <c r="J1035" t="s">
        <v>37</v>
      </c>
      <c r="K1035" s="5">
        <f>11719 / 86400</f>
        <v>0.13563657407407406</v>
      </c>
      <c r="L1035" s="5">
        <f>1695 / 86400</f>
        <v>1.9618055555555555E-2</v>
      </c>
    </row>
    <row r="1036" spans="1:12" x14ac:dyDescent="0.25">
      <c r="A1036" s="3">
        <v>45699.627488425926</v>
      </c>
      <c r="B1036" t="s">
        <v>153</v>
      </c>
      <c r="C1036" s="3">
        <v>45699.740532407406</v>
      </c>
      <c r="D1036" t="s">
        <v>374</v>
      </c>
      <c r="E1036" s="4">
        <v>47.146000000000001</v>
      </c>
      <c r="F1036" s="4">
        <v>545835.15399999998</v>
      </c>
      <c r="G1036" s="4">
        <v>545882.30000000005</v>
      </c>
      <c r="H1036" s="5">
        <f>3420 / 86400</f>
        <v>3.9583333333333331E-2</v>
      </c>
      <c r="I1036" t="s">
        <v>45</v>
      </c>
      <c r="J1036" t="s">
        <v>42</v>
      </c>
      <c r="K1036" s="5">
        <f>9766 / 86400</f>
        <v>0.1130324074074074</v>
      </c>
      <c r="L1036" s="5">
        <f>65 / 86400</f>
        <v>7.5231481481481482E-4</v>
      </c>
    </row>
    <row r="1037" spans="1:12" x14ac:dyDescent="0.25">
      <c r="A1037" s="3">
        <v>45699.741284722222</v>
      </c>
      <c r="B1037" t="s">
        <v>374</v>
      </c>
      <c r="C1037" s="3">
        <v>45699.874930555554</v>
      </c>
      <c r="D1037" t="s">
        <v>105</v>
      </c>
      <c r="E1037" s="4">
        <v>46.484999999999999</v>
      </c>
      <c r="F1037" s="4">
        <v>545882.30000000005</v>
      </c>
      <c r="G1037" s="4">
        <v>545928.78500000003</v>
      </c>
      <c r="H1037" s="5">
        <f>3900 / 86400</f>
        <v>4.5138888888888888E-2</v>
      </c>
      <c r="I1037" t="s">
        <v>262</v>
      </c>
      <c r="J1037" t="s">
        <v>31</v>
      </c>
      <c r="K1037" s="5">
        <f>11547 / 86400</f>
        <v>0.13364583333333332</v>
      </c>
      <c r="L1037" s="5">
        <f>459 / 86400</f>
        <v>5.3125000000000004E-3</v>
      </c>
    </row>
    <row r="1038" spans="1:12" x14ac:dyDescent="0.25">
      <c r="A1038" s="3">
        <v>45699.880243055552</v>
      </c>
      <c r="B1038" t="s">
        <v>105</v>
      </c>
      <c r="C1038" s="3">
        <v>45699.882743055554</v>
      </c>
      <c r="D1038" t="s">
        <v>93</v>
      </c>
      <c r="E1038" s="4">
        <v>0.57199999999999995</v>
      </c>
      <c r="F1038" s="4">
        <v>545928.78500000003</v>
      </c>
      <c r="G1038" s="4">
        <v>545929.35699999996</v>
      </c>
      <c r="H1038" s="5">
        <f>60 / 86400</f>
        <v>6.9444444444444447E-4</v>
      </c>
      <c r="I1038" t="s">
        <v>166</v>
      </c>
      <c r="J1038" t="s">
        <v>112</v>
      </c>
      <c r="K1038" s="5">
        <f>216 / 86400</f>
        <v>2.5000000000000001E-3</v>
      </c>
      <c r="L1038" s="5">
        <f>10130 / 86400</f>
        <v>0.11724537037037037</v>
      </c>
    </row>
    <row r="1039" spans="1:12" x14ac:dyDescent="0.25">
      <c r="A1039" s="11"/>
      <c r="B1039" s="11"/>
      <c r="C1039" s="11"/>
      <c r="D1039" s="11"/>
      <c r="E1039" s="11"/>
      <c r="F1039" s="11"/>
      <c r="G1039" s="11"/>
      <c r="H1039" s="11"/>
      <c r="I1039" s="11"/>
      <c r="J1039" s="11"/>
    </row>
    <row r="1040" spans="1:12" x14ac:dyDescent="0.25">
      <c r="A1040" s="11"/>
      <c r="B1040" s="11"/>
      <c r="C1040" s="11"/>
      <c r="D1040" s="11"/>
      <c r="E1040" s="11"/>
      <c r="F1040" s="11"/>
      <c r="G1040" s="11"/>
      <c r="H1040" s="11"/>
      <c r="I1040" s="11"/>
      <c r="J1040" s="11"/>
    </row>
    <row r="1041" spans="1:12" s="10" customFormat="1" ht="20.100000000000001" customHeight="1" x14ac:dyDescent="0.35">
      <c r="A1041" s="12" t="s">
        <v>487</v>
      </c>
      <c r="B1041" s="12"/>
      <c r="C1041" s="12"/>
      <c r="D1041" s="12"/>
      <c r="E1041" s="12"/>
      <c r="F1041" s="12"/>
      <c r="G1041" s="12"/>
      <c r="H1041" s="12"/>
      <c r="I1041" s="12"/>
      <c r="J1041" s="12"/>
    </row>
    <row r="1042" spans="1:12" x14ac:dyDescent="0.25">
      <c r="A1042" s="11"/>
      <c r="B1042" s="11"/>
      <c r="C1042" s="11"/>
      <c r="D1042" s="11"/>
      <c r="E1042" s="11"/>
      <c r="F1042" s="11"/>
      <c r="G1042" s="11"/>
      <c r="H1042" s="11"/>
      <c r="I1042" s="11"/>
      <c r="J1042" s="11"/>
    </row>
    <row r="1043" spans="1:12" ht="30" x14ac:dyDescent="0.25">
      <c r="A1043" s="2" t="s">
        <v>5</v>
      </c>
      <c r="B1043" s="2" t="s">
        <v>6</v>
      </c>
      <c r="C1043" s="2" t="s">
        <v>7</v>
      </c>
      <c r="D1043" s="2" t="s">
        <v>8</v>
      </c>
      <c r="E1043" s="2" t="s">
        <v>9</v>
      </c>
      <c r="F1043" s="2" t="s">
        <v>10</v>
      </c>
      <c r="G1043" s="2" t="s">
        <v>11</v>
      </c>
      <c r="H1043" s="2" t="s">
        <v>12</v>
      </c>
      <c r="I1043" s="2" t="s">
        <v>13</v>
      </c>
      <c r="J1043" s="2" t="s">
        <v>14</v>
      </c>
      <c r="K1043" s="2" t="s">
        <v>15</v>
      </c>
      <c r="L1043" s="2" t="s">
        <v>16</v>
      </c>
    </row>
    <row r="1044" spans="1:12" x14ac:dyDescent="0.25">
      <c r="A1044" s="3">
        <v>45699</v>
      </c>
      <c r="B1044" t="s">
        <v>94</v>
      </c>
      <c r="C1044" s="3">
        <v>45699.007939814815</v>
      </c>
      <c r="D1044" t="s">
        <v>151</v>
      </c>
      <c r="E1044" s="4">
        <v>3.5419999999999998</v>
      </c>
      <c r="F1044" s="4">
        <v>103064.90700000001</v>
      </c>
      <c r="G1044" s="4">
        <v>103068.44899999999</v>
      </c>
      <c r="H1044" s="5">
        <f>180 / 86400</f>
        <v>2.0833333333333333E-3</v>
      </c>
      <c r="I1044" t="s">
        <v>171</v>
      </c>
      <c r="J1044" t="s">
        <v>22</v>
      </c>
      <c r="K1044" s="5">
        <f>686 / 86400</f>
        <v>7.9398148148148145E-3</v>
      </c>
      <c r="L1044" s="5">
        <f>920 / 86400</f>
        <v>1.0648148148148148E-2</v>
      </c>
    </row>
    <row r="1045" spans="1:12" x14ac:dyDescent="0.25">
      <c r="A1045" s="3">
        <v>45699.018587962964</v>
      </c>
      <c r="B1045" t="s">
        <v>151</v>
      </c>
      <c r="C1045" s="3">
        <v>45699.020856481482</v>
      </c>
      <c r="D1045" t="s">
        <v>94</v>
      </c>
      <c r="E1045" s="4">
        <v>1.07</v>
      </c>
      <c r="F1045" s="4">
        <v>103068.44899999999</v>
      </c>
      <c r="G1045" s="4">
        <v>103069.519</v>
      </c>
      <c r="H1045" s="5">
        <f>0 / 86400</f>
        <v>0</v>
      </c>
      <c r="I1045" t="s">
        <v>174</v>
      </c>
      <c r="J1045" t="s">
        <v>152</v>
      </c>
      <c r="K1045" s="5">
        <f>196 / 86400</f>
        <v>2.2685185185185187E-3</v>
      </c>
      <c r="L1045" s="5">
        <f>15017 / 86400</f>
        <v>0.17380787037037038</v>
      </c>
    </row>
    <row r="1046" spans="1:12" x14ac:dyDescent="0.25">
      <c r="A1046" s="3">
        <v>45699.194664351853</v>
      </c>
      <c r="B1046" t="s">
        <v>94</v>
      </c>
      <c r="C1046" s="3">
        <v>45699.195393518516</v>
      </c>
      <c r="D1046" t="s">
        <v>94</v>
      </c>
      <c r="E1046" s="4">
        <v>3.1E-2</v>
      </c>
      <c r="F1046" s="4">
        <v>103069.519</v>
      </c>
      <c r="G1046" s="4">
        <v>103069.55</v>
      </c>
      <c r="H1046" s="5">
        <f>37 / 86400</f>
        <v>4.2824074074074075E-4</v>
      </c>
      <c r="I1046" t="s">
        <v>125</v>
      </c>
      <c r="J1046" t="s">
        <v>57</v>
      </c>
      <c r="K1046" s="5">
        <f>63 / 86400</f>
        <v>7.291666666666667E-4</v>
      </c>
      <c r="L1046" s="5">
        <f>7555 / 86400</f>
        <v>8.7442129629629634E-2</v>
      </c>
    </row>
    <row r="1047" spans="1:12" x14ac:dyDescent="0.25">
      <c r="A1047" s="3">
        <v>45699.282835648148</v>
      </c>
      <c r="B1047" t="s">
        <v>94</v>
      </c>
      <c r="C1047" s="3">
        <v>45699.283622685187</v>
      </c>
      <c r="D1047" t="s">
        <v>94</v>
      </c>
      <c r="E1047" s="4">
        <v>8.6999999999999994E-2</v>
      </c>
      <c r="F1047" s="4">
        <v>103069.55</v>
      </c>
      <c r="G1047" s="4">
        <v>103069.637</v>
      </c>
      <c r="H1047" s="5">
        <f>18 / 86400</f>
        <v>2.0833333333333335E-4</v>
      </c>
      <c r="I1047" t="s">
        <v>134</v>
      </c>
      <c r="J1047" t="s">
        <v>148</v>
      </c>
      <c r="K1047" s="5">
        <f>68 / 86400</f>
        <v>7.8703703703703705E-4</v>
      </c>
      <c r="L1047" s="5">
        <f>1115 / 86400</f>
        <v>1.2905092592592593E-2</v>
      </c>
    </row>
    <row r="1048" spans="1:12" x14ac:dyDescent="0.25">
      <c r="A1048" s="3">
        <v>45699.296527777777</v>
      </c>
      <c r="B1048" t="s">
        <v>94</v>
      </c>
      <c r="C1048" s="3">
        <v>45699.465011574073</v>
      </c>
      <c r="D1048" t="s">
        <v>280</v>
      </c>
      <c r="E1048" s="4">
        <v>78.128</v>
      </c>
      <c r="F1048" s="4">
        <v>103069.637</v>
      </c>
      <c r="G1048" s="4">
        <v>103147.765</v>
      </c>
      <c r="H1048" s="5">
        <f>4740 / 86400</f>
        <v>5.486111111111111E-2</v>
      </c>
      <c r="I1048" t="s">
        <v>437</v>
      </c>
      <c r="J1048" t="s">
        <v>22</v>
      </c>
      <c r="K1048" s="5">
        <f>14557 / 86400</f>
        <v>0.16848379629629628</v>
      </c>
      <c r="L1048" s="5">
        <f>1907 / 86400</f>
        <v>2.207175925925926E-2</v>
      </c>
    </row>
    <row r="1049" spans="1:12" x14ac:dyDescent="0.25">
      <c r="A1049" s="3">
        <v>45699.487083333333</v>
      </c>
      <c r="B1049" t="s">
        <v>280</v>
      </c>
      <c r="C1049" s="3">
        <v>45699.491099537037</v>
      </c>
      <c r="D1049" t="s">
        <v>159</v>
      </c>
      <c r="E1049" s="4">
        <v>1.1339999999999999</v>
      </c>
      <c r="F1049" s="4">
        <v>103147.765</v>
      </c>
      <c r="G1049" s="4">
        <v>103148.899</v>
      </c>
      <c r="H1049" s="5">
        <f>58 / 86400</f>
        <v>6.7129629629629625E-4</v>
      </c>
      <c r="I1049" t="s">
        <v>178</v>
      </c>
      <c r="J1049" t="s">
        <v>131</v>
      </c>
      <c r="K1049" s="5">
        <f>347 / 86400</f>
        <v>4.0162037037037041E-3</v>
      </c>
      <c r="L1049" s="5">
        <f>568 / 86400</f>
        <v>6.5740740740740742E-3</v>
      </c>
    </row>
    <row r="1050" spans="1:12" x14ac:dyDescent="0.25">
      <c r="A1050" s="3">
        <v>45699.497673611113</v>
      </c>
      <c r="B1050" t="s">
        <v>159</v>
      </c>
      <c r="C1050" s="3">
        <v>45699.738379629634</v>
      </c>
      <c r="D1050" t="s">
        <v>105</v>
      </c>
      <c r="E1050" s="4">
        <v>101.33499999999999</v>
      </c>
      <c r="F1050" s="4">
        <v>103148.899</v>
      </c>
      <c r="G1050" s="4">
        <v>103250.234</v>
      </c>
      <c r="H1050" s="5">
        <f>7235 / 86400</f>
        <v>8.3738425925925924E-2</v>
      </c>
      <c r="I1050" t="s">
        <v>75</v>
      </c>
      <c r="J1050" t="s">
        <v>26</v>
      </c>
      <c r="K1050" s="5">
        <f>20797 / 86400</f>
        <v>0.24070601851851853</v>
      </c>
      <c r="L1050" s="5">
        <f>57 / 86400</f>
        <v>6.5972222222222224E-4</v>
      </c>
    </row>
    <row r="1051" spans="1:12" x14ac:dyDescent="0.25">
      <c r="A1051" s="3">
        <v>45699.739039351851</v>
      </c>
      <c r="B1051" t="s">
        <v>105</v>
      </c>
      <c r="C1051" s="3">
        <v>45699.742268518516</v>
      </c>
      <c r="D1051" t="s">
        <v>153</v>
      </c>
      <c r="E1051" s="4">
        <v>1.07</v>
      </c>
      <c r="F1051" s="4">
        <v>103250.234</v>
      </c>
      <c r="G1051" s="4">
        <v>103251.304</v>
      </c>
      <c r="H1051" s="5">
        <f>58 / 86400</f>
        <v>6.7129629629629625E-4</v>
      </c>
      <c r="I1051" t="s">
        <v>124</v>
      </c>
      <c r="J1051" t="s">
        <v>31</v>
      </c>
      <c r="K1051" s="5">
        <f>279 / 86400</f>
        <v>3.2291666666666666E-3</v>
      </c>
      <c r="L1051" s="5">
        <f>598 / 86400</f>
        <v>6.9212962962962961E-3</v>
      </c>
    </row>
    <row r="1052" spans="1:12" x14ac:dyDescent="0.25">
      <c r="A1052" s="3">
        <v>45699.749189814815</v>
      </c>
      <c r="B1052" t="s">
        <v>153</v>
      </c>
      <c r="C1052" s="3">
        <v>45699.99998842593</v>
      </c>
      <c r="D1052" t="s">
        <v>95</v>
      </c>
      <c r="E1052" s="4">
        <v>128.00399999999999</v>
      </c>
      <c r="F1052" s="4">
        <v>103251.304</v>
      </c>
      <c r="G1052" s="4">
        <v>103379.308</v>
      </c>
      <c r="H1052" s="5">
        <f>7776 / 86400</f>
        <v>0.09</v>
      </c>
      <c r="I1052" t="s">
        <v>96</v>
      </c>
      <c r="J1052" t="s">
        <v>108</v>
      </c>
      <c r="K1052" s="5">
        <f>21669 / 86400</f>
        <v>0.25079861111111112</v>
      </c>
      <c r="L1052" s="5">
        <f>0 / 86400</f>
        <v>0</v>
      </c>
    </row>
    <row r="1053" spans="1:12" x14ac:dyDescent="0.25">
      <c r="A1053" s="11"/>
      <c r="B1053" s="11"/>
      <c r="C1053" s="11"/>
      <c r="D1053" s="11"/>
      <c r="E1053" s="11"/>
      <c r="F1053" s="11"/>
      <c r="G1053" s="11"/>
      <c r="H1053" s="11"/>
      <c r="I1053" s="11"/>
      <c r="J1053" s="11"/>
    </row>
    <row r="1054" spans="1:12" x14ac:dyDescent="0.25">
      <c r="A1054" s="11"/>
      <c r="B1054" s="11"/>
      <c r="C1054" s="11"/>
      <c r="D1054" s="11"/>
      <c r="E1054" s="11"/>
      <c r="F1054" s="11"/>
      <c r="G1054" s="11"/>
      <c r="H1054" s="11"/>
      <c r="I1054" s="11"/>
      <c r="J1054" s="11"/>
    </row>
    <row r="1055" spans="1:12" s="10" customFormat="1" ht="20.100000000000001" customHeight="1" x14ac:dyDescent="0.35">
      <c r="A1055" s="12" t="s">
        <v>488</v>
      </c>
      <c r="B1055" s="12"/>
      <c r="C1055" s="12"/>
      <c r="D1055" s="12"/>
      <c r="E1055" s="12"/>
      <c r="F1055" s="12"/>
      <c r="G1055" s="12"/>
      <c r="H1055" s="12"/>
      <c r="I1055" s="12"/>
      <c r="J1055" s="12"/>
    </row>
    <row r="1056" spans="1:12" x14ac:dyDescent="0.25">
      <c r="A1056" s="11"/>
      <c r="B1056" s="11"/>
      <c r="C1056" s="11"/>
      <c r="D1056" s="11"/>
      <c r="E1056" s="11"/>
      <c r="F1056" s="11"/>
      <c r="G1056" s="11"/>
      <c r="H1056" s="11"/>
      <c r="I1056" s="11"/>
      <c r="J1056" s="11"/>
    </row>
    <row r="1057" spans="1:12" ht="30" x14ac:dyDescent="0.25">
      <c r="A1057" s="2" t="s">
        <v>5</v>
      </c>
      <c r="B1057" s="2" t="s">
        <v>6</v>
      </c>
      <c r="C1057" s="2" t="s">
        <v>7</v>
      </c>
      <c r="D1057" s="2" t="s">
        <v>8</v>
      </c>
      <c r="E1057" s="2" t="s">
        <v>9</v>
      </c>
      <c r="F1057" s="2" t="s">
        <v>10</v>
      </c>
      <c r="G1057" s="2" t="s">
        <v>11</v>
      </c>
      <c r="H1057" s="2" t="s">
        <v>12</v>
      </c>
      <c r="I1057" s="2" t="s">
        <v>13</v>
      </c>
      <c r="J1057" s="2" t="s">
        <v>14</v>
      </c>
      <c r="K1057" s="2" t="s">
        <v>15</v>
      </c>
      <c r="L1057" s="2" t="s">
        <v>16</v>
      </c>
    </row>
    <row r="1058" spans="1:12" x14ac:dyDescent="0.25">
      <c r="A1058" s="3">
        <v>45699.201631944445</v>
      </c>
      <c r="B1058" t="s">
        <v>30</v>
      </c>
      <c r="C1058" s="3">
        <v>45699.205983796295</v>
      </c>
      <c r="D1058" t="s">
        <v>82</v>
      </c>
      <c r="E1058" s="4">
        <v>1.022</v>
      </c>
      <c r="F1058" s="4">
        <v>53746.482000000004</v>
      </c>
      <c r="G1058" s="4">
        <v>53747.504000000001</v>
      </c>
      <c r="H1058" s="5">
        <f>78 / 86400</f>
        <v>9.0277777777777774E-4</v>
      </c>
      <c r="I1058" t="s">
        <v>137</v>
      </c>
      <c r="J1058" t="s">
        <v>112</v>
      </c>
      <c r="K1058" s="5">
        <f>376 / 86400</f>
        <v>4.3518518518518515E-3</v>
      </c>
      <c r="L1058" s="5">
        <f>17855 / 86400</f>
        <v>0.2066550925925926</v>
      </c>
    </row>
    <row r="1059" spans="1:12" x14ac:dyDescent="0.25">
      <c r="A1059" s="3">
        <v>45699.211006944446</v>
      </c>
      <c r="B1059" t="s">
        <v>82</v>
      </c>
      <c r="C1059" s="3">
        <v>45699.248148148152</v>
      </c>
      <c r="D1059" t="s">
        <v>278</v>
      </c>
      <c r="E1059" s="4">
        <v>27.513000000000002</v>
      </c>
      <c r="F1059" s="4">
        <v>53747.504000000001</v>
      </c>
      <c r="G1059" s="4">
        <v>53775.017</v>
      </c>
      <c r="H1059" s="5">
        <f>200 / 86400</f>
        <v>2.3148148148148147E-3</v>
      </c>
      <c r="I1059" t="s">
        <v>177</v>
      </c>
      <c r="J1059" t="s">
        <v>124</v>
      </c>
      <c r="K1059" s="5">
        <f>3209 / 86400</f>
        <v>3.7141203703703704E-2</v>
      </c>
      <c r="L1059" s="5">
        <f>5 / 86400</f>
        <v>5.7870370370370373E-5</v>
      </c>
    </row>
    <row r="1060" spans="1:12" x14ac:dyDescent="0.25">
      <c r="A1060" s="3">
        <v>45699.248206018514</v>
      </c>
      <c r="B1060" t="s">
        <v>278</v>
      </c>
      <c r="C1060" s="3">
        <v>45699.24827546296</v>
      </c>
      <c r="D1060" t="s">
        <v>278</v>
      </c>
      <c r="E1060" s="4">
        <v>7.0000000000000001E-3</v>
      </c>
      <c r="F1060" s="4">
        <v>53775.017</v>
      </c>
      <c r="G1060" s="4">
        <v>53775.023999999998</v>
      </c>
      <c r="H1060" s="5">
        <f>0 / 86400</f>
        <v>0</v>
      </c>
      <c r="I1060" t="s">
        <v>128</v>
      </c>
      <c r="J1060" t="s">
        <v>232</v>
      </c>
      <c r="K1060" s="5">
        <f>6 / 86400</f>
        <v>6.9444444444444444E-5</v>
      </c>
      <c r="L1060" s="5">
        <f>19 / 86400</f>
        <v>2.199074074074074E-4</v>
      </c>
    </row>
    <row r="1061" spans="1:12" x14ac:dyDescent="0.25">
      <c r="A1061" s="3">
        <v>45699.248495370368</v>
      </c>
      <c r="B1061" t="s">
        <v>283</v>
      </c>
      <c r="C1061" s="3">
        <v>45699.248541666668</v>
      </c>
      <c r="D1061" t="s">
        <v>283</v>
      </c>
      <c r="E1061" s="4">
        <v>1E-3</v>
      </c>
      <c r="F1061" s="4">
        <v>53775.023999999998</v>
      </c>
      <c r="G1061" s="4">
        <v>53775.025000000001</v>
      </c>
      <c r="H1061" s="5">
        <f>0 / 86400</f>
        <v>0</v>
      </c>
      <c r="I1061" t="s">
        <v>88</v>
      </c>
      <c r="J1061" t="s">
        <v>29</v>
      </c>
      <c r="K1061" s="5">
        <f>4 / 86400</f>
        <v>4.6296296296296294E-5</v>
      </c>
      <c r="L1061" s="5">
        <f>262 / 86400</f>
        <v>3.0324074074074073E-3</v>
      </c>
    </row>
    <row r="1062" spans="1:12" x14ac:dyDescent="0.25">
      <c r="A1062" s="3">
        <v>45699.251574074078</v>
      </c>
      <c r="B1062" t="s">
        <v>278</v>
      </c>
      <c r="C1062" s="3">
        <v>45699.251701388886</v>
      </c>
      <c r="D1062" t="s">
        <v>278</v>
      </c>
      <c r="E1062" s="4">
        <v>0</v>
      </c>
      <c r="F1062" s="4">
        <v>53775.025000000001</v>
      </c>
      <c r="G1062" s="4">
        <v>53775.025000000001</v>
      </c>
      <c r="H1062" s="5">
        <f>0 / 86400</f>
        <v>0</v>
      </c>
      <c r="I1062" t="s">
        <v>88</v>
      </c>
      <c r="J1062" t="s">
        <v>88</v>
      </c>
      <c r="K1062" s="5">
        <f>11 / 86400</f>
        <v>1.273148148148148E-4</v>
      </c>
      <c r="L1062" s="5">
        <f>373 / 86400</f>
        <v>4.31712962962963E-3</v>
      </c>
    </row>
    <row r="1063" spans="1:12" x14ac:dyDescent="0.25">
      <c r="A1063" s="3">
        <v>45699.256018518514</v>
      </c>
      <c r="B1063" t="s">
        <v>278</v>
      </c>
      <c r="C1063" s="3">
        <v>45699.256157407406</v>
      </c>
      <c r="D1063" t="s">
        <v>278</v>
      </c>
      <c r="E1063" s="4">
        <v>0</v>
      </c>
      <c r="F1063" s="4">
        <v>53775.025000000001</v>
      </c>
      <c r="G1063" s="4">
        <v>53775.025000000001</v>
      </c>
      <c r="H1063" s="5">
        <f>0 / 86400</f>
        <v>0</v>
      </c>
      <c r="I1063" t="s">
        <v>88</v>
      </c>
      <c r="J1063" t="s">
        <v>88</v>
      </c>
      <c r="K1063" s="5">
        <f>12 / 86400</f>
        <v>1.3888888888888889E-4</v>
      </c>
      <c r="L1063" s="5">
        <f>324 / 86400</f>
        <v>3.7499999999999999E-3</v>
      </c>
    </row>
    <row r="1064" spans="1:12" x14ac:dyDescent="0.25">
      <c r="A1064" s="3">
        <v>45699.25990740741</v>
      </c>
      <c r="B1064" t="s">
        <v>278</v>
      </c>
      <c r="C1064" s="3">
        <v>45699.260428240741</v>
      </c>
      <c r="D1064" t="s">
        <v>278</v>
      </c>
      <c r="E1064" s="4">
        <v>0</v>
      </c>
      <c r="F1064" s="4">
        <v>53775.025000000001</v>
      </c>
      <c r="G1064" s="4">
        <v>53775.025000000001</v>
      </c>
      <c r="H1064" s="5">
        <f>37 / 86400</f>
        <v>4.2824074074074075E-4</v>
      </c>
      <c r="I1064" t="s">
        <v>88</v>
      </c>
      <c r="J1064" t="s">
        <v>88</v>
      </c>
      <c r="K1064" s="5">
        <f>45 / 86400</f>
        <v>5.2083333333333333E-4</v>
      </c>
      <c r="L1064" s="5">
        <f>159 / 86400</f>
        <v>1.8402777777777777E-3</v>
      </c>
    </row>
    <row r="1065" spans="1:12" x14ac:dyDescent="0.25">
      <c r="A1065" s="3">
        <v>45699.26226851852</v>
      </c>
      <c r="B1065" t="s">
        <v>278</v>
      </c>
      <c r="C1065" s="3">
        <v>45699.407083333332</v>
      </c>
      <c r="D1065" t="s">
        <v>336</v>
      </c>
      <c r="E1065" s="4">
        <v>53.62</v>
      </c>
      <c r="F1065" s="4">
        <v>53775.025000000001</v>
      </c>
      <c r="G1065" s="4">
        <v>53828.644999999997</v>
      </c>
      <c r="H1065" s="5">
        <f>4994 / 86400</f>
        <v>5.7800925925925929E-2</v>
      </c>
      <c r="I1065" t="s">
        <v>118</v>
      </c>
      <c r="J1065" t="s">
        <v>19</v>
      </c>
      <c r="K1065" s="5">
        <f>12512 / 86400</f>
        <v>0.14481481481481481</v>
      </c>
      <c r="L1065" s="5">
        <f>820 / 86400</f>
        <v>9.4907407407407406E-3</v>
      </c>
    </row>
    <row r="1066" spans="1:12" x14ac:dyDescent="0.25">
      <c r="A1066" s="3">
        <v>45699.416574074072</v>
      </c>
      <c r="B1066" t="s">
        <v>336</v>
      </c>
      <c r="C1066" s="3">
        <v>45699.541863425926</v>
      </c>
      <c r="D1066" t="s">
        <v>153</v>
      </c>
      <c r="E1066" s="4">
        <v>50.238</v>
      </c>
      <c r="F1066" s="4">
        <v>53828.644999999997</v>
      </c>
      <c r="G1066" s="4">
        <v>53878.883000000002</v>
      </c>
      <c r="H1066" s="5">
        <f>3665 / 86400</f>
        <v>4.2418981481481481E-2</v>
      </c>
      <c r="I1066" t="s">
        <v>173</v>
      </c>
      <c r="J1066" t="s">
        <v>42</v>
      </c>
      <c r="K1066" s="5">
        <f>10825 / 86400</f>
        <v>0.12528935185185186</v>
      </c>
      <c r="L1066" s="5">
        <f>594 / 86400</f>
        <v>6.875E-3</v>
      </c>
    </row>
    <row r="1067" spans="1:12" x14ac:dyDescent="0.25">
      <c r="A1067" s="3">
        <v>45699.548738425925</v>
      </c>
      <c r="B1067" t="s">
        <v>153</v>
      </c>
      <c r="C1067" s="3">
        <v>45699.551076388889</v>
      </c>
      <c r="D1067" t="s">
        <v>44</v>
      </c>
      <c r="E1067" s="4">
        <v>0.40899999999999997</v>
      </c>
      <c r="F1067" s="4">
        <v>53878.883000000002</v>
      </c>
      <c r="G1067" s="4">
        <v>53879.292000000001</v>
      </c>
      <c r="H1067" s="5">
        <f>57 / 86400</f>
        <v>6.5972222222222224E-4</v>
      </c>
      <c r="I1067" t="s">
        <v>31</v>
      </c>
      <c r="J1067" t="s">
        <v>28</v>
      </c>
      <c r="K1067" s="5">
        <f>202 / 86400</f>
        <v>2.3379629629629631E-3</v>
      </c>
      <c r="L1067" s="5">
        <f>1870 / 86400</f>
        <v>2.1643518518518517E-2</v>
      </c>
    </row>
    <row r="1068" spans="1:12" x14ac:dyDescent="0.25">
      <c r="A1068" s="3">
        <v>45699.572719907403</v>
      </c>
      <c r="B1068" t="s">
        <v>44</v>
      </c>
      <c r="C1068" s="3">
        <v>45699.57503472222</v>
      </c>
      <c r="D1068" t="s">
        <v>278</v>
      </c>
      <c r="E1068" s="4">
        <v>0.77</v>
      </c>
      <c r="F1068" s="4">
        <v>53879.292000000001</v>
      </c>
      <c r="G1068" s="4">
        <v>53880.061999999998</v>
      </c>
      <c r="H1068" s="5">
        <f>17 / 86400</f>
        <v>1.9675925925925926E-4</v>
      </c>
      <c r="I1068" t="s">
        <v>160</v>
      </c>
      <c r="J1068" t="s">
        <v>31</v>
      </c>
      <c r="K1068" s="5">
        <f>200 / 86400</f>
        <v>2.3148148148148147E-3</v>
      </c>
      <c r="L1068" s="5">
        <f>232 / 86400</f>
        <v>2.685185185185185E-3</v>
      </c>
    </row>
    <row r="1069" spans="1:12" x14ac:dyDescent="0.25">
      <c r="A1069" s="3">
        <v>45699.577719907407</v>
      </c>
      <c r="B1069" t="s">
        <v>278</v>
      </c>
      <c r="C1069" s="3">
        <v>45699.745740740742</v>
      </c>
      <c r="D1069" t="s">
        <v>250</v>
      </c>
      <c r="E1069" s="4">
        <v>59.478000000000002</v>
      </c>
      <c r="F1069" s="4">
        <v>53880.061999999998</v>
      </c>
      <c r="G1069" s="4">
        <v>53939.54</v>
      </c>
      <c r="H1069" s="5">
        <f>6430 / 86400</f>
        <v>7.4421296296296291E-2</v>
      </c>
      <c r="I1069" t="s">
        <v>74</v>
      </c>
      <c r="J1069" t="s">
        <v>19</v>
      </c>
      <c r="K1069" s="5">
        <f>14517 / 86400</f>
        <v>0.16802083333333334</v>
      </c>
      <c r="L1069" s="5">
        <f>20 / 86400</f>
        <v>2.3148148148148149E-4</v>
      </c>
    </row>
    <row r="1070" spans="1:12" x14ac:dyDescent="0.25">
      <c r="A1070" s="3">
        <v>45699.745972222227</v>
      </c>
      <c r="B1070" t="s">
        <v>250</v>
      </c>
      <c r="C1070" s="3">
        <v>45699.817719907413</v>
      </c>
      <c r="D1070" t="s">
        <v>426</v>
      </c>
      <c r="E1070" s="4">
        <v>27.274000000000001</v>
      </c>
      <c r="F1070" s="4">
        <v>53939.54</v>
      </c>
      <c r="G1070" s="4">
        <v>53966.813999999998</v>
      </c>
      <c r="H1070" s="5">
        <f>1980 / 86400</f>
        <v>2.2916666666666665E-2</v>
      </c>
      <c r="I1070" t="s">
        <v>66</v>
      </c>
      <c r="J1070" t="s">
        <v>37</v>
      </c>
      <c r="K1070" s="5">
        <f>6199 / 86400</f>
        <v>7.1747685185185192E-2</v>
      </c>
      <c r="L1070" s="5">
        <f>68 / 86400</f>
        <v>7.8703703703703705E-4</v>
      </c>
    </row>
    <row r="1071" spans="1:12" x14ac:dyDescent="0.25">
      <c r="A1071" s="3">
        <v>45699.818506944444</v>
      </c>
      <c r="B1071" t="s">
        <v>426</v>
      </c>
      <c r="C1071" s="3">
        <v>45699.854259259257</v>
      </c>
      <c r="D1071" t="s">
        <v>190</v>
      </c>
      <c r="E1071" s="4">
        <v>22.154</v>
      </c>
      <c r="F1071" s="4">
        <v>53966.813999999998</v>
      </c>
      <c r="G1071" s="4">
        <v>53988.968000000001</v>
      </c>
      <c r="H1071" s="5">
        <f>779 / 86400</f>
        <v>9.0162037037037034E-3</v>
      </c>
      <c r="I1071" t="s">
        <v>92</v>
      </c>
      <c r="J1071" t="s">
        <v>137</v>
      </c>
      <c r="K1071" s="5">
        <f>3089 / 86400</f>
        <v>3.5752314814814813E-2</v>
      </c>
      <c r="L1071" s="5">
        <f>564 / 86400</f>
        <v>6.5277777777777782E-3</v>
      </c>
    </row>
    <row r="1072" spans="1:12" x14ac:dyDescent="0.25">
      <c r="A1072" s="3">
        <v>45699.860787037032</v>
      </c>
      <c r="B1072" t="s">
        <v>190</v>
      </c>
      <c r="C1072" s="3">
        <v>45699.862118055556</v>
      </c>
      <c r="D1072" t="s">
        <v>190</v>
      </c>
      <c r="E1072" s="4">
        <v>0.753</v>
      </c>
      <c r="F1072" s="4">
        <v>53988.968000000001</v>
      </c>
      <c r="G1072" s="4">
        <v>53989.720999999998</v>
      </c>
      <c r="H1072" s="5">
        <f>18 / 86400</f>
        <v>2.0833333333333335E-4</v>
      </c>
      <c r="I1072" t="s">
        <v>183</v>
      </c>
      <c r="J1072" t="s">
        <v>130</v>
      </c>
      <c r="K1072" s="5">
        <f>115 / 86400</f>
        <v>1.3310185185185185E-3</v>
      </c>
      <c r="L1072" s="5">
        <f>346 / 86400</f>
        <v>4.0046296296296297E-3</v>
      </c>
    </row>
    <row r="1073" spans="1:12" x14ac:dyDescent="0.25">
      <c r="A1073" s="3">
        <v>45699.866122685184</v>
      </c>
      <c r="B1073" t="s">
        <v>190</v>
      </c>
      <c r="C1073" s="3">
        <v>45699.909826388888</v>
      </c>
      <c r="D1073" t="s">
        <v>82</v>
      </c>
      <c r="E1073" s="4">
        <v>15.805</v>
      </c>
      <c r="F1073" s="4">
        <v>53989.720999999998</v>
      </c>
      <c r="G1073" s="4">
        <v>54005.525999999998</v>
      </c>
      <c r="H1073" s="5">
        <f>1338 / 86400</f>
        <v>1.5486111111111112E-2</v>
      </c>
      <c r="I1073" t="s">
        <v>32</v>
      </c>
      <c r="J1073" t="s">
        <v>19</v>
      </c>
      <c r="K1073" s="5">
        <f>3776 / 86400</f>
        <v>4.3703703703703703E-2</v>
      </c>
      <c r="L1073" s="5">
        <f>409 / 86400</f>
        <v>4.7337962962962967E-3</v>
      </c>
    </row>
    <row r="1074" spans="1:12" x14ac:dyDescent="0.25">
      <c r="A1074" s="3">
        <v>45699.914560185185</v>
      </c>
      <c r="B1074" t="s">
        <v>82</v>
      </c>
      <c r="C1074" s="3">
        <v>45699.914722222224</v>
      </c>
      <c r="D1074" t="s">
        <v>82</v>
      </c>
      <c r="E1074" s="4">
        <v>2.7E-2</v>
      </c>
      <c r="F1074" s="4">
        <v>54005.525999999998</v>
      </c>
      <c r="G1074" s="4">
        <v>54005.553</v>
      </c>
      <c r="H1074" s="5">
        <f>0 / 86400</f>
        <v>0</v>
      </c>
      <c r="I1074" t="s">
        <v>125</v>
      </c>
      <c r="J1074" t="s">
        <v>28</v>
      </c>
      <c r="K1074" s="5">
        <f>14 / 86400</f>
        <v>1.6203703703703703E-4</v>
      </c>
      <c r="L1074" s="5">
        <f>138 / 86400</f>
        <v>1.5972222222222223E-3</v>
      </c>
    </row>
    <row r="1075" spans="1:12" x14ac:dyDescent="0.25">
      <c r="A1075" s="3">
        <v>45699.916319444441</v>
      </c>
      <c r="B1075" t="s">
        <v>82</v>
      </c>
      <c r="C1075" s="3">
        <v>45699.920590277776</v>
      </c>
      <c r="D1075" t="s">
        <v>30</v>
      </c>
      <c r="E1075" s="4">
        <v>1.653</v>
      </c>
      <c r="F1075" s="4">
        <v>54005.553</v>
      </c>
      <c r="G1075" s="4">
        <v>54007.205999999998</v>
      </c>
      <c r="H1075" s="5">
        <f>60 / 86400</f>
        <v>6.9444444444444447E-4</v>
      </c>
      <c r="I1075" t="s">
        <v>184</v>
      </c>
      <c r="J1075" t="s">
        <v>37</v>
      </c>
      <c r="K1075" s="5">
        <f>369 / 86400</f>
        <v>4.2708333333333331E-3</v>
      </c>
      <c r="L1075" s="5">
        <f>6860 / 86400</f>
        <v>7.9398148148148148E-2</v>
      </c>
    </row>
    <row r="1076" spans="1:12" x14ac:dyDescent="0.25">
      <c r="A1076" s="11"/>
      <c r="B1076" s="11"/>
      <c r="C1076" s="11"/>
      <c r="D1076" s="11"/>
      <c r="E1076" s="11"/>
      <c r="F1076" s="11"/>
      <c r="G1076" s="11"/>
      <c r="H1076" s="11"/>
      <c r="I1076" s="11"/>
      <c r="J1076" s="11"/>
    </row>
    <row r="1077" spans="1:12" x14ac:dyDescent="0.25">
      <c r="A1077" s="11"/>
      <c r="B1077" s="11"/>
      <c r="C1077" s="11"/>
      <c r="D1077" s="11"/>
      <c r="E1077" s="11"/>
      <c r="F1077" s="11"/>
      <c r="G1077" s="11"/>
      <c r="H1077" s="11"/>
      <c r="I1077" s="11"/>
      <c r="J1077" s="11"/>
    </row>
    <row r="1078" spans="1:12" s="10" customFormat="1" ht="20.100000000000001" customHeight="1" x14ac:dyDescent="0.35">
      <c r="A1078" s="12" t="s">
        <v>489</v>
      </c>
      <c r="B1078" s="12"/>
      <c r="C1078" s="12"/>
      <c r="D1078" s="12"/>
      <c r="E1078" s="12"/>
      <c r="F1078" s="12"/>
      <c r="G1078" s="12"/>
      <c r="H1078" s="12"/>
      <c r="I1078" s="12"/>
      <c r="J1078" s="12"/>
    </row>
    <row r="1079" spans="1:12" x14ac:dyDescent="0.25">
      <c r="A1079" s="11"/>
      <c r="B1079" s="11"/>
      <c r="C1079" s="11"/>
      <c r="D1079" s="11"/>
      <c r="E1079" s="11"/>
      <c r="F1079" s="11"/>
      <c r="G1079" s="11"/>
      <c r="H1079" s="11"/>
      <c r="I1079" s="11"/>
      <c r="J1079" s="11"/>
    </row>
    <row r="1080" spans="1:12" ht="30" x14ac:dyDescent="0.25">
      <c r="A1080" s="2" t="s">
        <v>5</v>
      </c>
      <c r="B1080" s="2" t="s">
        <v>6</v>
      </c>
      <c r="C1080" s="2" t="s">
        <v>7</v>
      </c>
      <c r="D1080" s="2" t="s">
        <v>8</v>
      </c>
      <c r="E1080" s="2" t="s">
        <v>9</v>
      </c>
      <c r="F1080" s="2" t="s">
        <v>10</v>
      </c>
      <c r="G1080" s="2" t="s">
        <v>11</v>
      </c>
      <c r="H1080" s="2" t="s">
        <v>12</v>
      </c>
      <c r="I1080" s="2" t="s">
        <v>13</v>
      </c>
      <c r="J1080" s="2" t="s">
        <v>14</v>
      </c>
      <c r="K1080" s="2" t="s">
        <v>15</v>
      </c>
      <c r="L1080" s="2" t="s">
        <v>16</v>
      </c>
    </row>
    <row r="1081" spans="1:12" x14ac:dyDescent="0.25">
      <c r="A1081" s="3">
        <v>45699.24936342593</v>
      </c>
      <c r="B1081" t="s">
        <v>97</v>
      </c>
      <c r="C1081" s="3">
        <v>45699.401087962964</v>
      </c>
      <c r="D1081" t="s">
        <v>438</v>
      </c>
      <c r="E1081" s="4">
        <v>54.158000000000001</v>
      </c>
      <c r="F1081" s="4">
        <v>45605.777999999998</v>
      </c>
      <c r="G1081" s="4">
        <v>45659.936000000002</v>
      </c>
      <c r="H1081" s="5">
        <f>5900 / 86400</f>
        <v>6.8287037037037035E-2</v>
      </c>
      <c r="I1081" t="s">
        <v>50</v>
      </c>
      <c r="J1081" t="s">
        <v>19</v>
      </c>
      <c r="K1081" s="5">
        <f>13109 / 86400</f>
        <v>0.15172453703703703</v>
      </c>
      <c r="L1081" s="5">
        <f>22025 / 86400</f>
        <v>0.25491898148148145</v>
      </c>
    </row>
    <row r="1082" spans="1:12" x14ac:dyDescent="0.25">
      <c r="A1082" s="3">
        <v>45699.406643518523</v>
      </c>
      <c r="B1082" t="s">
        <v>438</v>
      </c>
      <c r="C1082" s="3">
        <v>45699.420381944445</v>
      </c>
      <c r="D1082" t="s">
        <v>439</v>
      </c>
      <c r="E1082" s="4">
        <v>5.0149999999999997</v>
      </c>
      <c r="F1082" s="4">
        <v>45659.936000000002</v>
      </c>
      <c r="G1082" s="4">
        <v>45664.951000000001</v>
      </c>
      <c r="H1082" s="5">
        <f>478 / 86400</f>
        <v>5.5324074074074078E-3</v>
      </c>
      <c r="I1082" t="s">
        <v>176</v>
      </c>
      <c r="J1082" t="s">
        <v>19</v>
      </c>
      <c r="K1082" s="5">
        <f>1187 / 86400</f>
        <v>1.3738425925925926E-2</v>
      </c>
      <c r="L1082" s="5">
        <f>55 / 86400</f>
        <v>6.3657407407407413E-4</v>
      </c>
    </row>
    <row r="1083" spans="1:12" x14ac:dyDescent="0.25">
      <c r="A1083" s="3">
        <v>45699.421018518522</v>
      </c>
      <c r="B1083" t="s">
        <v>439</v>
      </c>
      <c r="C1083" s="3">
        <v>45699.422025462962</v>
      </c>
      <c r="D1083" t="s">
        <v>439</v>
      </c>
      <c r="E1083" s="4">
        <v>0</v>
      </c>
      <c r="F1083" s="4">
        <v>45664.951000000001</v>
      </c>
      <c r="G1083" s="4">
        <v>45664.951000000001</v>
      </c>
      <c r="H1083" s="5">
        <f>78 / 86400</f>
        <v>9.0277777777777774E-4</v>
      </c>
      <c r="I1083" t="s">
        <v>88</v>
      </c>
      <c r="J1083" t="s">
        <v>88</v>
      </c>
      <c r="K1083" s="5">
        <f>87 / 86400</f>
        <v>1.0069444444444444E-3</v>
      </c>
      <c r="L1083" s="5">
        <f>21999 / 86400</f>
        <v>0.25461805555555556</v>
      </c>
    </row>
    <row r="1084" spans="1:12" x14ac:dyDescent="0.25">
      <c r="A1084" s="3">
        <v>45699.67664351852</v>
      </c>
      <c r="B1084" t="s">
        <v>439</v>
      </c>
      <c r="C1084" s="3">
        <v>45699.676793981482</v>
      </c>
      <c r="D1084" t="s">
        <v>439</v>
      </c>
      <c r="E1084" s="4">
        <v>0</v>
      </c>
      <c r="F1084" s="4">
        <v>45664.951000000001</v>
      </c>
      <c r="G1084" s="4">
        <v>45664.951000000001</v>
      </c>
      <c r="H1084" s="5">
        <f>0 / 86400</f>
        <v>0</v>
      </c>
      <c r="I1084" t="s">
        <v>88</v>
      </c>
      <c r="J1084" t="s">
        <v>88</v>
      </c>
      <c r="K1084" s="5">
        <f>13 / 86400</f>
        <v>1.5046296296296297E-4</v>
      </c>
      <c r="L1084" s="5">
        <f>39 / 86400</f>
        <v>4.5138888888888887E-4</v>
      </c>
    </row>
    <row r="1085" spans="1:12" x14ac:dyDescent="0.25">
      <c r="A1085" s="3">
        <v>45699.677245370374</v>
      </c>
      <c r="B1085" t="s">
        <v>439</v>
      </c>
      <c r="C1085" s="3">
        <v>45699.677372685182</v>
      </c>
      <c r="D1085" t="s">
        <v>439</v>
      </c>
      <c r="E1085" s="4">
        <v>0</v>
      </c>
      <c r="F1085" s="4">
        <v>45664.951000000001</v>
      </c>
      <c r="G1085" s="4">
        <v>45664.951000000001</v>
      </c>
      <c r="H1085" s="5">
        <f>0 / 86400</f>
        <v>0</v>
      </c>
      <c r="I1085" t="s">
        <v>88</v>
      </c>
      <c r="J1085" t="s">
        <v>88</v>
      </c>
      <c r="K1085" s="5">
        <f>11 / 86400</f>
        <v>1.273148148148148E-4</v>
      </c>
      <c r="L1085" s="5">
        <f>15 / 86400</f>
        <v>1.7361111111111112E-4</v>
      </c>
    </row>
    <row r="1086" spans="1:12" x14ac:dyDescent="0.25">
      <c r="A1086" s="3">
        <v>45699.677546296298</v>
      </c>
      <c r="B1086" t="s">
        <v>439</v>
      </c>
      <c r="C1086" s="3">
        <v>45699.67868055556</v>
      </c>
      <c r="D1086" t="s">
        <v>439</v>
      </c>
      <c r="E1086" s="4">
        <v>0</v>
      </c>
      <c r="F1086" s="4">
        <v>45664.951000000001</v>
      </c>
      <c r="G1086" s="4">
        <v>45664.951000000001</v>
      </c>
      <c r="H1086" s="5">
        <f>78 / 86400</f>
        <v>9.0277777777777774E-4</v>
      </c>
      <c r="I1086" t="s">
        <v>88</v>
      </c>
      <c r="J1086" t="s">
        <v>88</v>
      </c>
      <c r="K1086" s="5">
        <f>98 / 86400</f>
        <v>1.1342592592592593E-3</v>
      </c>
      <c r="L1086" s="5">
        <f>18 / 86400</f>
        <v>2.0833333333333335E-4</v>
      </c>
    </row>
    <row r="1087" spans="1:12" x14ac:dyDescent="0.25">
      <c r="A1087" s="3">
        <v>45699.678888888884</v>
      </c>
      <c r="B1087" t="s">
        <v>439</v>
      </c>
      <c r="C1087" s="3">
        <v>45699.679189814815</v>
      </c>
      <c r="D1087" t="s">
        <v>439</v>
      </c>
      <c r="E1087" s="4">
        <v>0</v>
      </c>
      <c r="F1087" s="4">
        <v>45664.951000000001</v>
      </c>
      <c r="G1087" s="4">
        <v>45664.951000000001</v>
      </c>
      <c r="H1087" s="5">
        <f>17 / 86400</f>
        <v>1.9675925925925926E-4</v>
      </c>
      <c r="I1087" t="s">
        <v>88</v>
      </c>
      <c r="J1087" t="s">
        <v>88</v>
      </c>
      <c r="K1087" s="5">
        <f>26 / 86400</f>
        <v>3.0092592592592595E-4</v>
      </c>
      <c r="L1087" s="5">
        <f>146 / 86400</f>
        <v>1.6898148148148148E-3</v>
      </c>
    </row>
    <row r="1088" spans="1:12" x14ac:dyDescent="0.25">
      <c r="A1088" s="3">
        <v>45699.680879629625</v>
      </c>
      <c r="B1088" t="s">
        <v>439</v>
      </c>
      <c r="C1088" s="3">
        <v>45699.682222222225</v>
      </c>
      <c r="D1088" t="s">
        <v>439</v>
      </c>
      <c r="E1088" s="4">
        <v>0</v>
      </c>
      <c r="F1088" s="4">
        <v>45664.951000000001</v>
      </c>
      <c r="G1088" s="4">
        <v>45664.951000000001</v>
      </c>
      <c r="H1088" s="5">
        <f>98 / 86400</f>
        <v>1.1342592592592593E-3</v>
      </c>
      <c r="I1088" t="s">
        <v>88</v>
      </c>
      <c r="J1088" t="s">
        <v>88</v>
      </c>
      <c r="K1088" s="5">
        <f>116 / 86400</f>
        <v>1.3425925925925925E-3</v>
      </c>
      <c r="L1088" s="5">
        <f>59 / 86400</f>
        <v>6.8287037037037036E-4</v>
      </c>
    </row>
    <row r="1089" spans="1:12" x14ac:dyDescent="0.25">
      <c r="A1089" s="3">
        <v>45699.682905092588</v>
      </c>
      <c r="B1089" t="s">
        <v>439</v>
      </c>
      <c r="C1089" s="3">
        <v>45699.685057870374</v>
      </c>
      <c r="D1089" t="s">
        <v>440</v>
      </c>
      <c r="E1089" s="4">
        <v>0.38100000000000001</v>
      </c>
      <c r="F1089" s="4">
        <v>45664.951000000001</v>
      </c>
      <c r="G1089" s="4">
        <v>45665.332000000002</v>
      </c>
      <c r="H1089" s="5">
        <f>60 / 86400</f>
        <v>6.9444444444444447E-4</v>
      </c>
      <c r="I1089" t="s">
        <v>22</v>
      </c>
      <c r="J1089" t="s">
        <v>28</v>
      </c>
      <c r="K1089" s="5">
        <f>186 / 86400</f>
        <v>2.1527777777777778E-3</v>
      </c>
      <c r="L1089" s="5">
        <f>246 / 86400</f>
        <v>2.8472222222222223E-3</v>
      </c>
    </row>
    <row r="1090" spans="1:12" x14ac:dyDescent="0.25">
      <c r="A1090" s="3">
        <v>45699.687905092593</v>
      </c>
      <c r="B1090" t="s">
        <v>440</v>
      </c>
      <c r="C1090" s="3">
        <v>45699.690046296295</v>
      </c>
      <c r="D1090" t="s">
        <v>439</v>
      </c>
      <c r="E1090" s="4">
        <v>0.61799999999999999</v>
      </c>
      <c r="F1090" s="4">
        <v>45665.332000000002</v>
      </c>
      <c r="G1090" s="4">
        <v>45665.95</v>
      </c>
      <c r="H1090" s="5">
        <f>39 / 86400</f>
        <v>4.5138888888888887E-4</v>
      </c>
      <c r="I1090" t="s">
        <v>203</v>
      </c>
      <c r="J1090" t="s">
        <v>131</v>
      </c>
      <c r="K1090" s="5">
        <f>185 / 86400</f>
        <v>2.1412037037037038E-3</v>
      </c>
      <c r="L1090" s="5">
        <f>497 / 86400</f>
        <v>5.7523148148148151E-3</v>
      </c>
    </row>
    <row r="1091" spans="1:12" x14ac:dyDescent="0.25">
      <c r="A1091" s="3">
        <v>45699.695798611108</v>
      </c>
      <c r="B1091" t="s">
        <v>439</v>
      </c>
      <c r="C1091" s="3">
        <v>45699.779143518521</v>
      </c>
      <c r="D1091" t="s">
        <v>151</v>
      </c>
      <c r="E1091" s="4">
        <v>37.539000000000001</v>
      </c>
      <c r="F1091" s="4">
        <v>45665.95</v>
      </c>
      <c r="G1091" s="4">
        <v>45703.489000000001</v>
      </c>
      <c r="H1091" s="5">
        <f>1880 / 86400</f>
        <v>2.1759259259259259E-2</v>
      </c>
      <c r="I1091" t="s">
        <v>92</v>
      </c>
      <c r="J1091" t="s">
        <v>22</v>
      </c>
      <c r="K1091" s="5">
        <f>7201 / 86400</f>
        <v>8.3344907407407409E-2</v>
      </c>
      <c r="L1091" s="5">
        <f>278 / 86400</f>
        <v>3.2175925925925926E-3</v>
      </c>
    </row>
    <row r="1092" spans="1:12" x14ac:dyDescent="0.25">
      <c r="A1092" s="3">
        <v>45699.782361111109</v>
      </c>
      <c r="B1092" t="s">
        <v>151</v>
      </c>
      <c r="C1092" s="3">
        <v>45699.785752314812</v>
      </c>
      <c r="D1092" t="s">
        <v>441</v>
      </c>
      <c r="E1092" s="4">
        <v>1.284</v>
      </c>
      <c r="F1092" s="4">
        <v>45703.489000000001</v>
      </c>
      <c r="G1092" s="4">
        <v>45704.773000000001</v>
      </c>
      <c r="H1092" s="5">
        <f>18 / 86400</f>
        <v>2.0833333333333335E-4</v>
      </c>
      <c r="I1092" t="s">
        <v>178</v>
      </c>
      <c r="J1092" t="s">
        <v>37</v>
      </c>
      <c r="K1092" s="5">
        <f>293 / 86400</f>
        <v>3.3912037037037036E-3</v>
      </c>
      <c r="L1092" s="5">
        <f>290 / 86400</f>
        <v>3.3564814814814816E-3</v>
      </c>
    </row>
    <row r="1093" spans="1:12" x14ac:dyDescent="0.25">
      <c r="A1093" s="3">
        <v>45699.789108796293</v>
      </c>
      <c r="B1093" t="s">
        <v>441</v>
      </c>
      <c r="C1093" s="3">
        <v>45699.791145833333</v>
      </c>
      <c r="D1093" t="s">
        <v>98</v>
      </c>
      <c r="E1093" s="4">
        <v>0.372</v>
      </c>
      <c r="F1093" s="4">
        <v>45704.773000000001</v>
      </c>
      <c r="G1093" s="4">
        <v>45705.144999999997</v>
      </c>
      <c r="H1093" s="5">
        <f>60 / 86400</f>
        <v>6.9444444444444447E-4</v>
      </c>
      <c r="I1093" t="s">
        <v>152</v>
      </c>
      <c r="J1093" t="s">
        <v>125</v>
      </c>
      <c r="K1093" s="5">
        <f>176 / 86400</f>
        <v>2.0370370370370369E-3</v>
      </c>
      <c r="L1093" s="5">
        <f>18044 / 86400</f>
        <v>0.20884259259259258</v>
      </c>
    </row>
    <row r="1094" spans="1:12" x14ac:dyDescent="0.25">
      <c r="A1094" s="11"/>
      <c r="B1094" s="11"/>
      <c r="C1094" s="11"/>
      <c r="D1094" s="11"/>
      <c r="E1094" s="11"/>
      <c r="F1094" s="11"/>
      <c r="G1094" s="11"/>
      <c r="H1094" s="11"/>
      <c r="I1094" s="11"/>
      <c r="J1094" s="11"/>
    </row>
    <row r="1095" spans="1:12" x14ac:dyDescent="0.25">
      <c r="A1095" s="11"/>
      <c r="B1095" s="11"/>
      <c r="C1095" s="11"/>
      <c r="D1095" s="11"/>
      <c r="E1095" s="11"/>
      <c r="F1095" s="11"/>
      <c r="G1095" s="11"/>
      <c r="H1095" s="11"/>
      <c r="I1095" s="11"/>
      <c r="J1095" s="11"/>
    </row>
    <row r="1096" spans="1:12" s="10" customFormat="1" ht="20.100000000000001" customHeight="1" x14ac:dyDescent="0.35">
      <c r="A1096" s="12" t="s">
        <v>490</v>
      </c>
      <c r="B1096" s="12"/>
      <c r="C1096" s="12"/>
      <c r="D1096" s="12"/>
      <c r="E1096" s="12"/>
      <c r="F1096" s="12"/>
      <c r="G1096" s="12"/>
      <c r="H1096" s="12"/>
      <c r="I1096" s="12"/>
      <c r="J1096" s="12"/>
    </row>
    <row r="1097" spans="1:12" x14ac:dyDescent="0.25">
      <c r="A1097" s="11"/>
      <c r="B1097" s="11"/>
      <c r="C1097" s="11"/>
      <c r="D1097" s="11"/>
      <c r="E1097" s="11"/>
      <c r="F1097" s="11"/>
      <c r="G1097" s="11"/>
      <c r="H1097" s="11"/>
      <c r="I1097" s="11"/>
      <c r="J1097" s="11"/>
    </row>
    <row r="1098" spans="1:12" ht="30" x14ac:dyDescent="0.25">
      <c r="A1098" s="2" t="s">
        <v>5</v>
      </c>
      <c r="B1098" s="2" t="s">
        <v>6</v>
      </c>
      <c r="C1098" s="2" t="s">
        <v>7</v>
      </c>
      <c r="D1098" s="2" t="s">
        <v>8</v>
      </c>
      <c r="E1098" s="2" t="s">
        <v>9</v>
      </c>
      <c r="F1098" s="2" t="s">
        <v>10</v>
      </c>
      <c r="G1098" s="2" t="s">
        <v>11</v>
      </c>
      <c r="H1098" s="2" t="s">
        <v>12</v>
      </c>
      <c r="I1098" s="2" t="s">
        <v>13</v>
      </c>
      <c r="J1098" s="2" t="s">
        <v>14</v>
      </c>
      <c r="K1098" s="2" t="s">
        <v>15</v>
      </c>
      <c r="L1098" s="2" t="s">
        <v>16</v>
      </c>
    </row>
    <row r="1099" spans="1:12" x14ac:dyDescent="0.25">
      <c r="A1099" s="3">
        <v>45699.162233796298</v>
      </c>
      <c r="B1099" t="s">
        <v>99</v>
      </c>
      <c r="C1099" s="3">
        <v>45699.350277777776</v>
      </c>
      <c r="D1099" t="s">
        <v>277</v>
      </c>
      <c r="E1099" s="4">
        <v>100.29300000000001</v>
      </c>
      <c r="F1099" s="4">
        <v>78190.534</v>
      </c>
      <c r="G1099" s="4">
        <v>78290.827000000005</v>
      </c>
      <c r="H1099" s="5">
        <f>4300 / 86400</f>
        <v>4.9768518518518517E-2</v>
      </c>
      <c r="I1099" t="s">
        <v>66</v>
      </c>
      <c r="J1099" t="s">
        <v>34</v>
      </c>
      <c r="K1099" s="5">
        <f>16247 / 86400</f>
        <v>0.18804398148148149</v>
      </c>
      <c r="L1099" s="5">
        <f>14036 / 86400</f>
        <v>0.16245370370370371</v>
      </c>
    </row>
    <row r="1100" spans="1:12" x14ac:dyDescent="0.25">
      <c r="A1100" s="3">
        <v>45699.350497685184</v>
      </c>
      <c r="B1100" t="s">
        <v>277</v>
      </c>
      <c r="C1100" s="3">
        <v>45699.350891203707</v>
      </c>
      <c r="D1100" t="s">
        <v>277</v>
      </c>
      <c r="E1100" s="4">
        <v>2.9000000000000001E-2</v>
      </c>
      <c r="F1100" s="4">
        <v>78290.827000000005</v>
      </c>
      <c r="G1100" s="4">
        <v>78290.856</v>
      </c>
      <c r="H1100" s="5">
        <f>20 / 86400</f>
        <v>2.3148148148148149E-4</v>
      </c>
      <c r="I1100" t="s">
        <v>112</v>
      </c>
      <c r="J1100" t="s">
        <v>157</v>
      </c>
      <c r="K1100" s="5">
        <f>34 / 86400</f>
        <v>3.9351851851851852E-4</v>
      </c>
      <c r="L1100" s="5">
        <f>446 / 86400</f>
        <v>5.162037037037037E-3</v>
      </c>
    </row>
    <row r="1101" spans="1:12" x14ac:dyDescent="0.25">
      <c r="A1101" s="3">
        <v>45699.356053240743</v>
      </c>
      <c r="B1101" t="s">
        <v>277</v>
      </c>
      <c r="C1101" s="3">
        <v>45699.356886574074</v>
      </c>
      <c r="D1101" t="s">
        <v>105</v>
      </c>
      <c r="E1101" s="4">
        <v>0.11700000000000001</v>
      </c>
      <c r="F1101" s="4">
        <v>78290.856</v>
      </c>
      <c r="G1101" s="4">
        <v>78290.972999999998</v>
      </c>
      <c r="H1101" s="5">
        <f>17 / 86400</f>
        <v>1.9675925925925926E-4</v>
      </c>
      <c r="I1101" t="s">
        <v>22</v>
      </c>
      <c r="J1101" t="s">
        <v>128</v>
      </c>
      <c r="K1101" s="5">
        <f>72 / 86400</f>
        <v>8.3333333333333339E-4</v>
      </c>
      <c r="L1101" s="5">
        <f>101 / 86400</f>
        <v>1.1689814814814816E-3</v>
      </c>
    </row>
    <row r="1102" spans="1:12" x14ac:dyDescent="0.25">
      <c r="A1102" s="3">
        <v>45699.358055555553</v>
      </c>
      <c r="B1102" t="s">
        <v>105</v>
      </c>
      <c r="C1102" s="3">
        <v>45699.361608796295</v>
      </c>
      <c r="D1102" t="s">
        <v>151</v>
      </c>
      <c r="E1102" s="4">
        <v>0.192</v>
      </c>
      <c r="F1102" s="4">
        <v>78290.972999999998</v>
      </c>
      <c r="G1102" s="4">
        <v>78291.164999999994</v>
      </c>
      <c r="H1102" s="5">
        <f>238 / 86400</f>
        <v>2.7546296296296294E-3</v>
      </c>
      <c r="I1102" t="s">
        <v>152</v>
      </c>
      <c r="J1102" t="s">
        <v>57</v>
      </c>
      <c r="K1102" s="5">
        <f>307 / 86400</f>
        <v>3.5532407407407409E-3</v>
      </c>
      <c r="L1102" s="5">
        <f>32 / 86400</f>
        <v>3.7037037037037035E-4</v>
      </c>
    </row>
    <row r="1103" spans="1:12" x14ac:dyDescent="0.25">
      <c r="A1103" s="3">
        <v>45699.361979166672</v>
      </c>
      <c r="B1103" t="s">
        <v>151</v>
      </c>
      <c r="C1103" s="3">
        <v>45699.364756944444</v>
      </c>
      <c r="D1103" t="s">
        <v>159</v>
      </c>
      <c r="E1103" s="4">
        <v>1.1759999999999999</v>
      </c>
      <c r="F1103" s="4">
        <v>78291.164999999994</v>
      </c>
      <c r="G1103" s="4">
        <v>78292.341</v>
      </c>
      <c r="H1103" s="5">
        <f>0 / 86400</f>
        <v>0</v>
      </c>
      <c r="I1103" t="s">
        <v>285</v>
      </c>
      <c r="J1103" t="s">
        <v>26</v>
      </c>
      <c r="K1103" s="5">
        <f>240 / 86400</f>
        <v>2.7777777777777779E-3</v>
      </c>
      <c r="L1103" s="5">
        <f>368 / 86400</f>
        <v>4.2592592592592595E-3</v>
      </c>
    </row>
    <row r="1104" spans="1:12" x14ac:dyDescent="0.25">
      <c r="A1104" s="3">
        <v>45699.369016203702</v>
      </c>
      <c r="B1104" t="s">
        <v>159</v>
      </c>
      <c r="C1104" s="3">
        <v>45699.571273148147</v>
      </c>
      <c r="D1104" t="s">
        <v>35</v>
      </c>
      <c r="E1104" s="4">
        <v>82.052999999999997</v>
      </c>
      <c r="F1104" s="4">
        <v>78292.341</v>
      </c>
      <c r="G1104" s="4">
        <v>78374.394</v>
      </c>
      <c r="H1104" s="5">
        <f>6299 / 86400</f>
        <v>7.2905092592592591E-2</v>
      </c>
      <c r="I1104" t="s">
        <v>75</v>
      </c>
      <c r="J1104" t="s">
        <v>42</v>
      </c>
      <c r="K1104" s="5">
        <f>17475 / 86400</f>
        <v>0.20225694444444445</v>
      </c>
      <c r="L1104" s="5">
        <f>57 / 86400</f>
        <v>6.5972222222222224E-4</v>
      </c>
    </row>
    <row r="1105" spans="1:12" x14ac:dyDescent="0.25">
      <c r="A1105" s="3">
        <v>45699.571932870371</v>
      </c>
      <c r="B1105" t="s">
        <v>35</v>
      </c>
      <c r="C1105" s="3">
        <v>45699.60083333333</v>
      </c>
      <c r="D1105" t="s">
        <v>105</v>
      </c>
      <c r="E1105" s="4">
        <v>16.425000000000001</v>
      </c>
      <c r="F1105" s="4">
        <v>78374.394</v>
      </c>
      <c r="G1105" s="4">
        <v>78390.819000000003</v>
      </c>
      <c r="H1105" s="5">
        <f>560 / 86400</f>
        <v>6.4814814814814813E-3</v>
      </c>
      <c r="I1105" t="s">
        <v>133</v>
      </c>
      <c r="J1105" t="s">
        <v>130</v>
      </c>
      <c r="K1105" s="5">
        <f>2497 / 86400</f>
        <v>2.8900462962962965E-2</v>
      </c>
      <c r="L1105" s="5">
        <f>371 / 86400</f>
        <v>4.2939814814814811E-3</v>
      </c>
    </row>
    <row r="1106" spans="1:12" x14ac:dyDescent="0.25">
      <c r="A1106" s="3">
        <v>45699.605127314819</v>
      </c>
      <c r="B1106" t="s">
        <v>105</v>
      </c>
      <c r="C1106" s="3">
        <v>45699.710752314815</v>
      </c>
      <c r="D1106" t="s">
        <v>442</v>
      </c>
      <c r="E1106" s="4">
        <v>48.186</v>
      </c>
      <c r="F1106" s="4">
        <v>78390.819000000003</v>
      </c>
      <c r="G1106" s="4">
        <v>78439.005000000005</v>
      </c>
      <c r="H1106" s="5">
        <f>2701 / 86400</f>
        <v>3.1261574074074074E-2</v>
      </c>
      <c r="I1106" t="s">
        <v>75</v>
      </c>
      <c r="J1106" t="s">
        <v>22</v>
      </c>
      <c r="K1106" s="5">
        <f>9126 / 86400</f>
        <v>0.105625</v>
      </c>
      <c r="L1106" s="5">
        <f>2379 / 86400</f>
        <v>2.7534722222222221E-2</v>
      </c>
    </row>
    <row r="1107" spans="1:12" x14ac:dyDescent="0.25">
      <c r="A1107" s="3">
        <v>45699.738287037035</v>
      </c>
      <c r="B1107" t="s">
        <v>442</v>
      </c>
      <c r="C1107" s="3">
        <v>45699.87091435185</v>
      </c>
      <c r="D1107" t="s">
        <v>151</v>
      </c>
      <c r="E1107" s="4">
        <v>49.465000000000003</v>
      </c>
      <c r="F1107" s="4">
        <v>78439.005000000005</v>
      </c>
      <c r="G1107" s="4">
        <v>78488.47</v>
      </c>
      <c r="H1107" s="5">
        <f>3743 / 86400</f>
        <v>4.3321759259259261E-2</v>
      </c>
      <c r="I1107" t="s">
        <v>36</v>
      </c>
      <c r="J1107" t="s">
        <v>37</v>
      </c>
      <c r="K1107" s="5">
        <f>11459 / 86400</f>
        <v>0.13262731481481482</v>
      </c>
      <c r="L1107" s="5">
        <f>601 / 86400</f>
        <v>6.9560185185185185E-3</v>
      </c>
    </row>
    <row r="1108" spans="1:12" x14ac:dyDescent="0.25">
      <c r="A1108" s="3">
        <v>45699.877870370372</v>
      </c>
      <c r="B1108" t="s">
        <v>151</v>
      </c>
      <c r="C1108" s="3">
        <v>45699.882013888884</v>
      </c>
      <c r="D1108" t="s">
        <v>99</v>
      </c>
      <c r="E1108" s="4">
        <v>0.90700000000000003</v>
      </c>
      <c r="F1108" s="4">
        <v>78488.47</v>
      </c>
      <c r="G1108" s="4">
        <v>78489.376999999993</v>
      </c>
      <c r="H1108" s="5">
        <f>180 / 86400</f>
        <v>2.0833333333333333E-3</v>
      </c>
      <c r="I1108" t="s">
        <v>202</v>
      </c>
      <c r="J1108" t="s">
        <v>127</v>
      </c>
      <c r="K1108" s="5">
        <f>358 / 86400</f>
        <v>4.1435185185185186E-3</v>
      </c>
      <c r="L1108" s="5">
        <f>10193 / 86400</f>
        <v>0.11797453703703703</v>
      </c>
    </row>
    <row r="1109" spans="1:12" x14ac:dyDescent="0.25">
      <c r="A1109" s="11"/>
      <c r="B1109" s="11"/>
      <c r="C1109" s="11"/>
      <c r="D1109" s="11"/>
      <c r="E1109" s="11"/>
      <c r="F1109" s="11"/>
      <c r="G1109" s="11"/>
      <c r="H1109" s="11"/>
      <c r="I1109" s="11"/>
      <c r="J1109" s="11"/>
    </row>
    <row r="1110" spans="1:12" x14ac:dyDescent="0.25">
      <c r="A1110" s="11"/>
      <c r="B1110" s="11"/>
      <c r="C1110" s="11"/>
      <c r="D1110" s="11"/>
      <c r="E1110" s="11"/>
      <c r="F1110" s="11"/>
      <c r="G1110" s="11"/>
      <c r="H1110" s="11"/>
      <c r="I1110" s="11"/>
      <c r="J1110" s="11"/>
    </row>
    <row r="1111" spans="1:12" s="10" customFormat="1" ht="20.100000000000001" customHeight="1" x14ac:dyDescent="0.35">
      <c r="A1111" s="12" t="s">
        <v>491</v>
      </c>
      <c r="B1111" s="12"/>
      <c r="C1111" s="12"/>
      <c r="D1111" s="12"/>
      <c r="E1111" s="12"/>
      <c r="F1111" s="12"/>
      <c r="G1111" s="12"/>
      <c r="H1111" s="12"/>
      <c r="I1111" s="12"/>
      <c r="J1111" s="12"/>
    </row>
    <row r="1112" spans="1:12" x14ac:dyDescent="0.25">
      <c r="A1112" s="11"/>
      <c r="B1112" s="11"/>
      <c r="C1112" s="11"/>
      <c r="D1112" s="11"/>
      <c r="E1112" s="11"/>
      <c r="F1112" s="11"/>
      <c r="G1112" s="11"/>
      <c r="H1112" s="11"/>
      <c r="I1112" s="11"/>
      <c r="J1112" s="11"/>
    </row>
    <row r="1113" spans="1:12" ht="30" x14ac:dyDescent="0.25">
      <c r="A1113" s="2" t="s">
        <v>5</v>
      </c>
      <c r="B1113" s="2" t="s">
        <v>6</v>
      </c>
      <c r="C1113" s="2" t="s">
        <v>7</v>
      </c>
      <c r="D1113" s="2" t="s">
        <v>8</v>
      </c>
      <c r="E1113" s="2" t="s">
        <v>9</v>
      </c>
      <c r="F1113" s="2" t="s">
        <v>10</v>
      </c>
      <c r="G1113" s="2" t="s">
        <v>11</v>
      </c>
      <c r="H1113" s="2" t="s">
        <v>12</v>
      </c>
      <c r="I1113" s="2" t="s">
        <v>13</v>
      </c>
      <c r="J1113" s="2" t="s">
        <v>14</v>
      </c>
      <c r="K1113" s="2" t="s">
        <v>15</v>
      </c>
      <c r="L1113" s="2" t="s">
        <v>16</v>
      </c>
    </row>
    <row r="1114" spans="1:12" x14ac:dyDescent="0.25">
      <c r="A1114" s="3">
        <v>45699</v>
      </c>
      <c r="B1114" t="s">
        <v>100</v>
      </c>
      <c r="C1114" s="3">
        <v>45699.013761574075</v>
      </c>
      <c r="D1114" t="s">
        <v>101</v>
      </c>
      <c r="E1114" s="4">
        <v>9.2439999999999998</v>
      </c>
      <c r="F1114" s="4">
        <v>39677.938999999998</v>
      </c>
      <c r="G1114" s="4">
        <v>39687.182999999997</v>
      </c>
      <c r="H1114" s="5">
        <f>210 / 86400</f>
        <v>2.4305555555555556E-3</v>
      </c>
      <c r="I1114" t="s">
        <v>75</v>
      </c>
      <c r="J1114" t="s">
        <v>178</v>
      </c>
      <c r="K1114" s="5">
        <f>1189 / 86400</f>
        <v>1.3761574074074074E-2</v>
      </c>
      <c r="L1114" s="5">
        <f>1743 / 86400</f>
        <v>2.0173611111111111E-2</v>
      </c>
    </row>
    <row r="1115" spans="1:12" x14ac:dyDescent="0.25">
      <c r="A1115" s="3">
        <v>45699.033935185187</v>
      </c>
      <c r="B1115" t="s">
        <v>76</v>
      </c>
      <c r="C1115" s="3">
        <v>45699.040567129632</v>
      </c>
      <c r="D1115" t="s">
        <v>443</v>
      </c>
      <c r="E1115" s="4">
        <v>3.4239999999999999</v>
      </c>
      <c r="F1115" s="4">
        <v>39687.182999999997</v>
      </c>
      <c r="G1115" s="4">
        <v>39690.607000000004</v>
      </c>
      <c r="H1115" s="5">
        <f>120 / 86400</f>
        <v>1.3888888888888889E-3</v>
      </c>
      <c r="I1115" t="s">
        <v>156</v>
      </c>
      <c r="J1115" t="s">
        <v>34</v>
      </c>
      <c r="K1115" s="5">
        <f>573 / 86400</f>
        <v>6.6319444444444446E-3</v>
      </c>
      <c r="L1115" s="5">
        <f>11613 / 86400</f>
        <v>0.13440972222222222</v>
      </c>
    </row>
    <row r="1116" spans="1:12" x14ac:dyDescent="0.25">
      <c r="A1116" s="3">
        <v>45699.174976851849</v>
      </c>
      <c r="B1116" t="s">
        <v>443</v>
      </c>
      <c r="C1116" s="3">
        <v>45699.361180555556</v>
      </c>
      <c r="D1116" t="s">
        <v>153</v>
      </c>
      <c r="E1116" s="4">
        <v>89.652000000000001</v>
      </c>
      <c r="F1116" s="4">
        <v>39690.607000000004</v>
      </c>
      <c r="G1116" s="4">
        <v>39780.258999999998</v>
      </c>
      <c r="H1116" s="5">
        <f>4589 / 86400</f>
        <v>5.3113425925925925E-2</v>
      </c>
      <c r="I1116" t="s">
        <v>83</v>
      </c>
      <c r="J1116" t="s">
        <v>152</v>
      </c>
      <c r="K1116" s="5">
        <f>16088 / 86400</f>
        <v>0.1862037037037037</v>
      </c>
      <c r="L1116" s="5">
        <f>117 / 86400</f>
        <v>1.3541666666666667E-3</v>
      </c>
    </row>
    <row r="1117" spans="1:12" x14ac:dyDescent="0.25">
      <c r="A1117" s="3">
        <v>45699.362534722226</v>
      </c>
      <c r="B1117" t="s">
        <v>153</v>
      </c>
      <c r="C1117" s="3">
        <v>45699.363379629634</v>
      </c>
      <c r="D1117" t="s">
        <v>153</v>
      </c>
      <c r="E1117" s="4">
        <v>4.3999999999999997E-2</v>
      </c>
      <c r="F1117" s="4">
        <v>39780.258999999998</v>
      </c>
      <c r="G1117" s="4">
        <v>39780.303</v>
      </c>
      <c r="H1117" s="5">
        <f>60 / 86400</f>
        <v>6.9444444444444447E-4</v>
      </c>
      <c r="I1117" t="s">
        <v>127</v>
      </c>
      <c r="J1117" t="s">
        <v>57</v>
      </c>
      <c r="K1117" s="5">
        <f>73 / 86400</f>
        <v>8.4490740740740739E-4</v>
      </c>
      <c r="L1117" s="5">
        <f>1229 / 86400</f>
        <v>1.4224537037037037E-2</v>
      </c>
    </row>
    <row r="1118" spans="1:12" x14ac:dyDescent="0.25">
      <c r="A1118" s="3">
        <v>45699.377604166672</v>
      </c>
      <c r="B1118" t="s">
        <v>153</v>
      </c>
      <c r="C1118" s="3">
        <v>45699.381076388891</v>
      </c>
      <c r="D1118" t="s">
        <v>277</v>
      </c>
      <c r="E1118" s="4">
        <v>0.874</v>
      </c>
      <c r="F1118" s="4">
        <v>39780.303</v>
      </c>
      <c r="G1118" s="4">
        <v>39781.177000000003</v>
      </c>
      <c r="H1118" s="5">
        <f>29 / 86400</f>
        <v>3.3564814814814812E-4</v>
      </c>
      <c r="I1118" t="s">
        <v>171</v>
      </c>
      <c r="J1118" t="s">
        <v>112</v>
      </c>
      <c r="K1118" s="5">
        <f>300 / 86400</f>
        <v>3.472222222222222E-3</v>
      </c>
      <c r="L1118" s="5">
        <f>1026 / 86400</f>
        <v>1.1875E-2</v>
      </c>
    </row>
    <row r="1119" spans="1:12" x14ac:dyDescent="0.25">
      <c r="A1119" s="3">
        <v>45699.392951388887</v>
      </c>
      <c r="B1119" t="s">
        <v>277</v>
      </c>
      <c r="C1119" s="3">
        <v>45699.397731481484</v>
      </c>
      <c r="D1119" t="s">
        <v>144</v>
      </c>
      <c r="E1119" s="4">
        <v>1.37</v>
      </c>
      <c r="F1119" s="4">
        <v>39781.177000000003</v>
      </c>
      <c r="G1119" s="4">
        <v>39782.546999999999</v>
      </c>
      <c r="H1119" s="5">
        <f>60 / 86400</f>
        <v>6.9444444444444447E-4</v>
      </c>
      <c r="I1119" t="s">
        <v>202</v>
      </c>
      <c r="J1119" t="s">
        <v>131</v>
      </c>
      <c r="K1119" s="5">
        <f>413 / 86400</f>
        <v>4.7800925925925927E-3</v>
      </c>
      <c r="L1119" s="5">
        <f>3371 / 86400</f>
        <v>3.9016203703703706E-2</v>
      </c>
    </row>
    <row r="1120" spans="1:12" x14ac:dyDescent="0.25">
      <c r="A1120" s="3">
        <v>45699.436747685184</v>
      </c>
      <c r="B1120" t="s">
        <v>144</v>
      </c>
      <c r="C1120" s="3">
        <v>45699.66233796296</v>
      </c>
      <c r="D1120" t="s">
        <v>105</v>
      </c>
      <c r="E1120" s="4">
        <v>96.391999999999996</v>
      </c>
      <c r="F1120" s="4">
        <v>39782.546999999999</v>
      </c>
      <c r="G1120" s="4">
        <v>39878.938999999998</v>
      </c>
      <c r="H1120" s="5">
        <f>6300 / 86400</f>
        <v>7.2916666666666671E-2</v>
      </c>
      <c r="I1120" t="s">
        <v>25</v>
      </c>
      <c r="J1120" t="s">
        <v>26</v>
      </c>
      <c r="K1120" s="5">
        <f>19491 / 86400</f>
        <v>0.22559027777777776</v>
      </c>
      <c r="L1120" s="5">
        <f>401 / 86400</f>
        <v>4.6412037037037038E-3</v>
      </c>
    </row>
    <row r="1121" spans="1:12" x14ac:dyDescent="0.25">
      <c r="A1121" s="3">
        <v>45699.666979166665</v>
      </c>
      <c r="B1121" t="s">
        <v>105</v>
      </c>
      <c r="C1121" s="3">
        <v>45699.99998842593</v>
      </c>
      <c r="D1121" t="s">
        <v>101</v>
      </c>
      <c r="E1121" s="4">
        <v>159.99199999999999</v>
      </c>
      <c r="F1121" s="4">
        <v>39878.938999999998</v>
      </c>
      <c r="G1121" s="4">
        <v>40038.930999999997</v>
      </c>
      <c r="H1121" s="5">
        <f>8550 / 86400</f>
        <v>9.8958333333333329E-2</v>
      </c>
      <c r="I1121" t="s">
        <v>92</v>
      </c>
      <c r="J1121" t="s">
        <v>152</v>
      </c>
      <c r="K1121" s="5">
        <f>28772 / 86400</f>
        <v>0.33300925925925928</v>
      </c>
      <c r="L1121" s="5">
        <f>0 / 86400</f>
        <v>0</v>
      </c>
    </row>
    <row r="1122" spans="1:12" x14ac:dyDescent="0.25">
      <c r="A1122" s="11"/>
      <c r="B1122" s="11"/>
      <c r="C1122" s="11"/>
      <c r="D1122" s="11"/>
      <c r="E1122" s="11"/>
      <c r="F1122" s="11"/>
      <c r="G1122" s="11"/>
      <c r="H1122" s="11"/>
      <c r="I1122" s="11"/>
      <c r="J1122" s="11"/>
    </row>
    <row r="1123" spans="1:12" x14ac:dyDescent="0.25">
      <c r="A1123" s="11"/>
      <c r="B1123" s="11"/>
      <c r="C1123" s="11"/>
      <c r="D1123" s="11"/>
      <c r="E1123" s="11"/>
      <c r="F1123" s="11"/>
      <c r="G1123" s="11"/>
      <c r="H1123" s="11"/>
      <c r="I1123" s="11"/>
      <c r="J1123" s="11"/>
    </row>
    <row r="1124" spans="1:12" s="10" customFormat="1" ht="20.100000000000001" customHeight="1" x14ac:dyDescent="0.35">
      <c r="A1124" s="12" t="s">
        <v>492</v>
      </c>
      <c r="B1124" s="12"/>
      <c r="C1124" s="12"/>
      <c r="D1124" s="12"/>
      <c r="E1124" s="12"/>
      <c r="F1124" s="12"/>
      <c r="G1124" s="12"/>
      <c r="H1124" s="12"/>
      <c r="I1124" s="12"/>
      <c r="J1124" s="12"/>
    </row>
    <row r="1125" spans="1:12" x14ac:dyDescent="0.25">
      <c r="A1125" s="11"/>
      <c r="B1125" s="11"/>
      <c r="C1125" s="11"/>
      <c r="D1125" s="11"/>
      <c r="E1125" s="11"/>
      <c r="F1125" s="11"/>
      <c r="G1125" s="11"/>
      <c r="H1125" s="11"/>
      <c r="I1125" s="11"/>
      <c r="J1125" s="11"/>
    </row>
    <row r="1126" spans="1:12" ht="30" x14ac:dyDescent="0.25">
      <c r="A1126" s="2" t="s">
        <v>5</v>
      </c>
      <c r="B1126" s="2" t="s">
        <v>6</v>
      </c>
      <c r="C1126" s="2" t="s">
        <v>7</v>
      </c>
      <c r="D1126" s="2" t="s">
        <v>8</v>
      </c>
      <c r="E1126" s="2" t="s">
        <v>9</v>
      </c>
      <c r="F1126" s="2" t="s">
        <v>10</v>
      </c>
      <c r="G1126" s="2" t="s">
        <v>11</v>
      </c>
      <c r="H1126" s="2" t="s">
        <v>12</v>
      </c>
      <c r="I1126" s="2" t="s">
        <v>13</v>
      </c>
      <c r="J1126" s="2" t="s">
        <v>14</v>
      </c>
      <c r="K1126" s="2" t="s">
        <v>15</v>
      </c>
      <c r="L1126" s="2" t="s">
        <v>16</v>
      </c>
    </row>
    <row r="1127" spans="1:12" x14ac:dyDescent="0.25">
      <c r="A1127" s="3">
        <v>45699</v>
      </c>
      <c r="B1127" t="s">
        <v>102</v>
      </c>
      <c r="C1127" s="3">
        <v>45699.034560185188</v>
      </c>
      <c r="D1127" t="s">
        <v>165</v>
      </c>
      <c r="E1127" s="4">
        <v>15.212999999999999</v>
      </c>
      <c r="F1127" s="4">
        <v>191818.52600000001</v>
      </c>
      <c r="G1127" s="4">
        <v>191833.739</v>
      </c>
      <c r="H1127" s="5">
        <f>419 / 86400</f>
        <v>4.8495370370370368E-3</v>
      </c>
      <c r="I1127" t="s">
        <v>200</v>
      </c>
      <c r="J1127" t="s">
        <v>26</v>
      </c>
      <c r="K1127" s="5">
        <f>2986 / 86400</f>
        <v>3.4560185185185187E-2</v>
      </c>
      <c r="L1127" s="5">
        <f>695 / 86400</f>
        <v>8.0439814814814818E-3</v>
      </c>
    </row>
    <row r="1128" spans="1:12" x14ac:dyDescent="0.25">
      <c r="A1128" s="3">
        <v>45699.042604166665</v>
      </c>
      <c r="B1128" t="s">
        <v>140</v>
      </c>
      <c r="C1128" s="3">
        <v>45699.048125000001</v>
      </c>
      <c r="D1128" t="s">
        <v>103</v>
      </c>
      <c r="E1128" s="4">
        <v>1.56</v>
      </c>
      <c r="F1128" s="4">
        <v>191833.739</v>
      </c>
      <c r="G1128" s="4">
        <v>191835.299</v>
      </c>
      <c r="H1128" s="5">
        <f>100 / 86400</f>
        <v>1.1574074074074073E-3</v>
      </c>
      <c r="I1128" t="s">
        <v>137</v>
      </c>
      <c r="J1128" t="s">
        <v>131</v>
      </c>
      <c r="K1128" s="5">
        <f>476 / 86400</f>
        <v>5.5092592592592589E-3</v>
      </c>
      <c r="L1128" s="5">
        <f>18516 / 86400</f>
        <v>0.21430555555555555</v>
      </c>
    </row>
    <row r="1129" spans="1:12" x14ac:dyDescent="0.25">
      <c r="A1129" s="3">
        <v>45699.262430555551</v>
      </c>
      <c r="B1129" t="s">
        <v>103</v>
      </c>
      <c r="C1129" s="3">
        <v>45699.271192129629</v>
      </c>
      <c r="D1129" t="s">
        <v>191</v>
      </c>
      <c r="E1129" s="4">
        <v>2.4279999999999999</v>
      </c>
      <c r="F1129" s="4">
        <v>191835.299</v>
      </c>
      <c r="G1129" s="4">
        <v>191837.72700000001</v>
      </c>
      <c r="H1129" s="5">
        <f>239 / 86400</f>
        <v>2.7662037037037039E-3</v>
      </c>
      <c r="I1129" t="s">
        <v>143</v>
      </c>
      <c r="J1129" t="s">
        <v>131</v>
      </c>
      <c r="K1129" s="5">
        <f>757 / 86400</f>
        <v>8.7615740740740744E-3</v>
      </c>
      <c r="L1129" s="5">
        <f>51 / 86400</f>
        <v>5.9027777777777778E-4</v>
      </c>
    </row>
    <row r="1130" spans="1:12" x14ac:dyDescent="0.25">
      <c r="A1130" s="3">
        <v>45699.271782407406</v>
      </c>
      <c r="B1130" t="s">
        <v>191</v>
      </c>
      <c r="C1130" s="3">
        <v>45699.326817129629</v>
      </c>
      <c r="D1130" t="s">
        <v>277</v>
      </c>
      <c r="E1130" s="4">
        <v>32.381999999999998</v>
      </c>
      <c r="F1130" s="4">
        <v>191837.72700000001</v>
      </c>
      <c r="G1130" s="4">
        <v>191870.109</v>
      </c>
      <c r="H1130" s="5">
        <f>940 / 86400</f>
        <v>1.087962962962963E-2</v>
      </c>
      <c r="I1130" t="s">
        <v>55</v>
      </c>
      <c r="J1130" t="s">
        <v>141</v>
      </c>
      <c r="K1130" s="5">
        <f>4754 / 86400</f>
        <v>5.5023148148148147E-2</v>
      </c>
      <c r="L1130" s="5">
        <f>372 / 86400</f>
        <v>4.3055555555555555E-3</v>
      </c>
    </row>
    <row r="1131" spans="1:12" x14ac:dyDescent="0.25">
      <c r="A1131" s="3">
        <v>45699.33112268518</v>
      </c>
      <c r="B1131" t="s">
        <v>277</v>
      </c>
      <c r="C1131" s="3">
        <v>45699.331423611111</v>
      </c>
      <c r="D1131" t="s">
        <v>277</v>
      </c>
      <c r="E1131" s="4">
        <v>0</v>
      </c>
      <c r="F1131" s="4">
        <v>191870.109</v>
      </c>
      <c r="G1131" s="4">
        <v>191870.109</v>
      </c>
      <c r="H1131" s="5">
        <f>19 / 86400</f>
        <v>2.199074074074074E-4</v>
      </c>
      <c r="I1131" t="s">
        <v>88</v>
      </c>
      <c r="J1131" t="s">
        <v>88</v>
      </c>
      <c r="K1131" s="5">
        <f>26 / 86400</f>
        <v>3.0092592592592595E-4</v>
      </c>
      <c r="L1131" s="5">
        <f>546 / 86400</f>
        <v>6.3194444444444444E-3</v>
      </c>
    </row>
    <row r="1132" spans="1:12" x14ac:dyDescent="0.25">
      <c r="A1132" s="3">
        <v>45699.337743055556</v>
      </c>
      <c r="B1132" t="s">
        <v>277</v>
      </c>
      <c r="C1132" s="3">
        <v>45699.338368055556</v>
      </c>
      <c r="D1132" t="s">
        <v>105</v>
      </c>
      <c r="E1132" s="4">
        <v>0.09</v>
      </c>
      <c r="F1132" s="4">
        <v>191870.109</v>
      </c>
      <c r="G1132" s="4">
        <v>191870.19899999999</v>
      </c>
      <c r="H1132" s="5">
        <f>0 / 86400</f>
        <v>0</v>
      </c>
      <c r="I1132" t="s">
        <v>112</v>
      </c>
      <c r="J1132" t="s">
        <v>128</v>
      </c>
      <c r="K1132" s="5">
        <f>54 / 86400</f>
        <v>6.2500000000000001E-4</v>
      </c>
      <c r="L1132" s="5">
        <f>807 / 86400</f>
        <v>9.3402777777777772E-3</v>
      </c>
    </row>
    <row r="1133" spans="1:12" x14ac:dyDescent="0.25">
      <c r="A1133" s="3">
        <v>45699.347708333335</v>
      </c>
      <c r="B1133" t="s">
        <v>105</v>
      </c>
      <c r="C1133" s="3">
        <v>45699.348240740743</v>
      </c>
      <c r="D1133" t="s">
        <v>105</v>
      </c>
      <c r="E1133" s="4">
        <v>0.02</v>
      </c>
      <c r="F1133" s="4">
        <v>191870.19899999999</v>
      </c>
      <c r="G1133" s="4">
        <v>191870.21900000001</v>
      </c>
      <c r="H1133" s="5">
        <f>0 / 86400</f>
        <v>0</v>
      </c>
      <c r="I1133" t="s">
        <v>29</v>
      </c>
      <c r="J1133" t="s">
        <v>57</v>
      </c>
      <c r="K1133" s="5">
        <f>46 / 86400</f>
        <v>5.3240740740740744E-4</v>
      </c>
      <c r="L1133" s="5">
        <f>832 / 86400</f>
        <v>9.6296296296296303E-3</v>
      </c>
    </row>
    <row r="1134" spans="1:12" x14ac:dyDescent="0.25">
      <c r="A1134" s="3">
        <v>45699.357870370368</v>
      </c>
      <c r="B1134" t="s">
        <v>105</v>
      </c>
      <c r="C1134" s="3">
        <v>45699.359212962961</v>
      </c>
      <c r="D1134" t="s">
        <v>105</v>
      </c>
      <c r="E1134" s="4">
        <v>3.1E-2</v>
      </c>
      <c r="F1134" s="4">
        <v>191870.21900000001</v>
      </c>
      <c r="G1134" s="4">
        <v>191870.25</v>
      </c>
      <c r="H1134" s="5">
        <f>39 / 86400</f>
        <v>4.5138888888888887E-4</v>
      </c>
      <c r="I1134" t="s">
        <v>57</v>
      </c>
      <c r="J1134" t="s">
        <v>29</v>
      </c>
      <c r="K1134" s="5">
        <f>116 / 86400</f>
        <v>1.3425925925925925E-3</v>
      </c>
      <c r="L1134" s="5">
        <f>11138 / 86400</f>
        <v>0.12891203703703705</v>
      </c>
    </row>
    <row r="1135" spans="1:12" x14ac:dyDescent="0.25">
      <c r="A1135" s="3">
        <v>45699.488125000003</v>
      </c>
      <c r="B1135" t="s">
        <v>105</v>
      </c>
      <c r="C1135" s="3">
        <v>45699.489050925928</v>
      </c>
      <c r="D1135" t="s">
        <v>105</v>
      </c>
      <c r="E1135" s="4">
        <v>2.5999999999999999E-2</v>
      </c>
      <c r="F1135" s="4">
        <v>191870.25</v>
      </c>
      <c r="G1135" s="4">
        <v>191870.27600000001</v>
      </c>
      <c r="H1135" s="5">
        <f>19 / 86400</f>
        <v>2.199074074074074E-4</v>
      </c>
      <c r="I1135" t="s">
        <v>148</v>
      </c>
      <c r="J1135" t="s">
        <v>29</v>
      </c>
      <c r="K1135" s="5">
        <f>80 / 86400</f>
        <v>9.2592592592592596E-4</v>
      </c>
      <c r="L1135" s="5">
        <f>1763 / 86400</f>
        <v>2.0405092592592593E-2</v>
      </c>
    </row>
    <row r="1136" spans="1:12" x14ac:dyDescent="0.25">
      <c r="A1136" s="3">
        <v>45699.509456018517</v>
      </c>
      <c r="B1136" t="s">
        <v>105</v>
      </c>
      <c r="C1136" s="3">
        <v>45699.511030092588</v>
      </c>
      <c r="D1136" t="s">
        <v>84</v>
      </c>
      <c r="E1136" s="4">
        <v>3.1E-2</v>
      </c>
      <c r="F1136" s="4">
        <v>191870.27600000001</v>
      </c>
      <c r="G1136" s="4">
        <v>191870.307</v>
      </c>
      <c r="H1136" s="5">
        <f>99 / 86400</f>
        <v>1.1458333333333333E-3</v>
      </c>
      <c r="I1136" t="s">
        <v>148</v>
      </c>
      <c r="J1136" t="s">
        <v>29</v>
      </c>
      <c r="K1136" s="5">
        <f>135 / 86400</f>
        <v>1.5625000000000001E-3</v>
      </c>
      <c r="L1136" s="5">
        <f>7 / 86400</f>
        <v>8.1018518518518516E-5</v>
      </c>
    </row>
    <row r="1137" spans="1:12" x14ac:dyDescent="0.25">
      <c r="A1137" s="3">
        <v>45699.511111111111</v>
      </c>
      <c r="B1137" t="s">
        <v>84</v>
      </c>
      <c r="C1137" s="3">
        <v>45699.517094907409</v>
      </c>
      <c r="D1137" t="s">
        <v>84</v>
      </c>
      <c r="E1137" s="4">
        <v>0</v>
      </c>
      <c r="F1137" s="4">
        <v>191870.307</v>
      </c>
      <c r="G1137" s="4">
        <v>191870.307</v>
      </c>
      <c r="H1137" s="5">
        <f>508 / 86400</f>
        <v>5.8796296296296296E-3</v>
      </c>
      <c r="I1137" t="s">
        <v>88</v>
      </c>
      <c r="J1137" t="s">
        <v>88</v>
      </c>
      <c r="K1137" s="5">
        <f>517 / 86400</f>
        <v>5.9837962962962961E-3</v>
      </c>
      <c r="L1137" s="5">
        <f>5768 / 86400</f>
        <v>6.6759259259259254E-2</v>
      </c>
    </row>
    <row r="1138" spans="1:12" x14ac:dyDescent="0.25">
      <c r="A1138" s="3">
        <v>45699.583854166667</v>
      </c>
      <c r="B1138" t="s">
        <v>84</v>
      </c>
      <c r="C1138" s="3">
        <v>45699.584143518514</v>
      </c>
      <c r="D1138" t="s">
        <v>84</v>
      </c>
      <c r="E1138" s="4">
        <v>8.0000000000000002E-3</v>
      </c>
      <c r="F1138" s="4">
        <v>191870.307</v>
      </c>
      <c r="G1138" s="4">
        <v>191870.315</v>
      </c>
      <c r="H1138" s="5">
        <f>19 / 86400</f>
        <v>2.199074074074074E-4</v>
      </c>
      <c r="I1138" t="s">
        <v>88</v>
      </c>
      <c r="J1138" t="s">
        <v>29</v>
      </c>
      <c r="K1138" s="5">
        <f>25 / 86400</f>
        <v>2.8935185185185184E-4</v>
      </c>
      <c r="L1138" s="5">
        <f>2106 / 86400</f>
        <v>2.4375000000000001E-2</v>
      </c>
    </row>
    <row r="1139" spans="1:12" x14ac:dyDescent="0.25">
      <c r="A1139" s="3">
        <v>45699.608518518522</v>
      </c>
      <c r="B1139" t="s">
        <v>105</v>
      </c>
      <c r="C1139" s="3">
        <v>45699.620046296295</v>
      </c>
      <c r="D1139" t="s">
        <v>44</v>
      </c>
      <c r="E1139" s="4">
        <v>0.88300000000000001</v>
      </c>
      <c r="F1139" s="4">
        <v>191870.315</v>
      </c>
      <c r="G1139" s="4">
        <v>191871.198</v>
      </c>
      <c r="H1139" s="5">
        <f>739 / 86400</f>
        <v>8.5532407407407415E-3</v>
      </c>
      <c r="I1139" t="s">
        <v>203</v>
      </c>
      <c r="J1139" t="s">
        <v>157</v>
      </c>
      <c r="K1139" s="5">
        <f>996 / 86400</f>
        <v>1.1527777777777777E-2</v>
      </c>
      <c r="L1139" s="5">
        <f>3380 / 86400</f>
        <v>3.9120370370370368E-2</v>
      </c>
    </row>
    <row r="1140" spans="1:12" x14ac:dyDescent="0.25">
      <c r="A1140" s="3">
        <v>45699.659166666665</v>
      </c>
      <c r="B1140" t="s">
        <v>44</v>
      </c>
      <c r="C1140" s="3">
        <v>45699.742407407408</v>
      </c>
      <c r="D1140" t="s">
        <v>103</v>
      </c>
      <c r="E1140" s="4">
        <v>36.591000000000001</v>
      </c>
      <c r="F1140" s="4">
        <v>191871.198</v>
      </c>
      <c r="G1140" s="4">
        <v>191907.78899999999</v>
      </c>
      <c r="H1140" s="5">
        <f>1960 / 86400</f>
        <v>2.2685185185185187E-2</v>
      </c>
      <c r="I1140" t="s">
        <v>177</v>
      </c>
      <c r="J1140" t="s">
        <v>26</v>
      </c>
      <c r="K1140" s="5">
        <f>7191 / 86400</f>
        <v>8.3229166666666674E-2</v>
      </c>
      <c r="L1140" s="5">
        <f>267 / 86400</f>
        <v>3.0902777777777777E-3</v>
      </c>
    </row>
    <row r="1141" spans="1:12" x14ac:dyDescent="0.25">
      <c r="A1141" s="3">
        <v>45699.745497685188</v>
      </c>
      <c r="B1141" t="s">
        <v>103</v>
      </c>
      <c r="C1141" s="3">
        <v>45699.746145833335</v>
      </c>
      <c r="D1141" t="s">
        <v>103</v>
      </c>
      <c r="E1141" s="4">
        <v>0.11899999999999999</v>
      </c>
      <c r="F1141" s="4">
        <v>191907.78899999999</v>
      </c>
      <c r="G1141" s="4">
        <v>191907.908</v>
      </c>
      <c r="H1141" s="5">
        <f>0 / 86400</f>
        <v>0</v>
      </c>
      <c r="I1141" t="s">
        <v>131</v>
      </c>
      <c r="J1141" t="s">
        <v>125</v>
      </c>
      <c r="K1141" s="5">
        <f>55 / 86400</f>
        <v>6.3657407407407413E-4</v>
      </c>
      <c r="L1141" s="5">
        <f>21932 / 86400</f>
        <v>0.25384259259259262</v>
      </c>
    </row>
    <row r="1142" spans="1:12" x14ac:dyDescent="0.25">
      <c r="A1142" s="11"/>
      <c r="B1142" s="11"/>
      <c r="C1142" s="11"/>
      <c r="D1142" s="11"/>
      <c r="E1142" s="11"/>
      <c r="F1142" s="11"/>
      <c r="G1142" s="11"/>
      <c r="H1142" s="11"/>
      <c r="I1142" s="11"/>
      <c r="J1142" s="11"/>
    </row>
    <row r="1143" spans="1:12" x14ac:dyDescent="0.25">
      <c r="A1143" s="11"/>
      <c r="B1143" s="11"/>
      <c r="C1143" s="11"/>
      <c r="D1143" s="11"/>
      <c r="E1143" s="11"/>
      <c r="F1143" s="11"/>
      <c r="G1143" s="11"/>
      <c r="H1143" s="11"/>
      <c r="I1143" s="11"/>
      <c r="J1143" s="11"/>
    </row>
    <row r="1144" spans="1:12" s="10" customFormat="1" ht="20.100000000000001" customHeight="1" x14ac:dyDescent="0.35">
      <c r="A1144" s="12" t="s">
        <v>503</v>
      </c>
      <c r="B1144" s="12"/>
      <c r="C1144" s="12"/>
      <c r="D1144" s="12"/>
      <c r="E1144" s="12"/>
      <c r="F1144" s="12"/>
      <c r="G1144" s="12"/>
      <c r="H1144" s="12"/>
      <c r="I1144" s="12"/>
      <c r="J1144" s="12"/>
    </row>
    <row r="1145" spans="1:12" x14ac:dyDescent="0.25">
      <c r="A1145" s="11"/>
      <c r="B1145" s="11"/>
      <c r="C1145" s="11"/>
      <c r="D1145" s="11"/>
      <c r="E1145" s="11"/>
      <c r="F1145" s="11"/>
      <c r="G1145" s="11"/>
      <c r="H1145" s="11"/>
      <c r="I1145" s="11"/>
      <c r="J1145" s="11"/>
    </row>
    <row r="1146" spans="1:12" ht="30" x14ac:dyDescent="0.25">
      <c r="A1146" s="2" t="s">
        <v>5</v>
      </c>
      <c r="B1146" s="2" t="s">
        <v>6</v>
      </c>
      <c r="C1146" s="2" t="s">
        <v>7</v>
      </c>
      <c r="D1146" s="2" t="s">
        <v>8</v>
      </c>
      <c r="E1146" s="2" t="s">
        <v>9</v>
      </c>
      <c r="F1146" s="2" t="s">
        <v>10</v>
      </c>
      <c r="G1146" s="2" t="s">
        <v>11</v>
      </c>
      <c r="H1146" s="2" t="s">
        <v>12</v>
      </c>
      <c r="I1146" s="2" t="s">
        <v>13</v>
      </c>
      <c r="J1146" s="2" t="s">
        <v>14</v>
      </c>
      <c r="K1146" s="2" t="s">
        <v>15</v>
      </c>
      <c r="L1146" s="2" t="s">
        <v>16</v>
      </c>
    </row>
    <row r="1147" spans="1:12" x14ac:dyDescent="0.25">
      <c r="A1147" s="3">
        <v>45699</v>
      </c>
      <c r="B1147" t="s">
        <v>104</v>
      </c>
      <c r="C1147" s="3">
        <v>45699.015428240746</v>
      </c>
      <c r="D1147" t="s">
        <v>84</v>
      </c>
      <c r="E1147" s="4">
        <v>3.7240000000000002</v>
      </c>
      <c r="F1147" s="4">
        <v>522235.821</v>
      </c>
      <c r="G1147" s="4">
        <v>522239.54499999998</v>
      </c>
      <c r="H1147" s="5">
        <f>620 / 86400</f>
        <v>7.1759259259259259E-3</v>
      </c>
      <c r="I1147" t="s">
        <v>198</v>
      </c>
      <c r="J1147" t="s">
        <v>112</v>
      </c>
      <c r="K1147" s="5">
        <f>1333 / 86400</f>
        <v>1.5428240740740741E-2</v>
      </c>
      <c r="L1147" s="5">
        <f>16378 / 86400</f>
        <v>0.18956018518518519</v>
      </c>
    </row>
    <row r="1148" spans="1:12" x14ac:dyDescent="0.25">
      <c r="A1148" s="3">
        <v>45699.204988425925</v>
      </c>
      <c r="B1148" t="s">
        <v>84</v>
      </c>
      <c r="C1148" s="3">
        <v>45699.47719907407</v>
      </c>
      <c r="D1148" t="s">
        <v>105</v>
      </c>
      <c r="E1148" s="4">
        <v>101.20099999999999</v>
      </c>
      <c r="F1148" s="4">
        <v>522239.54499999998</v>
      </c>
      <c r="G1148" s="4">
        <v>522340.74599999998</v>
      </c>
      <c r="H1148" s="5">
        <f>9380 / 86400</f>
        <v>0.10856481481481481</v>
      </c>
      <c r="I1148" t="s">
        <v>106</v>
      </c>
      <c r="J1148" t="s">
        <v>19</v>
      </c>
      <c r="K1148" s="5">
        <f>23518 / 86400</f>
        <v>0.27219907407407407</v>
      </c>
      <c r="L1148" s="5">
        <f>452 / 86400</f>
        <v>5.2314814814814811E-3</v>
      </c>
    </row>
    <row r="1149" spans="1:12" x14ac:dyDescent="0.25">
      <c r="A1149" s="3">
        <v>45699.482430555552</v>
      </c>
      <c r="B1149" t="s">
        <v>105</v>
      </c>
      <c r="C1149" s="3">
        <v>45699.489282407405</v>
      </c>
      <c r="D1149" t="s">
        <v>279</v>
      </c>
      <c r="E1149" s="4">
        <v>2.202</v>
      </c>
      <c r="F1149" s="4">
        <v>522340.74599999998</v>
      </c>
      <c r="G1149" s="4">
        <v>522342.94799999997</v>
      </c>
      <c r="H1149" s="5">
        <f>99 / 86400</f>
        <v>1.1458333333333333E-3</v>
      </c>
      <c r="I1149" t="s">
        <v>149</v>
      </c>
      <c r="J1149" t="s">
        <v>56</v>
      </c>
      <c r="K1149" s="5">
        <f>592 / 86400</f>
        <v>6.851851851851852E-3</v>
      </c>
      <c r="L1149" s="5">
        <f>2609 / 86400</f>
        <v>3.019675925925926E-2</v>
      </c>
    </row>
    <row r="1150" spans="1:12" x14ac:dyDescent="0.25">
      <c r="A1150" s="3">
        <v>45699.519479166665</v>
      </c>
      <c r="B1150" t="s">
        <v>279</v>
      </c>
      <c r="C1150" s="3">
        <v>45699.78769675926</v>
      </c>
      <c r="D1150" t="s">
        <v>105</v>
      </c>
      <c r="E1150" s="4">
        <v>101.26600000000001</v>
      </c>
      <c r="F1150" s="4">
        <v>522342.94799999997</v>
      </c>
      <c r="G1150" s="4">
        <v>522444.21399999998</v>
      </c>
      <c r="H1150" s="5">
        <f>8538 / 86400</f>
        <v>9.8819444444444446E-2</v>
      </c>
      <c r="I1150" t="s">
        <v>72</v>
      </c>
      <c r="J1150" t="s">
        <v>37</v>
      </c>
      <c r="K1150" s="5">
        <f>23173 / 86400</f>
        <v>0.2682060185185185</v>
      </c>
      <c r="L1150" s="5">
        <f>806 / 86400</f>
        <v>9.3287037037037036E-3</v>
      </c>
    </row>
    <row r="1151" spans="1:12" x14ac:dyDescent="0.25">
      <c r="A1151" s="3">
        <v>45699.797025462962</v>
      </c>
      <c r="B1151" t="s">
        <v>105</v>
      </c>
      <c r="C1151" s="3">
        <v>45699.99998842593</v>
      </c>
      <c r="D1151" t="s">
        <v>105</v>
      </c>
      <c r="E1151" s="4">
        <v>97.29</v>
      </c>
      <c r="F1151" s="4">
        <v>522444.21399999998</v>
      </c>
      <c r="G1151" s="4">
        <v>522541.50400000002</v>
      </c>
      <c r="H1151" s="5">
        <f>4279 / 86400</f>
        <v>4.9525462962962966E-2</v>
      </c>
      <c r="I1151" t="s">
        <v>83</v>
      </c>
      <c r="J1151" t="s">
        <v>152</v>
      </c>
      <c r="K1151" s="5">
        <f>17536 / 86400</f>
        <v>0.20296296296296296</v>
      </c>
      <c r="L1151" s="5">
        <f>0 / 86400</f>
        <v>0</v>
      </c>
    </row>
    <row r="1152" spans="1:12" x14ac:dyDescent="0.25">
      <c r="A1152" s="11"/>
      <c r="B1152" s="11"/>
      <c r="C1152" s="11"/>
      <c r="D1152" s="11"/>
      <c r="E1152" s="11"/>
      <c r="F1152" s="11"/>
      <c r="G1152" s="11"/>
      <c r="H1152" s="11"/>
      <c r="I1152" s="11"/>
      <c r="J1152" s="11"/>
    </row>
    <row r="1153" spans="1:12" x14ac:dyDescent="0.25">
      <c r="A1153" s="11"/>
      <c r="B1153" s="11"/>
      <c r="C1153" s="11"/>
      <c r="D1153" s="11"/>
      <c r="E1153" s="11"/>
      <c r="F1153" s="11"/>
      <c r="G1153" s="11"/>
      <c r="H1153" s="11"/>
      <c r="I1153" s="11"/>
      <c r="J1153" s="11"/>
    </row>
    <row r="1154" spans="1:12" s="10" customFormat="1" ht="20.100000000000001" customHeight="1" x14ac:dyDescent="0.35">
      <c r="A1154" s="12" t="s">
        <v>504</v>
      </c>
      <c r="B1154" s="12"/>
      <c r="C1154" s="12"/>
      <c r="D1154" s="12"/>
      <c r="E1154" s="12"/>
      <c r="F1154" s="12"/>
      <c r="G1154" s="12"/>
      <c r="H1154" s="12"/>
      <c r="I1154" s="12"/>
      <c r="J1154" s="12"/>
    </row>
    <row r="1155" spans="1:12" x14ac:dyDescent="0.25">
      <c r="A1155" s="11"/>
      <c r="B1155" s="11"/>
      <c r="C1155" s="11"/>
      <c r="D1155" s="11"/>
      <c r="E1155" s="11"/>
      <c r="F1155" s="11"/>
      <c r="G1155" s="11"/>
      <c r="H1155" s="11"/>
      <c r="I1155" s="11"/>
      <c r="J1155" s="11"/>
    </row>
    <row r="1156" spans="1:12" ht="30" x14ac:dyDescent="0.25">
      <c r="A1156" s="2" t="s">
        <v>5</v>
      </c>
      <c r="B1156" s="2" t="s">
        <v>6</v>
      </c>
      <c r="C1156" s="2" t="s">
        <v>7</v>
      </c>
      <c r="D1156" s="2" t="s">
        <v>8</v>
      </c>
      <c r="E1156" s="2" t="s">
        <v>9</v>
      </c>
      <c r="F1156" s="2" t="s">
        <v>10</v>
      </c>
      <c r="G1156" s="2" t="s">
        <v>11</v>
      </c>
      <c r="H1156" s="2" t="s">
        <v>12</v>
      </c>
      <c r="I1156" s="2" t="s">
        <v>13</v>
      </c>
      <c r="J1156" s="2" t="s">
        <v>14</v>
      </c>
      <c r="K1156" s="2" t="s">
        <v>15</v>
      </c>
      <c r="L1156" s="2" t="s">
        <v>16</v>
      </c>
    </row>
    <row r="1157" spans="1:12" x14ac:dyDescent="0.25">
      <c r="A1157" s="3">
        <v>45699.267974537041</v>
      </c>
      <c r="B1157" t="s">
        <v>94</v>
      </c>
      <c r="C1157" s="3">
        <v>45699.276226851856</v>
      </c>
      <c r="D1157" t="s">
        <v>159</v>
      </c>
      <c r="E1157" s="4">
        <v>2.141</v>
      </c>
      <c r="F1157" s="4">
        <v>22583.097000000002</v>
      </c>
      <c r="G1157" s="4">
        <v>22585.238000000001</v>
      </c>
      <c r="H1157" s="5">
        <f>159 / 86400</f>
        <v>1.8402777777777777E-3</v>
      </c>
      <c r="I1157" t="s">
        <v>124</v>
      </c>
      <c r="J1157" t="s">
        <v>134</v>
      </c>
      <c r="K1157" s="5">
        <f>713 / 86400</f>
        <v>8.2523148148148148E-3</v>
      </c>
      <c r="L1157" s="5">
        <f>23174 / 86400</f>
        <v>0.26821759259259259</v>
      </c>
    </row>
    <row r="1158" spans="1:12" x14ac:dyDescent="0.25">
      <c r="A1158" s="3">
        <v>45699.276469907403</v>
      </c>
      <c r="B1158" t="s">
        <v>159</v>
      </c>
      <c r="C1158" s="3">
        <v>45699.276585648149</v>
      </c>
      <c r="D1158" t="s">
        <v>159</v>
      </c>
      <c r="E1158" s="4">
        <v>8.0000000000000002E-3</v>
      </c>
      <c r="F1158" s="4">
        <v>22585.238000000001</v>
      </c>
      <c r="G1158" s="4">
        <v>22585.245999999999</v>
      </c>
      <c r="H1158" s="5">
        <f>0 / 86400</f>
        <v>0</v>
      </c>
      <c r="I1158" t="s">
        <v>88</v>
      </c>
      <c r="J1158" t="s">
        <v>157</v>
      </c>
      <c r="K1158" s="5">
        <f>10 / 86400</f>
        <v>1.1574074074074075E-4</v>
      </c>
      <c r="L1158" s="5">
        <f>1158 / 86400</f>
        <v>1.3402777777777777E-2</v>
      </c>
    </row>
    <row r="1159" spans="1:12" x14ac:dyDescent="0.25">
      <c r="A1159" s="3">
        <v>45699.289988425924</v>
      </c>
      <c r="B1159" t="s">
        <v>159</v>
      </c>
      <c r="C1159" s="3">
        <v>45699.293622685189</v>
      </c>
      <c r="D1159" t="s">
        <v>277</v>
      </c>
      <c r="E1159" s="4">
        <v>1.355</v>
      </c>
      <c r="F1159" s="4">
        <v>22585.245999999999</v>
      </c>
      <c r="G1159" s="4">
        <v>22586.600999999999</v>
      </c>
      <c r="H1159" s="5">
        <f>40 / 86400</f>
        <v>4.6296296296296298E-4</v>
      </c>
      <c r="I1159" t="s">
        <v>166</v>
      </c>
      <c r="J1159" t="s">
        <v>37</v>
      </c>
      <c r="K1159" s="5">
        <f>313 / 86400</f>
        <v>3.6226851851851854E-3</v>
      </c>
      <c r="L1159" s="5">
        <f>50 / 86400</f>
        <v>5.7870370370370367E-4</v>
      </c>
    </row>
    <row r="1160" spans="1:12" x14ac:dyDescent="0.25">
      <c r="A1160" s="3">
        <v>45699.29420138889</v>
      </c>
      <c r="B1160" t="s">
        <v>277</v>
      </c>
      <c r="C1160" s="3">
        <v>45699.295416666668</v>
      </c>
      <c r="D1160" t="s">
        <v>275</v>
      </c>
      <c r="E1160" s="4">
        <v>0.57199999999999995</v>
      </c>
      <c r="F1160" s="4">
        <v>22586.600999999999</v>
      </c>
      <c r="G1160" s="4">
        <v>22587.172999999999</v>
      </c>
      <c r="H1160" s="5">
        <f>0 / 86400</f>
        <v>0</v>
      </c>
      <c r="I1160" t="s">
        <v>240</v>
      </c>
      <c r="J1160" t="s">
        <v>152</v>
      </c>
      <c r="K1160" s="5">
        <f>104 / 86400</f>
        <v>1.2037037037037038E-3</v>
      </c>
      <c r="L1160" s="5">
        <f>155 / 86400</f>
        <v>1.7939814814814815E-3</v>
      </c>
    </row>
    <row r="1161" spans="1:12" x14ac:dyDescent="0.25">
      <c r="A1161" s="3">
        <v>45699.297210648147</v>
      </c>
      <c r="B1161" t="s">
        <v>275</v>
      </c>
      <c r="C1161" s="3">
        <v>45699.305023148147</v>
      </c>
      <c r="D1161" t="s">
        <v>418</v>
      </c>
      <c r="E1161" s="4">
        <v>0.255</v>
      </c>
      <c r="F1161" s="4">
        <v>22587.172999999999</v>
      </c>
      <c r="G1161" s="4">
        <v>22587.428</v>
      </c>
      <c r="H1161" s="5">
        <f>620 / 86400</f>
        <v>7.1759259259259259E-3</v>
      </c>
      <c r="I1161" t="s">
        <v>143</v>
      </c>
      <c r="J1161" t="s">
        <v>29</v>
      </c>
      <c r="K1161" s="5">
        <f>675 / 86400</f>
        <v>7.8125E-3</v>
      </c>
      <c r="L1161" s="5">
        <f>77 / 86400</f>
        <v>8.9120370370370373E-4</v>
      </c>
    </row>
    <row r="1162" spans="1:12" x14ac:dyDescent="0.25">
      <c r="A1162" s="3">
        <v>45699.305914351848</v>
      </c>
      <c r="B1162" t="s">
        <v>418</v>
      </c>
      <c r="C1162" s="3">
        <v>45699.439027777778</v>
      </c>
      <c r="D1162" t="s">
        <v>404</v>
      </c>
      <c r="E1162" s="4">
        <v>49.302</v>
      </c>
      <c r="F1162" s="4">
        <v>22587.428</v>
      </c>
      <c r="G1162" s="4">
        <v>22636.73</v>
      </c>
      <c r="H1162" s="5">
        <f>4019 / 86400</f>
        <v>4.6516203703703705E-2</v>
      </c>
      <c r="I1162" t="s">
        <v>52</v>
      </c>
      <c r="J1162" t="s">
        <v>19</v>
      </c>
      <c r="K1162" s="5">
        <f>11500 / 86400</f>
        <v>0.13310185185185186</v>
      </c>
      <c r="L1162" s="5">
        <f>975 / 86400</f>
        <v>1.1284722222222222E-2</v>
      </c>
    </row>
    <row r="1163" spans="1:12" x14ac:dyDescent="0.25">
      <c r="A1163" s="3">
        <v>45699.450312500005</v>
      </c>
      <c r="B1163" t="s">
        <v>404</v>
      </c>
      <c r="C1163" s="3">
        <v>45699.598217592589</v>
      </c>
      <c r="D1163" t="s">
        <v>158</v>
      </c>
      <c r="E1163" s="4">
        <v>50.393000000000001</v>
      </c>
      <c r="F1163" s="4">
        <v>22636.73</v>
      </c>
      <c r="G1163" s="4">
        <v>22687.123</v>
      </c>
      <c r="H1163" s="5">
        <f>3919 / 86400</f>
        <v>4.5358796296296293E-2</v>
      </c>
      <c r="I1163" t="s">
        <v>197</v>
      </c>
      <c r="J1163" t="s">
        <v>31</v>
      </c>
      <c r="K1163" s="5">
        <f>12779 / 86400</f>
        <v>0.1479050925925926</v>
      </c>
      <c r="L1163" s="5">
        <f>894 / 86400</f>
        <v>1.0347222222222223E-2</v>
      </c>
    </row>
    <row r="1164" spans="1:12" x14ac:dyDescent="0.25">
      <c r="A1164" s="3">
        <v>45699.608564814815</v>
      </c>
      <c r="B1164" t="s">
        <v>158</v>
      </c>
      <c r="C1164" s="3">
        <v>45699.874247685184</v>
      </c>
      <c r="D1164" t="s">
        <v>279</v>
      </c>
      <c r="E1164" s="4">
        <v>94.605999999999995</v>
      </c>
      <c r="F1164" s="4">
        <v>22687.123</v>
      </c>
      <c r="G1164" s="4">
        <v>22781.728999999999</v>
      </c>
      <c r="H1164" s="5">
        <f>7239 / 86400</f>
        <v>8.3784722222222219E-2</v>
      </c>
      <c r="I1164" t="s">
        <v>177</v>
      </c>
      <c r="J1164" t="s">
        <v>19</v>
      </c>
      <c r="K1164" s="5">
        <f>22954 / 86400</f>
        <v>0.26567129629629632</v>
      </c>
      <c r="L1164" s="5">
        <f>557 / 86400</f>
        <v>6.4467592592592588E-3</v>
      </c>
    </row>
    <row r="1165" spans="1:12" x14ac:dyDescent="0.25">
      <c r="A1165" s="3">
        <v>45699.880694444444</v>
      </c>
      <c r="B1165" t="s">
        <v>279</v>
      </c>
      <c r="C1165" s="3">
        <v>45699.882662037038</v>
      </c>
      <c r="D1165" t="s">
        <v>105</v>
      </c>
      <c r="E1165" s="4">
        <v>0.70099999999999996</v>
      </c>
      <c r="F1165" s="4">
        <v>22781.728999999999</v>
      </c>
      <c r="G1165" s="4">
        <v>22782.43</v>
      </c>
      <c r="H1165" s="5">
        <f>0 / 86400</f>
        <v>0</v>
      </c>
      <c r="I1165" t="s">
        <v>184</v>
      </c>
      <c r="J1165" t="s">
        <v>19</v>
      </c>
      <c r="K1165" s="5">
        <f>169 / 86400</f>
        <v>1.9560185185185184E-3</v>
      </c>
      <c r="L1165" s="5">
        <f>281 / 86400</f>
        <v>3.2523148148148147E-3</v>
      </c>
    </row>
    <row r="1166" spans="1:12" x14ac:dyDescent="0.25">
      <c r="A1166" s="3">
        <v>45699.885914351849</v>
      </c>
      <c r="B1166" t="s">
        <v>105</v>
      </c>
      <c r="C1166" s="3">
        <v>45699.889050925922</v>
      </c>
      <c r="D1166" t="s">
        <v>94</v>
      </c>
      <c r="E1166" s="4">
        <v>0.83099999999999996</v>
      </c>
      <c r="F1166" s="4">
        <v>22782.43</v>
      </c>
      <c r="G1166" s="4">
        <v>22783.260999999999</v>
      </c>
      <c r="H1166" s="5">
        <f>20 / 86400</f>
        <v>2.3148148148148149E-4</v>
      </c>
      <c r="I1166" t="s">
        <v>202</v>
      </c>
      <c r="J1166" t="s">
        <v>134</v>
      </c>
      <c r="K1166" s="5">
        <f>270 / 86400</f>
        <v>3.1250000000000002E-3</v>
      </c>
      <c r="L1166" s="5">
        <f>9585 / 86400</f>
        <v>0.11093749999999999</v>
      </c>
    </row>
    <row r="1167" spans="1:12" x14ac:dyDescent="0.25">
      <c r="A1167" s="11"/>
      <c r="B1167" s="11"/>
      <c r="C1167" s="11"/>
      <c r="D1167" s="11"/>
      <c r="E1167" s="11"/>
      <c r="F1167" s="11"/>
      <c r="G1167" s="11"/>
      <c r="H1167" s="11"/>
      <c r="I1167" s="11"/>
      <c r="J1167" s="11"/>
    </row>
    <row r="1168" spans="1:12" x14ac:dyDescent="0.25">
      <c r="A1168" s="11"/>
      <c r="B1168" s="11"/>
      <c r="C1168" s="11"/>
      <c r="D1168" s="11"/>
      <c r="E1168" s="11"/>
      <c r="F1168" s="11"/>
      <c r="G1168" s="11"/>
      <c r="H1168" s="11"/>
      <c r="I1168" s="11"/>
      <c r="J1168" s="11"/>
    </row>
    <row r="1169" spans="1:12" s="10" customFormat="1" ht="20.100000000000001" customHeight="1" x14ac:dyDescent="0.35">
      <c r="A1169" s="12" t="s">
        <v>505</v>
      </c>
      <c r="B1169" s="12"/>
      <c r="C1169" s="12"/>
      <c r="D1169" s="12"/>
      <c r="E1169" s="12"/>
      <c r="F1169" s="12"/>
      <c r="G1169" s="12"/>
      <c r="H1169" s="12"/>
      <c r="I1169" s="12"/>
      <c r="J1169" s="12"/>
    </row>
    <row r="1170" spans="1:12" x14ac:dyDescent="0.25">
      <c r="A1170" s="11"/>
      <c r="B1170" s="11"/>
      <c r="C1170" s="11"/>
      <c r="D1170" s="11"/>
      <c r="E1170" s="11"/>
      <c r="F1170" s="11"/>
      <c r="G1170" s="11"/>
      <c r="H1170" s="11"/>
      <c r="I1170" s="11"/>
      <c r="J1170" s="11"/>
    </row>
    <row r="1171" spans="1:12" ht="30" x14ac:dyDescent="0.25">
      <c r="A1171" s="2" t="s">
        <v>5</v>
      </c>
      <c r="B1171" s="2" t="s">
        <v>6</v>
      </c>
      <c r="C1171" s="2" t="s">
        <v>7</v>
      </c>
      <c r="D1171" s="2" t="s">
        <v>8</v>
      </c>
      <c r="E1171" s="2" t="s">
        <v>9</v>
      </c>
      <c r="F1171" s="2" t="s">
        <v>10</v>
      </c>
      <c r="G1171" s="2" t="s">
        <v>11</v>
      </c>
      <c r="H1171" s="2" t="s">
        <v>12</v>
      </c>
      <c r="I1171" s="2" t="s">
        <v>13</v>
      </c>
      <c r="J1171" s="2" t="s">
        <v>14</v>
      </c>
      <c r="K1171" s="2" t="s">
        <v>15</v>
      </c>
      <c r="L1171" s="2" t="s">
        <v>16</v>
      </c>
    </row>
    <row r="1172" spans="1:12" x14ac:dyDescent="0.25">
      <c r="A1172" s="3">
        <v>45699.327777777777</v>
      </c>
      <c r="B1172" t="s">
        <v>35</v>
      </c>
      <c r="C1172" s="3">
        <v>45699.331099537041</v>
      </c>
      <c r="D1172" t="s">
        <v>265</v>
      </c>
      <c r="E1172" s="4">
        <v>3.5999999999999997E-2</v>
      </c>
      <c r="F1172" s="4">
        <v>63801.110999999997</v>
      </c>
      <c r="G1172" s="4">
        <v>63801.146999999997</v>
      </c>
      <c r="H1172" s="5">
        <f>220 / 86400</f>
        <v>2.5462962962962965E-3</v>
      </c>
      <c r="I1172" t="s">
        <v>112</v>
      </c>
      <c r="J1172" t="s">
        <v>88</v>
      </c>
      <c r="K1172" s="5">
        <f>287 / 86400</f>
        <v>3.3217592592592591E-3</v>
      </c>
      <c r="L1172" s="5">
        <f>29049 / 86400</f>
        <v>0.33621527777777777</v>
      </c>
    </row>
    <row r="1173" spans="1:12" x14ac:dyDescent="0.25">
      <c r="A1173" s="3">
        <v>45699.339537037042</v>
      </c>
      <c r="B1173" t="s">
        <v>265</v>
      </c>
      <c r="C1173" s="3">
        <v>45699.367569444439</v>
      </c>
      <c r="D1173" t="s">
        <v>105</v>
      </c>
      <c r="E1173" s="4">
        <v>18.792000000000002</v>
      </c>
      <c r="F1173" s="4">
        <v>63801.146999999997</v>
      </c>
      <c r="G1173" s="4">
        <v>63819.938999999998</v>
      </c>
      <c r="H1173" s="5">
        <f>259 / 86400</f>
        <v>2.9976851851851853E-3</v>
      </c>
      <c r="I1173" t="s">
        <v>62</v>
      </c>
      <c r="J1173" t="s">
        <v>178</v>
      </c>
      <c r="K1173" s="5">
        <f>2422 / 86400</f>
        <v>2.8032407407407409E-2</v>
      </c>
      <c r="L1173" s="5">
        <f>7272 / 86400</f>
        <v>8.4166666666666667E-2</v>
      </c>
    </row>
    <row r="1174" spans="1:12" x14ac:dyDescent="0.25">
      <c r="A1174" s="3">
        <v>45699.451736111107</v>
      </c>
      <c r="B1174" t="s">
        <v>105</v>
      </c>
      <c r="C1174" s="3">
        <v>45699.457743055551</v>
      </c>
      <c r="D1174" t="s">
        <v>105</v>
      </c>
      <c r="E1174" s="4">
        <v>0</v>
      </c>
      <c r="F1174" s="4">
        <v>63819.938999999998</v>
      </c>
      <c r="G1174" s="4">
        <v>63819.938999999998</v>
      </c>
      <c r="H1174" s="5">
        <f>499 / 86400</f>
        <v>5.7754629629629631E-3</v>
      </c>
      <c r="I1174" t="s">
        <v>88</v>
      </c>
      <c r="J1174" t="s">
        <v>88</v>
      </c>
      <c r="K1174" s="5">
        <f>519 / 86400</f>
        <v>6.0069444444444441E-3</v>
      </c>
      <c r="L1174" s="5">
        <f>148 / 86400</f>
        <v>1.712962962962963E-3</v>
      </c>
    </row>
    <row r="1175" spans="1:12" x14ac:dyDescent="0.25">
      <c r="A1175" s="3">
        <v>45699.459456018521</v>
      </c>
      <c r="B1175" t="s">
        <v>105</v>
      </c>
      <c r="C1175" s="3">
        <v>45699.465069444443</v>
      </c>
      <c r="D1175" t="s">
        <v>105</v>
      </c>
      <c r="E1175" s="4">
        <v>0</v>
      </c>
      <c r="F1175" s="4">
        <v>63819.938999999998</v>
      </c>
      <c r="G1175" s="4">
        <v>63819.938999999998</v>
      </c>
      <c r="H1175" s="5">
        <f>479 / 86400</f>
        <v>5.5439814814814813E-3</v>
      </c>
      <c r="I1175" t="s">
        <v>88</v>
      </c>
      <c r="J1175" t="s">
        <v>88</v>
      </c>
      <c r="K1175" s="5">
        <f>485 / 86400</f>
        <v>5.6134259259259262E-3</v>
      </c>
      <c r="L1175" s="5">
        <f>2297 / 86400</f>
        <v>2.6585648148148146E-2</v>
      </c>
    </row>
    <row r="1176" spans="1:12" x14ac:dyDescent="0.25">
      <c r="A1176" s="3">
        <v>45699.491655092592</v>
      </c>
      <c r="B1176" t="s">
        <v>105</v>
      </c>
      <c r="C1176" s="3">
        <v>45699.492928240739</v>
      </c>
      <c r="D1176" t="s">
        <v>105</v>
      </c>
      <c r="E1176" s="4">
        <v>0</v>
      </c>
      <c r="F1176" s="4">
        <v>63819.938999999998</v>
      </c>
      <c r="G1176" s="4">
        <v>63819.938999999998</v>
      </c>
      <c r="H1176" s="5">
        <f>99 / 86400</f>
        <v>1.1458333333333333E-3</v>
      </c>
      <c r="I1176" t="s">
        <v>88</v>
      </c>
      <c r="J1176" t="s">
        <v>88</v>
      </c>
      <c r="K1176" s="5">
        <f>110 / 86400</f>
        <v>1.2731481481481483E-3</v>
      </c>
      <c r="L1176" s="5">
        <f>63 / 86400</f>
        <v>7.291666666666667E-4</v>
      </c>
    </row>
    <row r="1177" spans="1:12" x14ac:dyDescent="0.25">
      <c r="A1177" s="3">
        <v>45699.493657407409</v>
      </c>
      <c r="B1177" t="s">
        <v>105</v>
      </c>
      <c r="C1177" s="3">
        <v>45699.493969907402</v>
      </c>
      <c r="D1177" t="s">
        <v>105</v>
      </c>
      <c r="E1177" s="4">
        <v>0</v>
      </c>
      <c r="F1177" s="4">
        <v>63819.938999999998</v>
      </c>
      <c r="G1177" s="4">
        <v>63819.938999999998</v>
      </c>
      <c r="H1177" s="5">
        <f>19 / 86400</f>
        <v>2.199074074074074E-4</v>
      </c>
      <c r="I1177" t="s">
        <v>88</v>
      </c>
      <c r="J1177" t="s">
        <v>88</v>
      </c>
      <c r="K1177" s="5">
        <f>27 / 86400</f>
        <v>3.1250000000000001E-4</v>
      </c>
      <c r="L1177" s="5">
        <f>5693 / 86400</f>
        <v>6.5891203703703702E-2</v>
      </c>
    </row>
    <row r="1178" spans="1:12" x14ac:dyDescent="0.25">
      <c r="A1178" s="3">
        <v>45699.559861111113</v>
      </c>
      <c r="B1178" t="s">
        <v>105</v>
      </c>
      <c r="C1178" s="3">
        <v>45699.562048611115</v>
      </c>
      <c r="D1178" t="s">
        <v>277</v>
      </c>
      <c r="E1178" s="4">
        <v>9.4E-2</v>
      </c>
      <c r="F1178" s="4">
        <v>63819.938999999998</v>
      </c>
      <c r="G1178" s="4">
        <v>63820.033000000003</v>
      </c>
      <c r="H1178" s="5">
        <f>139 / 86400</f>
        <v>1.6087962962962963E-3</v>
      </c>
      <c r="I1178" t="s">
        <v>125</v>
      </c>
      <c r="J1178" t="s">
        <v>57</v>
      </c>
      <c r="K1178" s="5">
        <f>189 / 86400</f>
        <v>2.1875000000000002E-3</v>
      </c>
      <c r="L1178" s="5">
        <f>243 / 86400</f>
        <v>2.8124999999999999E-3</v>
      </c>
    </row>
    <row r="1179" spans="1:12" x14ac:dyDescent="0.25">
      <c r="A1179" s="3">
        <v>45699.56486111111</v>
      </c>
      <c r="B1179" t="s">
        <v>277</v>
      </c>
      <c r="C1179" s="3">
        <v>45699.565358796295</v>
      </c>
      <c r="D1179" t="s">
        <v>105</v>
      </c>
      <c r="E1179" s="4">
        <v>9.6000000000000002E-2</v>
      </c>
      <c r="F1179" s="4">
        <v>63820.033000000003</v>
      </c>
      <c r="G1179" s="4">
        <v>63820.129000000001</v>
      </c>
      <c r="H1179" s="5">
        <f>0 / 86400</f>
        <v>0</v>
      </c>
      <c r="I1179" t="s">
        <v>56</v>
      </c>
      <c r="J1179" t="s">
        <v>125</v>
      </c>
      <c r="K1179" s="5">
        <f>43 / 86400</f>
        <v>4.9768518518518521E-4</v>
      </c>
      <c r="L1179" s="5">
        <f>2073 / 86400</f>
        <v>2.3993055555555556E-2</v>
      </c>
    </row>
    <row r="1180" spans="1:12" x14ac:dyDescent="0.25">
      <c r="A1180" s="3">
        <v>45699.589351851857</v>
      </c>
      <c r="B1180" t="s">
        <v>105</v>
      </c>
      <c r="C1180" s="3">
        <v>45699.61314814815</v>
      </c>
      <c r="D1180" t="s">
        <v>35</v>
      </c>
      <c r="E1180" s="4">
        <v>17.350000000000001</v>
      </c>
      <c r="F1180" s="4">
        <v>63820.129000000001</v>
      </c>
      <c r="G1180" s="4">
        <v>63837.478999999999</v>
      </c>
      <c r="H1180" s="5">
        <f>260 / 86400</f>
        <v>3.0092592592592593E-3</v>
      </c>
      <c r="I1180" t="s">
        <v>107</v>
      </c>
      <c r="J1180" t="s">
        <v>202</v>
      </c>
      <c r="K1180" s="5">
        <f>2055 / 86400</f>
        <v>2.3784722222222221E-2</v>
      </c>
      <c r="L1180" s="5">
        <f>171 / 86400</f>
        <v>1.9791666666666668E-3</v>
      </c>
    </row>
    <row r="1181" spans="1:12" x14ac:dyDescent="0.25">
      <c r="A1181" s="3">
        <v>45699.615127314813</v>
      </c>
      <c r="B1181" t="s">
        <v>35</v>
      </c>
      <c r="C1181" s="3">
        <v>45699.620439814811</v>
      </c>
      <c r="D1181" t="s">
        <v>35</v>
      </c>
      <c r="E1181" s="4">
        <v>1.42</v>
      </c>
      <c r="F1181" s="4">
        <v>63837.478999999999</v>
      </c>
      <c r="G1181" s="4">
        <v>63838.898999999998</v>
      </c>
      <c r="H1181" s="5">
        <f>219 / 86400</f>
        <v>2.5347222222222221E-3</v>
      </c>
      <c r="I1181" t="s">
        <v>263</v>
      </c>
      <c r="J1181" t="s">
        <v>134</v>
      </c>
      <c r="K1181" s="5">
        <f>458 / 86400</f>
        <v>5.3009259259259259E-3</v>
      </c>
      <c r="L1181" s="5">
        <f>32793 / 86400</f>
        <v>0.3795486111111111</v>
      </c>
    </row>
    <row r="1182" spans="1:12" x14ac:dyDescent="0.25">
      <c r="A1182" s="11"/>
      <c r="B1182" s="11"/>
      <c r="C1182" s="11"/>
      <c r="D1182" s="11"/>
      <c r="E1182" s="11"/>
      <c r="F1182" s="11"/>
      <c r="G1182" s="11"/>
      <c r="H1182" s="11"/>
      <c r="I1182" s="11"/>
      <c r="J1182" s="11"/>
    </row>
    <row r="1183" spans="1:12" x14ac:dyDescent="0.25">
      <c r="A1183" s="11"/>
      <c r="B1183" s="11"/>
      <c r="C1183" s="11"/>
      <c r="D1183" s="11"/>
      <c r="E1183" s="11"/>
      <c r="F1183" s="11"/>
      <c r="G1183" s="11"/>
      <c r="H1183" s="11"/>
      <c r="I1183" s="11"/>
      <c r="J1183" s="11"/>
    </row>
    <row r="1184" spans="1:12" s="10" customFormat="1" ht="20.100000000000001" customHeight="1" x14ac:dyDescent="0.35">
      <c r="A1184" s="12" t="s">
        <v>506</v>
      </c>
      <c r="B1184" s="12"/>
      <c r="C1184" s="12"/>
      <c r="D1184" s="12"/>
      <c r="E1184" s="12"/>
      <c r="F1184" s="12"/>
      <c r="G1184" s="12"/>
      <c r="H1184" s="12"/>
      <c r="I1184" s="12"/>
      <c r="J1184" s="12"/>
    </row>
    <row r="1185" spans="1:12" x14ac:dyDescent="0.25">
      <c r="A1185" s="11"/>
      <c r="B1185" s="11"/>
      <c r="C1185" s="11"/>
      <c r="D1185" s="11"/>
      <c r="E1185" s="11"/>
      <c r="F1185" s="11"/>
      <c r="G1185" s="11"/>
      <c r="H1185" s="11"/>
      <c r="I1185" s="11"/>
      <c r="J1185" s="11"/>
    </row>
    <row r="1186" spans="1:12" ht="30" x14ac:dyDescent="0.25">
      <c r="A1186" s="2" t="s">
        <v>5</v>
      </c>
      <c r="B1186" s="2" t="s">
        <v>6</v>
      </c>
      <c r="C1186" s="2" t="s">
        <v>7</v>
      </c>
      <c r="D1186" s="2" t="s">
        <v>8</v>
      </c>
      <c r="E1186" s="2" t="s">
        <v>9</v>
      </c>
      <c r="F1186" s="2" t="s">
        <v>10</v>
      </c>
      <c r="G1186" s="2" t="s">
        <v>11</v>
      </c>
      <c r="H1186" s="2" t="s">
        <v>12</v>
      </c>
      <c r="I1186" s="2" t="s">
        <v>13</v>
      </c>
      <c r="J1186" s="2" t="s">
        <v>14</v>
      </c>
      <c r="K1186" s="2" t="s">
        <v>15</v>
      </c>
      <c r="L1186" s="2" t="s">
        <v>16</v>
      </c>
    </row>
    <row r="1187" spans="1:12" x14ac:dyDescent="0.25">
      <c r="A1187" s="3">
        <v>45699.267233796301</v>
      </c>
      <c r="B1187" t="s">
        <v>109</v>
      </c>
      <c r="C1187" s="3">
        <v>45699.339409722219</v>
      </c>
      <c r="D1187" t="s">
        <v>144</v>
      </c>
      <c r="E1187" s="4">
        <v>35.343000000000004</v>
      </c>
      <c r="F1187" s="4">
        <v>5097.8</v>
      </c>
      <c r="G1187" s="4">
        <v>5133.143</v>
      </c>
      <c r="H1187" s="5">
        <f>1359 / 86400</f>
        <v>1.5729166666666666E-2</v>
      </c>
      <c r="I1187" t="s">
        <v>183</v>
      </c>
      <c r="J1187" t="s">
        <v>152</v>
      </c>
      <c r="K1187" s="5">
        <f>6235 / 86400</f>
        <v>7.2164351851851855E-2</v>
      </c>
      <c r="L1187" s="5">
        <f>23489 / 86400</f>
        <v>0.27186342592592594</v>
      </c>
    </row>
    <row r="1188" spans="1:12" x14ac:dyDescent="0.25">
      <c r="A1188" s="3">
        <v>45699.344039351854</v>
      </c>
      <c r="B1188" t="s">
        <v>144</v>
      </c>
      <c r="C1188" s="3">
        <v>45699.600740740745</v>
      </c>
      <c r="D1188" t="s">
        <v>105</v>
      </c>
      <c r="E1188" s="4">
        <v>101.175</v>
      </c>
      <c r="F1188" s="4">
        <v>5133.143</v>
      </c>
      <c r="G1188" s="4">
        <v>5234.3180000000002</v>
      </c>
      <c r="H1188" s="5">
        <f>7299 / 86400</f>
        <v>8.4479166666666661E-2</v>
      </c>
      <c r="I1188" t="s">
        <v>110</v>
      </c>
      <c r="J1188" t="s">
        <v>37</v>
      </c>
      <c r="K1188" s="5">
        <f>22178 / 86400</f>
        <v>0.25668981481481479</v>
      </c>
      <c r="L1188" s="5">
        <f>119 / 86400</f>
        <v>1.3773148148148147E-3</v>
      </c>
    </row>
    <row r="1189" spans="1:12" x14ac:dyDescent="0.25">
      <c r="A1189" s="3">
        <v>45699.602118055554</v>
      </c>
      <c r="B1189" t="s">
        <v>105</v>
      </c>
      <c r="C1189" s="3">
        <v>45699.602534722224</v>
      </c>
      <c r="D1189" t="s">
        <v>105</v>
      </c>
      <c r="E1189" s="4">
        <v>8.0000000000000002E-3</v>
      </c>
      <c r="F1189" s="4">
        <v>5234.3180000000002</v>
      </c>
      <c r="G1189" s="4">
        <v>5234.326</v>
      </c>
      <c r="H1189" s="5">
        <f>19 / 86400</f>
        <v>2.199074074074074E-4</v>
      </c>
      <c r="I1189" t="s">
        <v>128</v>
      </c>
      <c r="J1189" t="s">
        <v>29</v>
      </c>
      <c r="K1189" s="5">
        <f>36 / 86400</f>
        <v>4.1666666666666669E-4</v>
      </c>
      <c r="L1189" s="5">
        <f>226 / 86400</f>
        <v>2.6157407407407405E-3</v>
      </c>
    </row>
    <row r="1190" spans="1:12" x14ac:dyDescent="0.25">
      <c r="A1190" s="3">
        <v>45699.605150462958</v>
      </c>
      <c r="B1190" t="s">
        <v>105</v>
      </c>
      <c r="C1190" s="3">
        <v>45699.608981481477</v>
      </c>
      <c r="D1190" t="s">
        <v>144</v>
      </c>
      <c r="E1190" s="4">
        <v>1.36</v>
      </c>
      <c r="F1190" s="4">
        <v>5234.326</v>
      </c>
      <c r="G1190" s="4">
        <v>5235.6859999999997</v>
      </c>
      <c r="H1190" s="5">
        <f>60 / 86400</f>
        <v>6.9444444444444447E-4</v>
      </c>
      <c r="I1190" t="s">
        <v>240</v>
      </c>
      <c r="J1190" t="s">
        <v>19</v>
      </c>
      <c r="K1190" s="5">
        <f>331 / 86400</f>
        <v>3.8310185185185183E-3</v>
      </c>
      <c r="L1190" s="5">
        <f>648 / 86400</f>
        <v>7.4999999999999997E-3</v>
      </c>
    </row>
    <row r="1191" spans="1:12" x14ac:dyDescent="0.25">
      <c r="A1191" s="3">
        <v>45699.616481481484</v>
      </c>
      <c r="B1191" t="s">
        <v>144</v>
      </c>
      <c r="C1191" s="3">
        <v>45699.683541666665</v>
      </c>
      <c r="D1191" t="s">
        <v>17</v>
      </c>
      <c r="E1191" s="4">
        <v>35.368000000000002</v>
      </c>
      <c r="F1191" s="4">
        <v>5235.6859999999997</v>
      </c>
      <c r="G1191" s="4">
        <v>5271.0540000000001</v>
      </c>
      <c r="H1191" s="5">
        <f>1179 / 86400</f>
        <v>1.3645833333333333E-2</v>
      </c>
      <c r="I1191" t="s">
        <v>263</v>
      </c>
      <c r="J1191" t="s">
        <v>34</v>
      </c>
      <c r="K1191" s="5">
        <f>5794 / 86400</f>
        <v>6.7060185185185181E-2</v>
      </c>
      <c r="L1191" s="5">
        <f>3832 / 86400</f>
        <v>4.4351851851851851E-2</v>
      </c>
    </row>
    <row r="1192" spans="1:12" x14ac:dyDescent="0.25">
      <c r="A1192" s="3">
        <v>45699.727893518517</v>
      </c>
      <c r="B1192" t="s">
        <v>17</v>
      </c>
      <c r="C1192" s="3">
        <v>45699.73065972222</v>
      </c>
      <c r="D1192" t="s">
        <v>109</v>
      </c>
      <c r="E1192" s="4">
        <v>0.42199999999999999</v>
      </c>
      <c r="F1192" s="4">
        <v>5271.0540000000001</v>
      </c>
      <c r="G1192" s="4">
        <v>5271.4759999999997</v>
      </c>
      <c r="H1192" s="5">
        <f>80 / 86400</f>
        <v>9.2592592592592596E-4</v>
      </c>
      <c r="I1192" t="s">
        <v>42</v>
      </c>
      <c r="J1192" t="s">
        <v>128</v>
      </c>
      <c r="K1192" s="5">
        <f>239 / 86400</f>
        <v>2.7662037037037039E-3</v>
      </c>
      <c r="L1192" s="5">
        <f>18 / 86400</f>
        <v>2.0833333333333335E-4</v>
      </c>
    </row>
    <row r="1193" spans="1:12" x14ac:dyDescent="0.25">
      <c r="A1193" s="3">
        <v>45699.730868055558</v>
      </c>
      <c r="B1193" t="s">
        <v>109</v>
      </c>
      <c r="C1193" s="3">
        <v>45699.731145833328</v>
      </c>
      <c r="D1193" t="s">
        <v>109</v>
      </c>
      <c r="E1193" s="4">
        <v>1E-3</v>
      </c>
      <c r="F1193" s="4">
        <v>5271.4759999999997</v>
      </c>
      <c r="G1193" s="4">
        <v>5271.4769999999999</v>
      </c>
      <c r="H1193" s="5">
        <f>19 / 86400</f>
        <v>2.199074074074074E-4</v>
      </c>
      <c r="I1193" t="s">
        <v>88</v>
      </c>
      <c r="J1193" t="s">
        <v>88</v>
      </c>
      <c r="K1193" s="5">
        <f>23 / 86400</f>
        <v>2.6620370370370372E-4</v>
      </c>
      <c r="L1193" s="5">
        <f>23228 / 86400</f>
        <v>0.26884259259259258</v>
      </c>
    </row>
    <row r="1194" spans="1:12" x14ac:dyDescent="0.25">
      <c r="A1194" s="11"/>
      <c r="B1194" s="11"/>
      <c r="C1194" s="11"/>
      <c r="D1194" s="11"/>
      <c r="E1194" s="11"/>
      <c r="F1194" s="11"/>
      <c r="G1194" s="11"/>
      <c r="H1194" s="11"/>
      <c r="I1194" s="11"/>
      <c r="J1194" s="11"/>
    </row>
    <row r="1195" spans="1:12" x14ac:dyDescent="0.25">
      <c r="A1195" s="11"/>
      <c r="B1195" s="11"/>
      <c r="C1195" s="11"/>
      <c r="D1195" s="11"/>
      <c r="E1195" s="11"/>
      <c r="F1195" s="11"/>
      <c r="G1195" s="11"/>
      <c r="H1195" s="11"/>
      <c r="I1195" s="11"/>
      <c r="J1195" s="11"/>
    </row>
    <row r="1196" spans="1:12" s="10" customFormat="1" ht="20.100000000000001" customHeight="1" x14ac:dyDescent="0.35">
      <c r="A1196" s="12" t="s">
        <v>507</v>
      </c>
      <c r="B1196" s="12"/>
      <c r="C1196" s="12"/>
      <c r="D1196" s="12"/>
      <c r="E1196" s="12"/>
      <c r="F1196" s="12"/>
      <c r="G1196" s="12"/>
      <c r="H1196" s="12"/>
      <c r="I1196" s="12"/>
      <c r="J1196" s="12"/>
    </row>
    <row r="1197" spans="1:12" x14ac:dyDescent="0.25">
      <c r="A1197" s="11"/>
      <c r="B1197" s="11"/>
      <c r="C1197" s="11"/>
      <c r="D1197" s="11"/>
      <c r="E1197" s="11"/>
      <c r="F1197" s="11"/>
      <c r="G1197" s="11"/>
      <c r="H1197" s="11"/>
      <c r="I1197" s="11"/>
      <c r="J1197" s="11"/>
    </row>
    <row r="1198" spans="1:12" ht="30" x14ac:dyDescent="0.25">
      <c r="A1198" s="2" t="s">
        <v>5</v>
      </c>
      <c r="B1198" s="2" t="s">
        <v>6</v>
      </c>
      <c r="C1198" s="2" t="s">
        <v>7</v>
      </c>
      <c r="D1198" s="2" t="s">
        <v>8</v>
      </c>
      <c r="E1198" s="2" t="s">
        <v>9</v>
      </c>
      <c r="F1198" s="2" t="s">
        <v>10</v>
      </c>
      <c r="G1198" s="2" t="s">
        <v>11</v>
      </c>
      <c r="H1198" s="2" t="s">
        <v>12</v>
      </c>
      <c r="I1198" s="2" t="s">
        <v>13</v>
      </c>
      <c r="J1198" s="2" t="s">
        <v>14</v>
      </c>
      <c r="K1198" s="2" t="s">
        <v>15</v>
      </c>
      <c r="L1198" s="2" t="s">
        <v>16</v>
      </c>
    </row>
    <row r="1199" spans="1:12" x14ac:dyDescent="0.25">
      <c r="A1199" s="3">
        <v>45699.322210648148</v>
      </c>
      <c r="B1199" t="s">
        <v>30</v>
      </c>
      <c r="C1199" s="3">
        <v>45699.340810185182</v>
      </c>
      <c r="D1199" t="s">
        <v>444</v>
      </c>
      <c r="E1199" s="4">
        <v>5.8330000000000002</v>
      </c>
      <c r="F1199" s="4">
        <v>407790.19500000001</v>
      </c>
      <c r="G1199" s="4">
        <v>407796.02799999999</v>
      </c>
      <c r="H1199" s="5">
        <f>419 / 86400</f>
        <v>4.8495370370370368E-3</v>
      </c>
      <c r="I1199" t="s">
        <v>186</v>
      </c>
      <c r="J1199" t="s">
        <v>56</v>
      </c>
      <c r="K1199" s="5">
        <f>1607 / 86400</f>
        <v>1.8599537037037036E-2</v>
      </c>
      <c r="L1199" s="5">
        <f>29519 / 86400</f>
        <v>0.34165509259259258</v>
      </c>
    </row>
    <row r="1200" spans="1:12" x14ac:dyDescent="0.25">
      <c r="A1200" s="3">
        <v>45699.360254629632</v>
      </c>
      <c r="B1200" t="s">
        <v>444</v>
      </c>
      <c r="C1200" s="3">
        <v>45699.361597222218</v>
      </c>
      <c r="D1200" t="s">
        <v>444</v>
      </c>
      <c r="E1200" s="4">
        <v>0</v>
      </c>
      <c r="F1200" s="4">
        <v>407796.02799999999</v>
      </c>
      <c r="G1200" s="4">
        <v>407796.02799999999</v>
      </c>
      <c r="H1200" s="5">
        <f>99 / 86400</f>
        <v>1.1458333333333333E-3</v>
      </c>
      <c r="I1200" t="s">
        <v>88</v>
      </c>
      <c r="J1200" t="s">
        <v>88</v>
      </c>
      <c r="K1200" s="5">
        <f>116 / 86400</f>
        <v>1.3425925925925925E-3</v>
      </c>
      <c r="L1200" s="5">
        <f>7 / 86400</f>
        <v>8.1018518518518516E-5</v>
      </c>
    </row>
    <row r="1201" spans="1:12" x14ac:dyDescent="0.25">
      <c r="A1201" s="3">
        <v>45699.361678240741</v>
      </c>
      <c r="B1201" t="s">
        <v>444</v>
      </c>
      <c r="C1201" s="3">
        <v>45699.361990740741</v>
      </c>
      <c r="D1201" t="s">
        <v>444</v>
      </c>
      <c r="E1201" s="4">
        <v>0</v>
      </c>
      <c r="F1201" s="4">
        <v>407796.02799999999</v>
      </c>
      <c r="G1201" s="4">
        <v>407796.02799999999</v>
      </c>
      <c r="H1201" s="5">
        <f>19 / 86400</f>
        <v>2.199074074074074E-4</v>
      </c>
      <c r="I1201" t="s">
        <v>88</v>
      </c>
      <c r="J1201" t="s">
        <v>88</v>
      </c>
      <c r="K1201" s="5">
        <f>27 / 86400</f>
        <v>3.1250000000000001E-4</v>
      </c>
      <c r="L1201" s="5">
        <f>149 / 86400</f>
        <v>1.724537037037037E-3</v>
      </c>
    </row>
    <row r="1202" spans="1:12" x14ac:dyDescent="0.25">
      <c r="A1202" s="3">
        <v>45699.363715277781</v>
      </c>
      <c r="B1202" t="s">
        <v>444</v>
      </c>
      <c r="C1202" s="3">
        <v>45699.367939814816</v>
      </c>
      <c r="D1202" t="s">
        <v>444</v>
      </c>
      <c r="E1202" s="4">
        <v>0</v>
      </c>
      <c r="F1202" s="4">
        <v>407796.02799999999</v>
      </c>
      <c r="G1202" s="4">
        <v>407796.02799999999</v>
      </c>
      <c r="H1202" s="5">
        <f>359 / 86400</f>
        <v>4.1550925925925922E-3</v>
      </c>
      <c r="I1202" t="s">
        <v>88</v>
      </c>
      <c r="J1202" t="s">
        <v>88</v>
      </c>
      <c r="K1202" s="5">
        <f>365 / 86400</f>
        <v>4.2245370370370371E-3</v>
      </c>
      <c r="L1202" s="5">
        <f>6291 / 86400</f>
        <v>7.2812500000000002E-2</v>
      </c>
    </row>
    <row r="1203" spans="1:12" x14ac:dyDescent="0.25">
      <c r="A1203" s="3">
        <v>45699.440752314811</v>
      </c>
      <c r="B1203" t="s">
        <v>444</v>
      </c>
      <c r="C1203" s="3">
        <v>45699.440821759257</v>
      </c>
      <c r="D1203" t="s">
        <v>444</v>
      </c>
      <c r="E1203" s="4">
        <v>0</v>
      </c>
      <c r="F1203" s="4">
        <v>407796.02799999999</v>
      </c>
      <c r="G1203" s="4">
        <v>407796.02799999999</v>
      </c>
      <c r="H1203" s="5">
        <f>0 / 86400</f>
        <v>0</v>
      </c>
      <c r="I1203" t="s">
        <v>88</v>
      </c>
      <c r="J1203" t="s">
        <v>88</v>
      </c>
      <c r="K1203" s="5">
        <f>6 / 86400</f>
        <v>6.9444444444444444E-5</v>
      </c>
      <c r="L1203" s="5">
        <f>5 / 86400</f>
        <v>5.7870370370370373E-5</v>
      </c>
    </row>
    <row r="1204" spans="1:12" x14ac:dyDescent="0.25">
      <c r="A1204" s="3">
        <v>45699.440879629634</v>
      </c>
      <c r="B1204" t="s">
        <v>444</v>
      </c>
      <c r="C1204" s="3">
        <v>45699.441099537042</v>
      </c>
      <c r="D1204" t="s">
        <v>444</v>
      </c>
      <c r="E1204" s="4">
        <v>1E-3</v>
      </c>
      <c r="F1204" s="4">
        <v>407796.02799999999</v>
      </c>
      <c r="G1204" s="4">
        <v>407796.02899999998</v>
      </c>
      <c r="H1204" s="5">
        <f>8 / 86400</f>
        <v>9.2592592592592588E-5</v>
      </c>
      <c r="I1204" t="s">
        <v>88</v>
      </c>
      <c r="J1204" t="s">
        <v>88</v>
      </c>
      <c r="K1204" s="5">
        <f>19 / 86400</f>
        <v>2.199074074074074E-4</v>
      </c>
      <c r="L1204" s="5">
        <f>20 / 86400</f>
        <v>2.3148148148148149E-4</v>
      </c>
    </row>
    <row r="1205" spans="1:12" x14ac:dyDescent="0.25">
      <c r="A1205" s="3">
        <v>45699.441331018519</v>
      </c>
      <c r="B1205" t="s">
        <v>444</v>
      </c>
      <c r="C1205" s="3">
        <v>45699.442430555559</v>
      </c>
      <c r="D1205" t="s">
        <v>444</v>
      </c>
      <c r="E1205" s="4">
        <v>0</v>
      </c>
      <c r="F1205" s="4">
        <v>407796.02899999998</v>
      </c>
      <c r="G1205" s="4">
        <v>407796.02899999998</v>
      </c>
      <c r="H1205" s="5">
        <f>79 / 86400</f>
        <v>9.1435185185185185E-4</v>
      </c>
      <c r="I1205" t="s">
        <v>88</v>
      </c>
      <c r="J1205" t="s">
        <v>88</v>
      </c>
      <c r="K1205" s="5">
        <f>94 / 86400</f>
        <v>1.0879629629629629E-3</v>
      </c>
      <c r="L1205" s="5">
        <f>3 / 86400</f>
        <v>3.4722222222222222E-5</v>
      </c>
    </row>
    <row r="1206" spans="1:12" x14ac:dyDescent="0.25">
      <c r="A1206" s="3">
        <v>45699.442465277782</v>
      </c>
      <c r="B1206" t="s">
        <v>444</v>
      </c>
      <c r="C1206" s="3">
        <v>45699.444548611107</v>
      </c>
      <c r="D1206" t="s">
        <v>444</v>
      </c>
      <c r="E1206" s="4">
        <v>0</v>
      </c>
      <c r="F1206" s="4">
        <v>407796.02899999998</v>
      </c>
      <c r="G1206" s="4">
        <v>407796.02899999998</v>
      </c>
      <c r="H1206" s="5">
        <f>162 / 86400</f>
        <v>1.8749999999999999E-3</v>
      </c>
      <c r="I1206" t="s">
        <v>88</v>
      </c>
      <c r="J1206" t="s">
        <v>88</v>
      </c>
      <c r="K1206" s="5">
        <f>180 / 86400</f>
        <v>2.0833333333333333E-3</v>
      </c>
      <c r="L1206" s="5">
        <f>641 / 86400</f>
        <v>7.4189814814814813E-3</v>
      </c>
    </row>
    <row r="1207" spans="1:12" x14ac:dyDescent="0.25">
      <c r="A1207" s="3">
        <v>45699.451967592591</v>
      </c>
      <c r="B1207" t="s">
        <v>444</v>
      </c>
      <c r="C1207" s="3">
        <v>45699.452106481476</v>
      </c>
      <c r="D1207" t="s">
        <v>444</v>
      </c>
      <c r="E1207" s="4">
        <v>0</v>
      </c>
      <c r="F1207" s="4">
        <v>407796.02899999998</v>
      </c>
      <c r="G1207" s="4">
        <v>407796.02899999998</v>
      </c>
      <c r="H1207" s="5">
        <f>0 / 86400</f>
        <v>0</v>
      </c>
      <c r="I1207" t="s">
        <v>88</v>
      </c>
      <c r="J1207" t="s">
        <v>88</v>
      </c>
      <c r="K1207" s="5">
        <f>12 / 86400</f>
        <v>1.3888888888888889E-4</v>
      </c>
      <c r="L1207" s="5">
        <f>863 / 86400</f>
        <v>9.9884259259259266E-3</v>
      </c>
    </row>
    <row r="1208" spans="1:12" x14ac:dyDescent="0.25">
      <c r="A1208" s="3">
        <v>45699.462094907409</v>
      </c>
      <c r="B1208" t="s">
        <v>444</v>
      </c>
      <c r="C1208" s="3">
        <v>45699.483877314815</v>
      </c>
      <c r="D1208" t="s">
        <v>30</v>
      </c>
      <c r="E1208" s="4">
        <v>7.2210000000000001</v>
      </c>
      <c r="F1208" s="4">
        <v>407796.02899999998</v>
      </c>
      <c r="G1208" s="4">
        <v>407803.25</v>
      </c>
      <c r="H1208" s="5">
        <f>360 / 86400</f>
        <v>4.1666666666666666E-3</v>
      </c>
      <c r="I1208" t="s">
        <v>111</v>
      </c>
      <c r="J1208" t="s">
        <v>31</v>
      </c>
      <c r="K1208" s="5">
        <f>1882 / 86400</f>
        <v>2.1782407407407407E-2</v>
      </c>
      <c r="L1208" s="5">
        <f>20563 / 86400</f>
        <v>0.23799768518518519</v>
      </c>
    </row>
    <row r="1209" spans="1:12" x14ac:dyDescent="0.25">
      <c r="A1209" s="3">
        <v>45699.721875000003</v>
      </c>
      <c r="B1209" t="s">
        <v>30</v>
      </c>
      <c r="C1209" s="3">
        <v>45699.724189814813</v>
      </c>
      <c r="D1209" t="s">
        <v>30</v>
      </c>
      <c r="E1209" s="4">
        <v>0.32900000000000001</v>
      </c>
      <c r="F1209" s="4">
        <v>407803.25</v>
      </c>
      <c r="G1209" s="4">
        <v>407803.57900000003</v>
      </c>
      <c r="H1209" s="5">
        <f>39 / 86400</f>
        <v>4.5138888888888887E-4</v>
      </c>
      <c r="I1209" t="s">
        <v>19</v>
      </c>
      <c r="J1209" t="s">
        <v>128</v>
      </c>
      <c r="K1209" s="5">
        <f>200 / 86400</f>
        <v>2.3148148148148147E-3</v>
      </c>
      <c r="L1209" s="5">
        <f>9713 / 86400</f>
        <v>0.11241898148148148</v>
      </c>
    </row>
    <row r="1210" spans="1:12" x14ac:dyDescent="0.25">
      <c r="A1210" s="3">
        <v>45699.836608796293</v>
      </c>
      <c r="B1210" t="s">
        <v>30</v>
      </c>
      <c r="C1210" s="3">
        <v>45699.837488425925</v>
      </c>
      <c r="D1210" t="s">
        <v>30</v>
      </c>
      <c r="E1210" s="4">
        <v>0</v>
      </c>
      <c r="F1210" s="4">
        <v>407803.57900000003</v>
      </c>
      <c r="G1210" s="4">
        <v>407803.57900000003</v>
      </c>
      <c r="H1210" s="5">
        <f>59 / 86400</f>
        <v>6.8287037037037036E-4</v>
      </c>
      <c r="I1210" t="s">
        <v>88</v>
      </c>
      <c r="J1210" t="s">
        <v>88</v>
      </c>
      <c r="K1210" s="5">
        <f>75 / 86400</f>
        <v>8.6805555555555551E-4</v>
      </c>
      <c r="L1210" s="5">
        <f>7279 / 86400</f>
        <v>8.4247685185185189E-2</v>
      </c>
    </row>
    <row r="1211" spans="1:12" x14ac:dyDescent="0.25">
      <c r="A1211" s="3">
        <v>45699.921736111108</v>
      </c>
      <c r="B1211" t="s">
        <v>30</v>
      </c>
      <c r="C1211" s="3">
        <v>45699.923726851848</v>
      </c>
      <c r="D1211" t="s">
        <v>30</v>
      </c>
      <c r="E1211" s="4">
        <v>0.02</v>
      </c>
      <c r="F1211" s="4">
        <v>407803.57900000003</v>
      </c>
      <c r="G1211" s="4">
        <v>407803.59899999999</v>
      </c>
      <c r="H1211" s="5">
        <f>120 / 86400</f>
        <v>1.3888888888888889E-3</v>
      </c>
      <c r="I1211" t="s">
        <v>148</v>
      </c>
      <c r="J1211" t="s">
        <v>88</v>
      </c>
      <c r="K1211" s="5">
        <f>171 / 86400</f>
        <v>1.9791666666666668E-3</v>
      </c>
      <c r="L1211" s="5">
        <f>6589 / 86400</f>
        <v>7.6261574074074079E-2</v>
      </c>
    </row>
    <row r="1212" spans="1:12" x14ac:dyDescent="0.25">
      <c r="A1212" s="11"/>
      <c r="B1212" s="11"/>
      <c r="C1212" s="11"/>
      <c r="D1212" s="11"/>
      <c r="E1212" s="11"/>
      <c r="F1212" s="11"/>
      <c r="G1212" s="11"/>
      <c r="H1212" s="11"/>
      <c r="I1212" s="11"/>
      <c r="J1212" s="11"/>
    </row>
    <row r="1213" spans="1:12" x14ac:dyDescent="0.25">
      <c r="A1213" s="11"/>
      <c r="B1213" s="11"/>
      <c r="C1213" s="11"/>
      <c r="D1213" s="11"/>
      <c r="E1213" s="11"/>
      <c r="F1213" s="11"/>
      <c r="G1213" s="11"/>
      <c r="H1213" s="11"/>
      <c r="I1213" s="11"/>
      <c r="J1213" s="11"/>
    </row>
    <row r="1214" spans="1:12" s="10" customFormat="1" ht="20.100000000000001" customHeight="1" x14ac:dyDescent="0.35">
      <c r="A1214" s="12" t="s">
        <v>508</v>
      </c>
      <c r="B1214" s="12"/>
      <c r="C1214" s="12"/>
      <c r="D1214" s="12"/>
      <c r="E1214" s="12"/>
      <c r="F1214" s="12"/>
      <c r="G1214" s="12"/>
      <c r="H1214" s="12"/>
      <c r="I1214" s="12"/>
      <c r="J1214" s="12"/>
    </row>
    <row r="1215" spans="1:12" x14ac:dyDescent="0.25">
      <c r="A1215" s="11"/>
      <c r="B1215" s="11"/>
      <c r="C1215" s="11"/>
      <c r="D1215" s="11"/>
      <c r="E1215" s="11"/>
      <c r="F1215" s="11"/>
      <c r="G1215" s="11"/>
      <c r="H1215" s="11"/>
      <c r="I1215" s="11"/>
      <c r="J1215" s="11"/>
    </row>
    <row r="1216" spans="1:12" ht="30" x14ac:dyDescent="0.25">
      <c r="A1216" s="2" t="s">
        <v>5</v>
      </c>
      <c r="B1216" s="2" t="s">
        <v>6</v>
      </c>
      <c r="C1216" s="2" t="s">
        <v>7</v>
      </c>
      <c r="D1216" s="2" t="s">
        <v>8</v>
      </c>
      <c r="E1216" s="2" t="s">
        <v>9</v>
      </c>
      <c r="F1216" s="2" t="s">
        <v>10</v>
      </c>
      <c r="G1216" s="2" t="s">
        <v>11</v>
      </c>
      <c r="H1216" s="2" t="s">
        <v>12</v>
      </c>
      <c r="I1216" s="2" t="s">
        <v>13</v>
      </c>
      <c r="J1216" s="2" t="s">
        <v>14</v>
      </c>
      <c r="K1216" s="2" t="s">
        <v>15</v>
      </c>
      <c r="L1216" s="2" t="s">
        <v>16</v>
      </c>
    </row>
    <row r="1217" spans="1:12" x14ac:dyDescent="0.25">
      <c r="A1217" s="3">
        <v>45699</v>
      </c>
      <c r="B1217" t="s">
        <v>87</v>
      </c>
      <c r="C1217" s="3">
        <v>45699.010405092587</v>
      </c>
      <c r="D1217" t="s">
        <v>77</v>
      </c>
      <c r="E1217" s="4">
        <v>9.109</v>
      </c>
      <c r="F1217" s="4">
        <v>549448.58100000001</v>
      </c>
      <c r="G1217" s="4">
        <v>549457.68999999994</v>
      </c>
      <c r="H1217" s="5">
        <f>140 / 86400</f>
        <v>1.6203703703703703E-3</v>
      </c>
      <c r="I1217" t="s">
        <v>25</v>
      </c>
      <c r="J1217" t="s">
        <v>198</v>
      </c>
      <c r="K1217" s="5">
        <f>899 / 86400</f>
        <v>1.0405092592592593E-2</v>
      </c>
      <c r="L1217" s="5">
        <f>22242 / 86400</f>
        <v>0.25743055555555555</v>
      </c>
    </row>
    <row r="1218" spans="1:12" x14ac:dyDescent="0.25">
      <c r="A1218" s="3">
        <v>45699.267835648148</v>
      </c>
      <c r="B1218" t="s">
        <v>77</v>
      </c>
      <c r="C1218" s="3">
        <v>45699.482442129629</v>
      </c>
      <c r="D1218" t="s">
        <v>159</v>
      </c>
      <c r="E1218" s="4">
        <v>80.335999999999999</v>
      </c>
      <c r="F1218" s="4">
        <v>549457.68999999994</v>
      </c>
      <c r="G1218" s="4">
        <v>549538.02599999995</v>
      </c>
      <c r="H1218" s="5">
        <f>6080 / 86400</f>
        <v>7.0370370370370375E-2</v>
      </c>
      <c r="I1218" t="s">
        <v>18</v>
      </c>
      <c r="J1218" t="s">
        <v>37</v>
      </c>
      <c r="K1218" s="5">
        <f>18542 / 86400</f>
        <v>0.21460648148148148</v>
      </c>
      <c r="L1218" s="5">
        <f>1088 / 86400</f>
        <v>1.2592592592592593E-2</v>
      </c>
    </row>
    <row r="1219" spans="1:12" x14ac:dyDescent="0.25">
      <c r="A1219" s="3">
        <v>45699.495034722218</v>
      </c>
      <c r="B1219" t="s">
        <v>159</v>
      </c>
      <c r="C1219" s="3">
        <v>45699.670347222222</v>
      </c>
      <c r="D1219" t="s">
        <v>105</v>
      </c>
      <c r="E1219" s="4">
        <v>77.846000000000004</v>
      </c>
      <c r="F1219" s="4">
        <v>549538.02599999995</v>
      </c>
      <c r="G1219" s="4">
        <v>549615.87199999997</v>
      </c>
      <c r="H1219" s="5">
        <f>5059 / 86400</f>
        <v>5.8553240740740739E-2</v>
      </c>
      <c r="I1219" t="s">
        <v>66</v>
      </c>
      <c r="J1219" t="s">
        <v>22</v>
      </c>
      <c r="K1219" s="5">
        <f>15146 / 86400</f>
        <v>0.17530092592592592</v>
      </c>
      <c r="L1219" s="5">
        <f>374 / 86400</f>
        <v>4.3287037037037035E-3</v>
      </c>
    </row>
    <row r="1220" spans="1:12" x14ac:dyDescent="0.25">
      <c r="A1220" s="3">
        <v>45699.674675925926</v>
      </c>
      <c r="B1220" t="s">
        <v>105</v>
      </c>
      <c r="C1220" s="3">
        <v>45699.676192129627</v>
      </c>
      <c r="D1220" t="s">
        <v>375</v>
      </c>
      <c r="E1220" s="4">
        <v>0.26100000000000001</v>
      </c>
      <c r="F1220" s="4">
        <v>549615.87199999997</v>
      </c>
      <c r="G1220" s="4">
        <v>549616.13300000003</v>
      </c>
      <c r="H1220" s="5">
        <f>40 / 86400</f>
        <v>4.6296296296296298E-4</v>
      </c>
      <c r="I1220" t="s">
        <v>56</v>
      </c>
      <c r="J1220" t="s">
        <v>28</v>
      </c>
      <c r="K1220" s="5">
        <f>131 / 86400</f>
        <v>1.5162037037037036E-3</v>
      </c>
      <c r="L1220" s="5">
        <f>1532 / 86400</f>
        <v>1.773148148148148E-2</v>
      </c>
    </row>
    <row r="1221" spans="1:12" x14ac:dyDescent="0.25">
      <c r="A1221" s="3">
        <v>45699.693923611107</v>
      </c>
      <c r="B1221" t="s">
        <v>84</v>
      </c>
      <c r="C1221" s="3">
        <v>45699.99998842593</v>
      </c>
      <c r="D1221" t="s">
        <v>113</v>
      </c>
      <c r="E1221" s="4">
        <v>111.202</v>
      </c>
      <c r="F1221" s="4">
        <v>549616.13300000003</v>
      </c>
      <c r="G1221" s="4">
        <v>549727.33499999996</v>
      </c>
      <c r="H1221" s="5">
        <f>9738 / 86400</f>
        <v>0.11270833333333333</v>
      </c>
      <c r="I1221" t="s">
        <v>52</v>
      </c>
      <c r="J1221" t="s">
        <v>19</v>
      </c>
      <c r="K1221" s="5">
        <f>26444 / 86400</f>
        <v>0.30606481481481479</v>
      </c>
      <c r="L1221" s="5">
        <f>0 / 86400</f>
        <v>0</v>
      </c>
    </row>
    <row r="1222" spans="1:12" x14ac:dyDescent="0.25">
      <c r="A1222" s="11"/>
      <c r="B1222" s="11"/>
      <c r="C1222" s="11"/>
      <c r="D1222" s="11"/>
      <c r="E1222" s="11"/>
      <c r="F1222" s="11"/>
      <c r="G1222" s="11"/>
      <c r="H1222" s="11"/>
      <c r="I1222" s="11"/>
      <c r="J1222" s="11"/>
    </row>
    <row r="1223" spans="1:12" x14ac:dyDescent="0.25">
      <c r="A1223" s="11"/>
      <c r="B1223" s="11"/>
      <c r="C1223" s="11"/>
      <c r="D1223" s="11"/>
      <c r="E1223" s="11"/>
      <c r="F1223" s="11"/>
      <c r="G1223" s="11"/>
      <c r="H1223" s="11"/>
      <c r="I1223" s="11"/>
      <c r="J1223" s="11"/>
    </row>
    <row r="1224" spans="1:12" s="10" customFormat="1" ht="20.100000000000001" customHeight="1" x14ac:dyDescent="0.35">
      <c r="A1224" s="12" t="s">
        <v>509</v>
      </c>
      <c r="B1224" s="12"/>
      <c r="C1224" s="12"/>
      <c r="D1224" s="12"/>
      <c r="E1224" s="12"/>
      <c r="F1224" s="12"/>
      <c r="G1224" s="12"/>
      <c r="H1224" s="12"/>
      <c r="I1224" s="12"/>
      <c r="J1224" s="12"/>
    </row>
    <row r="1225" spans="1:12" x14ac:dyDescent="0.25">
      <c r="A1225" s="11"/>
      <c r="B1225" s="11"/>
      <c r="C1225" s="11"/>
      <c r="D1225" s="11"/>
      <c r="E1225" s="11"/>
      <c r="F1225" s="11"/>
      <c r="G1225" s="11"/>
      <c r="H1225" s="11"/>
      <c r="I1225" s="11"/>
      <c r="J1225" s="11"/>
    </row>
    <row r="1226" spans="1:12" ht="30" x14ac:dyDescent="0.25">
      <c r="A1226" s="2" t="s">
        <v>5</v>
      </c>
      <c r="B1226" s="2" t="s">
        <v>6</v>
      </c>
      <c r="C1226" s="2" t="s">
        <v>7</v>
      </c>
      <c r="D1226" s="2" t="s">
        <v>8</v>
      </c>
      <c r="E1226" s="2" t="s">
        <v>9</v>
      </c>
      <c r="F1226" s="2" t="s">
        <v>10</v>
      </c>
      <c r="G1226" s="2" t="s">
        <v>11</v>
      </c>
      <c r="H1226" s="2" t="s">
        <v>12</v>
      </c>
      <c r="I1226" s="2" t="s">
        <v>13</v>
      </c>
      <c r="J1226" s="2" t="s">
        <v>14</v>
      </c>
      <c r="K1226" s="2" t="s">
        <v>15</v>
      </c>
      <c r="L1226" s="2" t="s">
        <v>16</v>
      </c>
    </row>
    <row r="1227" spans="1:12" x14ac:dyDescent="0.25">
      <c r="A1227" s="3">
        <v>45699.562696759254</v>
      </c>
      <c r="B1227" t="s">
        <v>114</v>
      </c>
      <c r="C1227" s="3">
        <v>45699.571192129632</v>
      </c>
      <c r="D1227" t="s">
        <v>445</v>
      </c>
      <c r="E1227" s="4">
        <v>11.869999999992549</v>
      </c>
      <c r="F1227" s="4">
        <v>49623.270000000004</v>
      </c>
      <c r="G1227" s="4">
        <v>49635.14</v>
      </c>
      <c r="H1227" s="5">
        <f>319 / 86400</f>
        <v>3.6921296296296298E-3</v>
      </c>
      <c r="I1227" t="s">
        <v>110</v>
      </c>
      <c r="J1227" t="s">
        <v>111</v>
      </c>
      <c r="K1227" s="5">
        <f>733 / 86400</f>
        <v>8.4837962962962966E-3</v>
      </c>
      <c r="L1227" s="5">
        <f>48620 / 86400</f>
        <v>0.56273148148148144</v>
      </c>
    </row>
    <row r="1228" spans="1:12" x14ac:dyDescent="0.25">
      <c r="A1228" s="3">
        <v>45699.571226851855</v>
      </c>
      <c r="B1228" t="s">
        <v>445</v>
      </c>
      <c r="C1228" s="3">
        <v>45699.57131944444</v>
      </c>
      <c r="D1228" t="s">
        <v>446</v>
      </c>
      <c r="E1228" s="4">
        <v>1.4999999999999999E-2</v>
      </c>
      <c r="F1228" s="4">
        <v>49635.14</v>
      </c>
      <c r="G1228" s="4">
        <v>49635.154999999999</v>
      </c>
      <c r="H1228" s="5">
        <f>0 / 86400</f>
        <v>0</v>
      </c>
      <c r="I1228" t="s">
        <v>88</v>
      </c>
      <c r="J1228" t="s">
        <v>28</v>
      </c>
      <c r="K1228" s="5">
        <f>8 / 86400</f>
        <v>9.2592592592592588E-5</v>
      </c>
      <c r="L1228" s="5">
        <f>334 / 86400</f>
        <v>3.8657407407407408E-3</v>
      </c>
    </row>
    <row r="1229" spans="1:12" x14ac:dyDescent="0.25">
      <c r="A1229" s="3">
        <v>45699.575185185182</v>
      </c>
      <c r="B1229" t="s">
        <v>445</v>
      </c>
      <c r="C1229" s="3">
        <v>45699.591620370367</v>
      </c>
      <c r="D1229" t="s">
        <v>76</v>
      </c>
      <c r="E1229" s="4">
        <v>2.4750000000074506</v>
      </c>
      <c r="F1229" s="4">
        <v>49635.154999999999</v>
      </c>
      <c r="G1229" s="4">
        <v>49637.630000000005</v>
      </c>
      <c r="H1229" s="5">
        <f>1299 / 86400</f>
        <v>1.5034722222222222E-2</v>
      </c>
      <c r="I1229" t="s">
        <v>34</v>
      </c>
      <c r="J1229" t="s">
        <v>128</v>
      </c>
      <c r="K1229" s="5">
        <f>1419 / 86400</f>
        <v>1.6423611111111111E-2</v>
      </c>
      <c r="L1229" s="5">
        <f>236 / 86400</f>
        <v>2.7314814814814814E-3</v>
      </c>
    </row>
    <row r="1230" spans="1:12" x14ac:dyDescent="0.25">
      <c r="A1230" s="3">
        <v>45699.594351851847</v>
      </c>
      <c r="B1230" t="s">
        <v>76</v>
      </c>
      <c r="C1230" s="3">
        <v>45699.840856481482</v>
      </c>
      <c r="D1230" t="s">
        <v>151</v>
      </c>
      <c r="E1230" s="4">
        <v>447.59999999999258</v>
      </c>
      <c r="F1230" s="4">
        <v>49637.630000000005</v>
      </c>
      <c r="G1230" s="4">
        <v>50085.23</v>
      </c>
      <c r="H1230" s="5">
        <f>6576 / 86400</f>
        <v>7.6111111111111115E-2</v>
      </c>
      <c r="I1230" t="s">
        <v>66</v>
      </c>
      <c r="J1230" t="s">
        <v>52</v>
      </c>
      <c r="K1230" s="5">
        <f>21297 / 86400</f>
        <v>0.24649305555555556</v>
      </c>
      <c r="L1230" s="5">
        <f>157 / 86400</f>
        <v>1.8171296296296297E-3</v>
      </c>
    </row>
    <row r="1231" spans="1:12" x14ac:dyDescent="0.25">
      <c r="A1231" s="3">
        <v>45699.842673611114</v>
      </c>
      <c r="B1231" t="s">
        <v>151</v>
      </c>
      <c r="C1231" s="3">
        <v>45699.84269675926</v>
      </c>
      <c r="D1231" t="s">
        <v>151</v>
      </c>
      <c r="E1231" s="4">
        <v>0</v>
      </c>
      <c r="F1231" s="4">
        <v>50085.23</v>
      </c>
      <c r="G1231" s="4">
        <v>50085.23</v>
      </c>
      <c r="H1231" s="5">
        <f>0 / 86400</f>
        <v>0</v>
      </c>
      <c r="I1231" t="s">
        <v>88</v>
      </c>
      <c r="J1231" t="s">
        <v>88</v>
      </c>
      <c r="K1231" s="5">
        <f>1 / 86400</f>
        <v>1.1574074074074073E-5</v>
      </c>
      <c r="L1231" s="5">
        <f>2 / 86400</f>
        <v>2.3148148148148147E-5</v>
      </c>
    </row>
    <row r="1232" spans="1:12" x14ac:dyDescent="0.25">
      <c r="A1232" s="3">
        <v>45699.842719907407</v>
      </c>
      <c r="B1232" t="s">
        <v>151</v>
      </c>
      <c r="C1232" s="3">
        <v>45699.842731481476</v>
      </c>
      <c r="D1232" t="s">
        <v>151</v>
      </c>
      <c r="E1232" s="4">
        <v>0</v>
      </c>
      <c r="F1232" s="4">
        <v>50085.23</v>
      </c>
      <c r="G1232" s="4">
        <v>50085.23</v>
      </c>
      <c r="H1232" s="5">
        <f>0 / 86400</f>
        <v>0</v>
      </c>
      <c r="I1232" t="s">
        <v>88</v>
      </c>
      <c r="J1232" t="s">
        <v>88</v>
      </c>
      <c r="K1232" s="5">
        <f>1 / 86400</f>
        <v>1.1574074074074073E-5</v>
      </c>
      <c r="L1232" s="5">
        <f>5 / 86400</f>
        <v>5.7870370370370373E-5</v>
      </c>
    </row>
    <row r="1233" spans="1:12" x14ac:dyDescent="0.25">
      <c r="A1233" s="3">
        <v>45699.842789351853</v>
      </c>
      <c r="B1233" t="s">
        <v>151</v>
      </c>
      <c r="C1233" s="3">
        <v>45699.844305555554</v>
      </c>
      <c r="D1233" t="s">
        <v>373</v>
      </c>
      <c r="E1233" s="4">
        <v>1.73</v>
      </c>
      <c r="F1233" s="4">
        <v>50085.23</v>
      </c>
      <c r="G1233" s="4">
        <v>50086.96</v>
      </c>
      <c r="H1233" s="5">
        <f>40 / 86400</f>
        <v>4.6296296296296298E-4</v>
      </c>
      <c r="I1233" t="s">
        <v>22</v>
      </c>
      <c r="J1233" t="s">
        <v>156</v>
      </c>
      <c r="K1233" s="5">
        <f>131 / 86400</f>
        <v>1.5162037037037036E-3</v>
      </c>
      <c r="L1233" s="5">
        <f>507 / 86400</f>
        <v>5.8680555555555552E-3</v>
      </c>
    </row>
    <row r="1234" spans="1:12" x14ac:dyDescent="0.25">
      <c r="A1234" s="3">
        <v>45699.850173611107</v>
      </c>
      <c r="B1234" t="s">
        <v>158</v>
      </c>
      <c r="C1234" s="3">
        <v>45699.994988425926</v>
      </c>
      <c r="D1234" t="s">
        <v>115</v>
      </c>
      <c r="E1234" s="4">
        <v>371.18500000000745</v>
      </c>
      <c r="F1234" s="4">
        <v>50086.96</v>
      </c>
      <c r="G1234" s="4">
        <v>50458.145000000004</v>
      </c>
      <c r="H1234" s="5">
        <f>3461 / 86400</f>
        <v>4.0057870370370369E-2</v>
      </c>
      <c r="I1234" t="s">
        <v>25</v>
      </c>
      <c r="J1234" t="s">
        <v>447</v>
      </c>
      <c r="K1234" s="5">
        <f>12512 / 86400</f>
        <v>0.14481481481481481</v>
      </c>
      <c r="L1234" s="5">
        <f>432 / 86400</f>
        <v>5.0000000000000001E-3</v>
      </c>
    </row>
    <row r="1235" spans="1:12" x14ac:dyDescent="0.25">
      <c r="A1235" s="11"/>
      <c r="B1235" s="11"/>
      <c r="C1235" s="11"/>
      <c r="D1235" s="11"/>
      <c r="E1235" s="11"/>
      <c r="F1235" s="11"/>
      <c r="G1235" s="11"/>
      <c r="H1235" s="11"/>
      <c r="I1235" s="11"/>
      <c r="J1235" s="11"/>
    </row>
    <row r="1236" spans="1:12" x14ac:dyDescent="0.25">
      <c r="A1236" s="11"/>
      <c r="B1236" s="11"/>
      <c r="C1236" s="11"/>
      <c r="D1236" s="11"/>
      <c r="E1236" s="11"/>
      <c r="F1236" s="11"/>
      <c r="G1236" s="11"/>
      <c r="H1236" s="11"/>
      <c r="I1236" s="11"/>
      <c r="J1236" s="11"/>
    </row>
    <row r="1237" spans="1:12" s="10" customFormat="1" ht="20.100000000000001" customHeight="1" x14ac:dyDescent="0.35">
      <c r="A1237" s="12" t="s">
        <v>510</v>
      </c>
      <c r="B1237" s="12"/>
      <c r="C1237" s="12"/>
      <c r="D1237" s="12"/>
      <c r="E1237" s="12"/>
      <c r="F1237" s="12"/>
      <c r="G1237" s="12"/>
      <c r="H1237" s="12"/>
      <c r="I1237" s="12"/>
      <c r="J1237" s="12"/>
    </row>
    <row r="1238" spans="1:12" x14ac:dyDescent="0.25">
      <c r="A1238" s="11"/>
      <c r="B1238" s="11"/>
      <c r="C1238" s="11"/>
      <c r="D1238" s="11"/>
      <c r="E1238" s="11"/>
      <c r="F1238" s="11"/>
      <c r="G1238" s="11"/>
      <c r="H1238" s="11"/>
      <c r="I1238" s="11"/>
      <c r="J1238" s="11"/>
    </row>
    <row r="1239" spans="1:12" ht="30" x14ac:dyDescent="0.25">
      <c r="A1239" s="2" t="s">
        <v>5</v>
      </c>
      <c r="B1239" s="2" t="s">
        <v>6</v>
      </c>
      <c r="C1239" s="2" t="s">
        <v>7</v>
      </c>
      <c r="D1239" s="2" t="s">
        <v>8</v>
      </c>
      <c r="E1239" s="2" t="s">
        <v>9</v>
      </c>
      <c r="F1239" s="2" t="s">
        <v>10</v>
      </c>
      <c r="G1239" s="2" t="s">
        <v>11</v>
      </c>
      <c r="H1239" s="2" t="s">
        <v>12</v>
      </c>
      <c r="I1239" s="2" t="s">
        <v>13</v>
      </c>
      <c r="J1239" s="2" t="s">
        <v>14</v>
      </c>
      <c r="K1239" s="2" t="s">
        <v>15</v>
      </c>
      <c r="L1239" s="2" t="s">
        <v>16</v>
      </c>
    </row>
    <row r="1240" spans="1:12" x14ac:dyDescent="0.25">
      <c r="A1240" s="3">
        <v>45699</v>
      </c>
      <c r="B1240" t="s">
        <v>116</v>
      </c>
      <c r="C1240" s="3">
        <v>45699.023865740739</v>
      </c>
      <c r="D1240" t="s">
        <v>265</v>
      </c>
      <c r="E1240" s="4">
        <v>12.382999999999999</v>
      </c>
      <c r="F1240" s="4">
        <v>58874.728999999999</v>
      </c>
      <c r="G1240" s="4">
        <v>58887.112000000001</v>
      </c>
      <c r="H1240" s="5">
        <f>900 / 86400</f>
        <v>1.0416666666666666E-2</v>
      </c>
      <c r="I1240" t="s">
        <v>83</v>
      </c>
      <c r="J1240" t="s">
        <v>34</v>
      </c>
      <c r="K1240" s="5">
        <f>2062 / 86400</f>
        <v>2.3865740740740739E-2</v>
      </c>
      <c r="L1240" s="5">
        <f>97 / 86400</f>
        <v>1.1226851851851851E-3</v>
      </c>
    </row>
    <row r="1241" spans="1:12" x14ac:dyDescent="0.25">
      <c r="A1241" s="3">
        <v>45699.024988425925</v>
      </c>
      <c r="B1241" t="s">
        <v>35</v>
      </c>
      <c r="C1241" s="3">
        <v>45699.042083333334</v>
      </c>
      <c r="D1241" t="s">
        <v>276</v>
      </c>
      <c r="E1241" s="4">
        <v>15.089</v>
      </c>
      <c r="F1241" s="4">
        <v>58887.112000000001</v>
      </c>
      <c r="G1241" s="4">
        <v>58902.201000000001</v>
      </c>
      <c r="H1241" s="5">
        <f>40 / 86400</f>
        <v>4.6296296296296298E-4</v>
      </c>
      <c r="I1241" t="s">
        <v>110</v>
      </c>
      <c r="J1241" t="s">
        <v>147</v>
      </c>
      <c r="K1241" s="5">
        <f>1477 / 86400</f>
        <v>1.7094907407407406E-2</v>
      </c>
      <c r="L1241" s="5">
        <f>488 / 86400</f>
        <v>5.6481481481481478E-3</v>
      </c>
    </row>
    <row r="1242" spans="1:12" x14ac:dyDescent="0.25">
      <c r="A1242" s="3">
        <v>45699.047731481478</v>
      </c>
      <c r="B1242" t="s">
        <v>375</v>
      </c>
      <c r="C1242" s="3">
        <v>45699.048726851848</v>
      </c>
      <c r="D1242" t="s">
        <v>117</v>
      </c>
      <c r="E1242" s="4">
        <v>0.253</v>
      </c>
      <c r="F1242" s="4">
        <v>58902.201000000001</v>
      </c>
      <c r="G1242" s="4">
        <v>58902.453999999998</v>
      </c>
      <c r="H1242" s="5">
        <f>0 / 86400</f>
        <v>0</v>
      </c>
      <c r="I1242" t="s">
        <v>22</v>
      </c>
      <c r="J1242" t="s">
        <v>134</v>
      </c>
      <c r="K1242" s="5">
        <f>85 / 86400</f>
        <v>9.837962962962962E-4</v>
      </c>
      <c r="L1242" s="5">
        <f>137 / 86400</f>
        <v>1.5856481481481481E-3</v>
      </c>
    </row>
    <row r="1243" spans="1:12" x14ac:dyDescent="0.25">
      <c r="A1243" s="3">
        <v>45699.050312499996</v>
      </c>
      <c r="B1243" t="s">
        <v>117</v>
      </c>
      <c r="C1243" s="3">
        <v>45699.051747685182</v>
      </c>
      <c r="D1243" t="s">
        <v>117</v>
      </c>
      <c r="E1243" s="4">
        <v>0.06</v>
      </c>
      <c r="F1243" s="4">
        <v>58902.455000000002</v>
      </c>
      <c r="G1243" s="4">
        <v>58902.514999999999</v>
      </c>
      <c r="H1243" s="5">
        <f>40 / 86400</f>
        <v>4.6296296296296298E-4</v>
      </c>
      <c r="I1243" t="s">
        <v>28</v>
      </c>
      <c r="J1243" t="s">
        <v>57</v>
      </c>
      <c r="K1243" s="5">
        <f>123 / 86400</f>
        <v>1.4236111111111112E-3</v>
      </c>
      <c r="L1243" s="5">
        <f>11584 / 86400</f>
        <v>0.13407407407407407</v>
      </c>
    </row>
    <row r="1244" spans="1:12" x14ac:dyDescent="0.25">
      <c r="A1244" s="3">
        <v>45699.18582175926</v>
      </c>
      <c r="B1244" t="s">
        <v>117</v>
      </c>
      <c r="C1244" s="3">
        <v>45699.299814814818</v>
      </c>
      <c r="D1244" t="s">
        <v>336</v>
      </c>
      <c r="E1244" s="4">
        <v>52.037999999999997</v>
      </c>
      <c r="F1244" s="4">
        <v>58902.514999999999</v>
      </c>
      <c r="G1244" s="4">
        <v>58954.553</v>
      </c>
      <c r="H1244" s="5">
        <f>3318 / 86400</f>
        <v>3.8402777777777779E-2</v>
      </c>
      <c r="I1244" t="s">
        <v>21</v>
      </c>
      <c r="J1244" t="s">
        <v>22</v>
      </c>
      <c r="K1244" s="5">
        <f>9848 / 86400</f>
        <v>0.11398148148148148</v>
      </c>
      <c r="L1244" s="5">
        <f>10 / 86400</f>
        <v>1.1574074074074075E-4</v>
      </c>
    </row>
    <row r="1245" spans="1:12" x14ac:dyDescent="0.25">
      <c r="A1245" s="3">
        <v>45699.299930555557</v>
      </c>
      <c r="B1245" t="s">
        <v>336</v>
      </c>
      <c r="C1245" s="3">
        <v>45699.397928240738</v>
      </c>
      <c r="D1245" t="s">
        <v>273</v>
      </c>
      <c r="E1245" s="4">
        <v>44.817999999999998</v>
      </c>
      <c r="F1245" s="4">
        <v>58954.553</v>
      </c>
      <c r="G1245" s="4">
        <v>58999.370999999999</v>
      </c>
      <c r="H1245" s="5">
        <f>2979 / 86400</f>
        <v>3.4479166666666665E-2</v>
      </c>
      <c r="I1245" t="s">
        <v>66</v>
      </c>
      <c r="J1245" t="s">
        <v>22</v>
      </c>
      <c r="K1245" s="5">
        <f>8466 / 86400</f>
        <v>9.7986111111111107E-2</v>
      </c>
      <c r="L1245" s="5">
        <f>45 / 86400</f>
        <v>5.2083333333333333E-4</v>
      </c>
    </row>
    <row r="1246" spans="1:12" x14ac:dyDescent="0.25">
      <c r="A1246" s="3">
        <v>45699.39844907407</v>
      </c>
      <c r="B1246" t="s">
        <v>273</v>
      </c>
      <c r="C1246" s="3">
        <v>45699.408831018518</v>
      </c>
      <c r="D1246" t="s">
        <v>387</v>
      </c>
      <c r="E1246" s="4">
        <v>5.431</v>
      </c>
      <c r="F1246" s="4">
        <v>58999.370999999999</v>
      </c>
      <c r="G1246" s="4">
        <v>59004.802000000003</v>
      </c>
      <c r="H1246" s="5">
        <f>100 / 86400</f>
        <v>1.1574074074074073E-3</v>
      </c>
      <c r="I1246" t="s">
        <v>200</v>
      </c>
      <c r="J1246" t="s">
        <v>34</v>
      </c>
      <c r="K1246" s="5">
        <f>896 / 86400</f>
        <v>1.037037037037037E-2</v>
      </c>
      <c r="L1246" s="5">
        <f>17 / 86400</f>
        <v>1.9675925925925926E-4</v>
      </c>
    </row>
    <row r="1247" spans="1:12" x14ac:dyDescent="0.25">
      <c r="A1247" s="3">
        <v>45699.40902777778</v>
      </c>
      <c r="B1247" t="s">
        <v>387</v>
      </c>
      <c r="C1247" s="3">
        <v>45699.40996527778</v>
      </c>
      <c r="D1247" t="s">
        <v>153</v>
      </c>
      <c r="E1247" s="4">
        <v>4.7E-2</v>
      </c>
      <c r="F1247" s="4">
        <v>59004.802000000003</v>
      </c>
      <c r="G1247" s="4">
        <v>59004.849000000002</v>
      </c>
      <c r="H1247" s="5">
        <f>39 / 86400</f>
        <v>4.5138888888888887E-4</v>
      </c>
      <c r="I1247" t="s">
        <v>125</v>
      </c>
      <c r="J1247" t="s">
        <v>57</v>
      </c>
      <c r="K1247" s="5">
        <f>81 / 86400</f>
        <v>9.3749999999999997E-4</v>
      </c>
      <c r="L1247" s="5">
        <f>2924 / 86400</f>
        <v>3.3842592592592591E-2</v>
      </c>
    </row>
    <row r="1248" spans="1:12" x14ac:dyDescent="0.25">
      <c r="A1248" s="3">
        <v>45699.443807870368</v>
      </c>
      <c r="B1248" t="s">
        <v>153</v>
      </c>
      <c r="C1248" s="3">
        <v>45699.505833333329</v>
      </c>
      <c r="D1248" t="s">
        <v>190</v>
      </c>
      <c r="E1248" s="4">
        <v>35.043999999999997</v>
      </c>
      <c r="F1248" s="4">
        <v>59004.849000000002</v>
      </c>
      <c r="G1248" s="4">
        <v>59039.892999999996</v>
      </c>
      <c r="H1248" s="5">
        <f>1480 / 86400</f>
        <v>1.712962962962963E-2</v>
      </c>
      <c r="I1248" t="s">
        <v>33</v>
      </c>
      <c r="J1248" t="s">
        <v>130</v>
      </c>
      <c r="K1248" s="5">
        <f>5359 / 86400</f>
        <v>6.2025462962962963E-2</v>
      </c>
      <c r="L1248" s="5">
        <f>53 / 86400</f>
        <v>6.134259259259259E-4</v>
      </c>
    </row>
    <row r="1249" spans="1:12" x14ac:dyDescent="0.25">
      <c r="A1249" s="3">
        <v>45699.50644675926</v>
      </c>
      <c r="B1249" t="s">
        <v>190</v>
      </c>
      <c r="C1249" s="3">
        <v>45699.549687499995</v>
      </c>
      <c r="D1249" t="s">
        <v>426</v>
      </c>
      <c r="E1249" s="4">
        <v>21.934999999999999</v>
      </c>
      <c r="F1249" s="4">
        <v>59039.892999999996</v>
      </c>
      <c r="G1249" s="4">
        <v>59061.828000000001</v>
      </c>
      <c r="H1249" s="5">
        <f>1061 / 86400</f>
        <v>1.2280092592592592E-2</v>
      </c>
      <c r="I1249" t="s">
        <v>145</v>
      </c>
      <c r="J1249" t="s">
        <v>108</v>
      </c>
      <c r="K1249" s="5">
        <f>3735 / 86400</f>
        <v>4.3229166666666666E-2</v>
      </c>
      <c r="L1249" s="5">
        <f>79 / 86400</f>
        <v>9.1435185185185185E-4</v>
      </c>
    </row>
    <row r="1250" spans="1:12" x14ac:dyDescent="0.25">
      <c r="A1250" s="3">
        <v>45699.55060185185</v>
      </c>
      <c r="B1250" t="s">
        <v>426</v>
      </c>
      <c r="C1250" s="3">
        <v>45699.551817129628</v>
      </c>
      <c r="D1250" t="s">
        <v>293</v>
      </c>
      <c r="E1250" s="4">
        <v>0.224</v>
      </c>
      <c r="F1250" s="4">
        <v>59061.828000000001</v>
      </c>
      <c r="G1250" s="4">
        <v>59062.052000000003</v>
      </c>
      <c r="H1250" s="5">
        <f>20 / 86400</f>
        <v>2.3148148148148149E-4</v>
      </c>
      <c r="I1250" t="s">
        <v>108</v>
      </c>
      <c r="J1250" t="s">
        <v>125</v>
      </c>
      <c r="K1250" s="5">
        <f>104 / 86400</f>
        <v>1.2037037037037038E-3</v>
      </c>
      <c r="L1250" s="5">
        <f>57 / 86400</f>
        <v>6.5972222222222224E-4</v>
      </c>
    </row>
    <row r="1251" spans="1:12" x14ac:dyDescent="0.25">
      <c r="A1251" s="3">
        <v>45699.552476851852</v>
      </c>
      <c r="B1251" t="s">
        <v>293</v>
      </c>
      <c r="C1251" s="3">
        <v>45699.552557870367</v>
      </c>
      <c r="D1251" t="s">
        <v>293</v>
      </c>
      <c r="E1251" s="4">
        <v>0</v>
      </c>
      <c r="F1251" s="4">
        <v>59062.052000000003</v>
      </c>
      <c r="G1251" s="4">
        <v>59062.052000000003</v>
      </c>
      <c r="H1251" s="5">
        <f>0 / 86400</f>
        <v>0</v>
      </c>
      <c r="I1251" t="s">
        <v>88</v>
      </c>
      <c r="J1251" t="s">
        <v>88</v>
      </c>
      <c r="K1251" s="5">
        <f>6 / 86400</f>
        <v>6.9444444444444444E-5</v>
      </c>
      <c r="L1251" s="5">
        <f>170 / 86400</f>
        <v>1.9675925925925924E-3</v>
      </c>
    </row>
    <row r="1252" spans="1:12" x14ac:dyDescent="0.25">
      <c r="A1252" s="3">
        <v>45699.554525462961</v>
      </c>
      <c r="B1252" t="s">
        <v>293</v>
      </c>
      <c r="C1252" s="3">
        <v>45699.555092592593</v>
      </c>
      <c r="D1252" t="s">
        <v>293</v>
      </c>
      <c r="E1252" s="4">
        <v>0.26700000000000002</v>
      </c>
      <c r="F1252" s="4">
        <v>59062.052000000003</v>
      </c>
      <c r="G1252" s="4">
        <v>59062.319000000003</v>
      </c>
      <c r="H1252" s="5">
        <f>0 / 86400</f>
        <v>0</v>
      </c>
      <c r="I1252" t="s">
        <v>184</v>
      </c>
      <c r="J1252" t="s">
        <v>152</v>
      </c>
      <c r="K1252" s="5">
        <f>49 / 86400</f>
        <v>5.6712962962962967E-4</v>
      </c>
      <c r="L1252" s="5">
        <f>573 / 86400</f>
        <v>6.6319444444444446E-3</v>
      </c>
    </row>
    <row r="1253" spans="1:12" x14ac:dyDescent="0.25">
      <c r="A1253" s="3">
        <v>45699.561724537038</v>
      </c>
      <c r="B1253" t="s">
        <v>293</v>
      </c>
      <c r="C1253" s="3">
        <v>45699.590243055558</v>
      </c>
      <c r="D1253" t="s">
        <v>448</v>
      </c>
      <c r="E1253" s="4">
        <v>18.852</v>
      </c>
      <c r="F1253" s="4">
        <v>59062.319000000003</v>
      </c>
      <c r="G1253" s="4">
        <v>59081.171000000002</v>
      </c>
      <c r="H1253" s="5">
        <f>739 / 86400</f>
        <v>8.5532407407407415E-3</v>
      </c>
      <c r="I1253" t="s">
        <v>118</v>
      </c>
      <c r="J1253" t="s">
        <v>178</v>
      </c>
      <c r="K1253" s="5">
        <f>2463 / 86400</f>
        <v>2.8506944444444446E-2</v>
      </c>
      <c r="L1253" s="5">
        <f>22 / 86400</f>
        <v>2.5462962962962961E-4</v>
      </c>
    </row>
    <row r="1254" spans="1:12" x14ac:dyDescent="0.25">
      <c r="A1254" s="3">
        <v>45699.590497685189</v>
      </c>
      <c r="B1254" t="s">
        <v>448</v>
      </c>
      <c r="C1254" s="3">
        <v>45699.635347222225</v>
      </c>
      <c r="D1254" t="s">
        <v>119</v>
      </c>
      <c r="E1254" s="4">
        <v>24.515999999999998</v>
      </c>
      <c r="F1254" s="4">
        <v>59081.171000000002</v>
      </c>
      <c r="G1254" s="4">
        <v>59105.686999999998</v>
      </c>
      <c r="H1254" s="5">
        <f>1158 / 86400</f>
        <v>1.3402777777777777E-2</v>
      </c>
      <c r="I1254" t="s">
        <v>173</v>
      </c>
      <c r="J1254" t="s">
        <v>160</v>
      </c>
      <c r="K1254" s="5">
        <f>3874 / 86400</f>
        <v>4.4837962962962961E-2</v>
      </c>
      <c r="L1254" s="5">
        <f>121 / 86400</f>
        <v>1.4004629629629629E-3</v>
      </c>
    </row>
    <row r="1255" spans="1:12" x14ac:dyDescent="0.25">
      <c r="A1255" s="3">
        <v>45699.636747685188</v>
      </c>
      <c r="B1255" t="s">
        <v>119</v>
      </c>
      <c r="C1255" s="3">
        <v>45699.653564814813</v>
      </c>
      <c r="D1255" t="s">
        <v>105</v>
      </c>
      <c r="E1255" s="4">
        <v>6.681</v>
      </c>
      <c r="F1255" s="4">
        <v>59105.686999999998</v>
      </c>
      <c r="G1255" s="4">
        <v>59112.368000000002</v>
      </c>
      <c r="H1255" s="5">
        <f>180 / 86400</f>
        <v>2.0833333333333333E-3</v>
      </c>
      <c r="I1255" t="s">
        <v>166</v>
      </c>
      <c r="J1255" t="s">
        <v>42</v>
      </c>
      <c r="K1255" s="5">
        <f>1453 / 86400</f>
        <v>1.681712962962963E-2</v>
      </c>
      <c r="L1255" s="5">
        <f>527 / 86400</f>
        <v>6.099537037037037E-3</v>
      </c>
    </row>
    <row r="1256" spans="1:12" x14ac:dyDescent="0.25">
      <c r="A1256" s="3">
        <v>45699.659664351857</v>
      </c>
      <c r="B1256" t="s">
        <v>105</v>
      </c>
      <c r="C1256" s="3">
        <v>45699.661076388889</v>
      </c>
      <c r="D1256" t="s">
        <v>117</v>
      </c>
      <c r="E1256" s="4">
        <v>0.23499999999999999</v>
      </c>
      <c r="F1256" s="4">
        <v>59112.368000000002</v>
      </c>
      <c r="G1256" s="4">
        <v>59112.603000000003</v>
      </c>
      <c r="H1256" s="5">
        <f>19 / 86400</f>
        <v>2.199074074074074E-4</v>
      </c>
      <c r="I1256" t="s">
        <v>56</v>
      </c>
      <c r="J1256" t="s">
        <v>28</v>
      </c>
      <c r="K1256" s="5">
        <f>122 / 86400</f>
        <v>1.4120370370370369E-3</v>
      </c>
      <c r="L1256" s="5">
        <f>112 / 86400</f>
        <v>1.2962962962962963E-3</v>
      </c>
    </row>
    <row r="1257" spans="1:12" x14ac:dyDescent="0.25">
      <c r="A1257" s="3">
        <v>45699.662372685183</v>
      </c>
      <c r="B1257" t="s">
        <v>117</v>
      </c>
      <c r="C1257" s="3">
        <v>45699.662881944445</v>
      </c>
      <c r="D1257" t="s">
        <v>117</v>
      </c>
      <c r="E1257" s="4">
        <v>2E-3</v>
      </c>
      <c r="F1257" s="4">
        <v>59112.603000000003</v>
      </c>
      <c r="G1257" s="4">
        <v>59112.605000000003</v>
      </c>
      <c r="H1257" s="5">
        <f>39 / 86400</f>
        <v>4.5138888888888887E-4</v>
      </c>
      <c r="I1257" t="s">
        <v>88</v>
      </c>
      <c r="J1257" t="s">
        <v>88</v>
      </c>
      <c r="K1257" s="5">
        <f>44 / 86400</f>
        <v>5.0925925925925921E-4</v>
      </c>
      <c r="L1257" s="5">
        <f>50 / 86400</f>
        <v>5.7870370370370367E-4</v>
      </c>
    </row>
    <row r="1258" spans="1:12" x14ac:dyDescent="0.25">
      <c r="A1258" s="3">
        <v>45699.663460648153</v>
      </c>
      <c r="B1258" t="s">
        <v>117</v>
      </c>
      <c r="C1258" s="3">
        <v>45699.664479166662</v>
      </c>
      <c r="D1258" t="s">
        <v>117</v>
      </c>
      <c r="E1258" s="4">
        <v>4.2000000000000003E-2</v>
      </c>
      <c r="F1258" s="4">
        <v>59112.605000000003</v>
      </c>
      <c r="G1258" s="4">
        <v>59112.646999999997</v>
      </c>
      <c r="H1258" s="5">
        <f>39 / 86400</f>
        <v>4.5138888888888887E-4</v>
      </c>
      <c r="I1258" t="s">
        <v>157</v>
      </c>
      <c r="J1258" t="s">
        <v>57</v>
      </c>
      <c r="K1258" s="5">
        <f>88 / 86400</f>
        <v>1.0185185185185184E-3</v>
      </c>
      <c r="L1258" s="5">
        <f>28988 / 86400</f>
        <v>0.33550925925925928</v>
      </c>
    </row>
    <row r="1259" spans="1:12" x14ac:dyDescent="0.25">
      <c r="A1259" s="11"/>
      <c r="B1259" s="11"/>
      <c r="C1259" s="11"/>
      <c r="D1259" s="11"/>
      <c r="E1259" s="11"/>
      <c r="F1259" s="11"/>
      <c r="G1259" s="11"/>
      <c r="H1259" s="11"/>
      <c r="I1259" s="11"/>
      <c r="J1259" s="11"/>
    </row>
    <row r="1260" spans="1:12" x14ac:dyDescent="0.25">
      <c r="A1260" s="11"/>
      <c r="B1260" s="11"/>
      <c r="C1260" s="11"/>
      <c r="D1260" s="11"/>
      <c r="E1260" s="11"/>
      <c r="F1260" s="11"/>
      <c r="G1260" s="11"/>
      <c r="H1260" s="11"/>
      <c r="I1260" s="11"/>
      <c r="J1260" s="11"/>
    </row>
    <row r="1261" spans="1:12" s="10" customFormat="1" ht="20.100000000000001" customHeight="1" x14ac:dyDescent="0.35">
      <c r="A1261" s="12" t="s">
        <v>511</v>
      </c>
      <c r="B1261" s="12"/>
      <c r="C1261" s="12"/>
      <c r="D1261" s="12"/>
      <c r="E1261" s="12"/>
      <c r="F1261" s="12"/>
      <c r="G1261" s="12"/>
      <c r="H1261" s="12"/>
      <c r="I1261" s="12"/>
      <c r="J1261" s="12"/>
    </row>
    <row r="1262" spans="1:12" x14ac:dyDescent="0.25">
      <c r="A1262" s="11"/>
      <c r="B1262" s="11"/>
      <c r="C1262" s="11"/>
      <c r="D1262" s="11"/>
      <c r="E1262" s="11"/>
      <c r="F1262" s="11"/>
      <c r="G1262" s="11"/>
      <c r="H1262" s="11"/>
      <c r="I1262" s="11"/>
      <c r="J1262" s="11"/>
    </row>
    <row r="1263" spans="1:12" ht="30" x14ac:dyDescent="0.25">
      <c r="A1263" s="2" t="s">
        <v>5</v>
      </c>
      <c r="B1263" s="2" t="s">
        <v>6</v>
      </c>
      <c r="C1263" s="2" t="s">
        <v>7</v>
      </c>
      <c r="D1263" s="2" t="s">
        <v>8</v>
      </c>
      <c r="E1263" s="2" t="s">
        <v>9</v>
      </c>
      <c r="F1263" s="2" t="s">
        <v>10</v>
      </c>
      <c r="G1263" s="2" t="s">
        <v>11</v>
      </c>
      <c r="H1263" s="2" t="s">
        <v>12</v>
      </c>
      <c r="I1263" s="2" t="s">
        <v>13</v>
      </c>
      <c r="J1263" s="2" t="s">
        <v>14</v>
      </c>
      <c r="K1263" s="2" t="s">
        <v>15</v>
      </c>
      <c r="L1263" s="2" t="s">
        <v>16</v>
      </c>
    </row>
    <row r="1264" spans="1:12" x14ac:dyDescent="0.25">
      <c r="A1264" s="3">
        <v>45699</v>
      </c>
      <c r="B1264" t="s">
        <v>119</v>
      </c>
      <c r="C1264" s="3">
        <v>45699.016273148147</v>
      </c>
      <c r="D1264" t="s">
        <v>449</v>
      </c>
      <c r="E1264" s="4">
        <v>2.786</v>
      </c>
      <c r="F1264" s="4">
        <v>62319.125999999997</v>
      </c>
      <c r="G1264" s="4">
        <v>62321.911999999997</v>
      </c>
      <c r="H1264" s="5">
        <f>520 / 86400</f>
        <v>6.0185185185185185E-3</v>
      </c>
      <c r="I1264" t="s">
        <v>184</v>
      </c>
      <c r="J1264" t="s">
        <v>28</v>
      </c>
      <c r="K1264" s="5">
        <f>1406 / 86400</f>
        <v>1.6273148148148148E-2</v>
      </c>
      <c r="L1264" s="5">
        <f>1060 / 86400</f>
        <v>1.2268518518518519E-2</v>
      </c>
    </row>
    <row r="1265" spans="1:12" x14ac:dyDescent="0.25">
      <c r="A1265" s="3">
        <v>45699.028541666667</v>
      </c>
      <c r="B1265" t="s">
        <v>449</v>
      </c>
      <c r="C1265" s="3">
        <v>45699.047696759255</v>
      </c>
      <c r="D1265" t="s">
        <v>153</v>
      </c>
      <c r="E1265" s="4">
        <v>7.2510000000000003</v>
      </c>
      <c r="F1265" s="4">
        <v>62321.911999999997</v>
      </c>
      <c r="G1265" s="4">
        <v>62329.163</v>
      </c>
      <c r="H1265" s="5">
        <f>399 / 86400</f>
        <v>4.6180555555555558E-3</v>
      </c>
      <c r="I1265" t="s">
        <v>111</v>
      </c>
      <c r="J1265" t="s">
        <v>37</v>
      </c>
      <c r="K1265" s="5">
        <f>1655 / 86400</f>
        <v>1.9155092592592592E-2</v>
      </c>
      <c r="L1265" s="5">
        <f>23176 / 86400</f>
        <v>0.26824074074074072</v>
      </c>
    </row>
    <row r="1266" spans="1:12" x14ac:dyDescent="0.25">
      <c r="A1266" s="3">
        <v>45699.315937499996</v>
      </c>
      <c r="B1266" t="s">
        <v>153</v>
      </c>
      <c r="C1266" s="3">
        <v>45699.316527777773</v>
      </c>
      <c r="D1266" t="s">
        <v>153</v>
      </c>
      <c r="E1266" s="4">
        <v>0</v>
      </c>
      <c r="F1266" s="4">
        <v>62329.163</v>
      </c>
      <c r="G1266" s="4">
        <v>62329.163</v>
      </c>
      <c r="H1266" s="5">
        <f>39 / 86400</f>
        <v>4.5138888888888887E-4</v>
      </c>
      <c r="I1266" t="s">
        <v>88</v>
      </c>
      <c r="J1266" t="s">
        <v>88</v>
      </c>
      <c r="K1266" s="5">
        <f>51 / 86400</f>
        <v>5.9027777777777778E-4</v>
      </c>
      <c r="L1266" s="5">
        <f>6273 / 86400</f>
        <v>7.2604166666666664E-2</v>
      </c>
    </row>
    <row r="1267" spans="1:12" x14ac:dyDescent="0.25">
      <c r="A1267" s="3">
        <v>45699.389131944445</v>
      </c>
      <c r="B1267" t="s">
        <v>153</v>
      </c>
      <c r="C1267" s="3">
        <v>45699.390104166669</v>
      </c>
      <c r="D1267" t="s">
        <v>153</v>
      </c>
      <c r="E1267" s="4">
        <v>0.05</v>
      </c>
      <c r="F1267" s="4">
        <v>62329.163</v>
      </c>
      <c r="G1267" s="4">
        <v>62329.213000000003</v>
      </c>
      <c r="H1267" s="5">
        <f>59 / 86400</f>
        <v>6.8287037037037036E-4</v>
      </c>
      <c r="I1267" t="s">
        <v>125</v>
      </c>
      <c r="J1267" t="s">
        <v>57</v>
      </c>
      <c r="K1267" s="5">
        <f>84 / 86400</f>
        <v>9.7222222222222219E-4</v>
      </c>
      <c r="L1267" s="5">
        <f>728 / 86400</f>
        <v>8.4259259259259253E-3</v>
      </c>
    </row>
    <row r="1268" spans="1:12" x14ac:dyDescent="0.25">
      <c r="A1268" s="3">
        <v>45699.398530092592</v>
      </c>
      <c r="B1268" t="s">
        <v>153</v>
      </c>
      <c r="C1268" s="3">
        <v>45699.400833333333</v>
      </c>
      <c r="D1268" t="s">
        <v>387</v>
      </c>
      <c r="E1268" s="4">
        <v>0.28899999999999998</v>
      </c>
      <c r="F1268" s="4">
        <v>62329.213000000003</v>
      </c>
      <c r="G1268" s="4">
        <v>62329.502</v>
      </c>
      <c r="H1268" s="5">
        <f>59 / 86400</f>
        <v>6.8287037037037036E-4</v>
      </c>
      <c r="I1268" t="s">
        <v>26</v>
      </c>
      <c r="J1268" t="s">
        <v>148</v>
      </c>
      <c r="K1268" s="5">
        <f>199 / 86400</f>
        <v>2.3032407407407407E-3</v>
      </c>
      <c r="L1268" s="5">
        <f>1323 / 86400</f>
        <v>1.53125E-2</v>
      </c>
    </row>
    <row r="1269" spans="1:12" x14ac:dyDescent="0.25">
      <c r="A1269" s="3">
        <v>45699.416145833333</v>
      </c>
      <c r="B1269" t="s">
        <v>387</v>
      </c>
      <c r="C1269" s="3">
        <v>45699.416307870371</v>
      </c>
      <c r="D1269" t="s">
        <v>387</v>
      </c>
      <c r="E1269" s="4">
        <v>0</v>
      </c>
      <c r="F1269" s="4">
        <v>62329.502</v>
      </c>
      <c r="G1269" s="4">
        <v>62329.502</v>
      </c>
      <c r="H1269" s="5">
        <f>0 / 86400</f>
        <v>0</v>
      </c>
      <c r="I1269" t="s">
        <v>88</v>
      </c>
      <c r="J1269" t="s">
        <v>88</v>
      </c>
      <c r="K1269" s="5">
        <f>14 / 86400</f>
        <v>1.6203703703703703E-4</v>
      </c>
      <c r="L1269" s="5">
        <f>335 / 86400</f>
        <v>3.8773148148148148E-3</v>
      </c>
    </row>
    <row r="1270" spans="1:12" x14ac:dyDescent="0.25">
      <c r="A1270" s="3">
        <v>45699.420185185183</v>
      </c>
      <c r="B1270" t="s">
        <v>387</v>
      </c>
      <c r="C1270" s="3">
        <v>45699.445127314815</v>
      </c>
      <c r="D1270" t="s">
        <v>277</v>
      </c>
      <c r="E1270" s="4">
        <v>0.86499999999999999</v>
      </c>
      <c r="F1270" s="4">
        <v>62329.502</v>
      </c>
      <c r="G1270" s="4">
        <v>62330.366999999998</v>
      </c>
      <c r="H1270" s="5">
        <f>1979 / 86400</f>
        <v>2.2905092592592591E-2</v>
      </c>
      <c r="I1270" t="s">
        <v>198</v>
      </c>
      <c r="J1270" t="s">
        <v>29</v>
      </c>
      <c r="K1270" s="5">
        <f>2155 / 86400</f>
        <v>2.494212962962963E-2</v>
      </c>
      <c r="L1270" s="5">
        <f>281 / 86400</f>
        <v>3.2523148148148147E-3</v>
      </c>
    </row>
    <row r="1271" spans="1:12" x14ac:dyDescent="0.25">
      <c r="A1271" s="3">
        <v>45699.448379629626</v>
      </c>
      <c r="B1271" t="s">
        <v>277</v>
      </c>
      <c r="C1271" s="3">
        <v>45699.451087962967</v>
      </c>
      <c r="D1271" t="s">
        <v>387</v>
      </c>
      <c r="E1271" s="4">
        <v>0.94399999999999995</v>
      </c>
      <c r="F1271" s="4">
        <v>62330.366999999998</v>
      </c>
      <c r="G1271" s="4">
        <v>62331.311000000002</v>
      </c>
      <c r="H1271" s="5">
        <f>0 / 86400</f>
        <v>0</v>
      </c>
      <c r="I1271" t="s">
        <v>147</v>
      </c>
      <c r="J1271" t="s">
        <v>19</v>
      </c>
      <c r="K1271" s="5">
        <f>233 / 86400</f>
        <v>2.6967592592592594E-3</v>
      </c>
      <c r="L1271" s="5">
        <f>3227 / 86400</f>
        <v>3.7349537037037035E-2</v>
      </c>
    </row>
    <row r="1272" spans="1:12" x14ac:dyDescent="0.25">
      <c r="A1272" s="3">
        <v>45699.488437499997</v>
      </c>
      <c r="B1272" t="s">
        <v>387</v>
      </c>
      <c r="C1272" s="3">
        <v>45699.491956018523</v>
      </c>
      <c r="D1272" t="s">
        <v>277</v>
      </c>
      <c r="E1272" s="4">
        <v>0.83299999999999996</v>
      </c>
      <c r="F1272" s="4">
        <v>62331.311000000002</v>
      </c>
      <c r="G1272" s="4">
        <v>62332.144</v>
      </c>
      <c r="H1272" s="5">
        <f>139 / 86400</f>
        <v>1.6087962962962963E-3</v>
      </c>
      <c r="I1272" t="s">
        <v>261</v>
      </c>
      <c r="J1272" t="s">
        <v>112</v>
      </c>
      <c r="K1272" s="5">
        <f>303 / 86400</f>
        <v>3.5069444444444445E-3</v>
      </c>
      <c r="L1272" s="5">
        <f>187 / 86400</f>
        <v>2.1643518518518518E-3</v>
      </c>
    </row>
    <row r="1273" spans="1:12" x14ac:dyDescent="0.25">
      <c r="A1273" s="3">
        <v>45699.494120370371</v>
      </c>
      <c r="B1273" t="s">
        <v>277</v>
      </c>
      <c r="C1273" s="3">
        <v>45699.616967592592</v>
      </c>
      <c r="D1273" t="s">
        <v>365</v>
      </c>
      <c r="E1273" s="4">
        <v>62.637</v>
      </c>
      <c r="F1273" s="4">
        <v>62332.144</v>
      </c>
      <c r="G1273" s="4">
        <v>62394.781000000003</v>
      </c>
      <c r="H1273" s="5">
        <f>3040 / 86400</f>
        <v>3.5185185185185187E-2</v>
      </c>
      <c r="I1273" t="s">
        <v>72</v>
      </c>
      <c r="J1273" t="s">
        <v>108</v>
      </c>
      <c r="K1273" s="5">
        <f>10613 / 86400</f>
        <v>0.12283564814814815</v>
      </c>
      <c r="L1273" s="5">
        <f>74 / 86400</f>
        <v>8.564814814814815E-4</v>
      </c>
    </row>
    <row r="1274" spans="1:12" x14ac:dyDescent="0.25">
      <c r="A1274" s="3">
        <v>45699.61782407407</v>
      </c>
      <c r="B1274" t="s">
        <v>365</v>
      </c>
      <c r="C1274" s="3">
        <v>45699.976365740746</v>
      </c>
      <c r="D1274" t="s">
        <v>410</v>
      </c>
      <c r="E1274" s="4">
        <v>156.53700000000001</v>
      </c>
      <c r="F1274" s="4">
        <v>62394.781000000003</v>
      </c>
      <c r="G1274" s="4">
        <v>62551.317999999999</v>
      </c>
      <c r="H1274" s="5">
        <f>11578 / 86400</f>
        <v>0.13400462962962964</v>
      </c>
      <c r="I1274" t="s">
        <v>33</v>
      </c>
      <c r="J1274" t="s">
        <v>26</v>
      </c>
      <c r="K1274" s="5">
        <f>30977 / 86400</f>
        <v>0.35853009259259261</v>
      </c>
      <c r="L1274" s="5">
        <f>183 / 86400</f>
        <v>2.1180555555555558E-3</v>
      </c>
    </row>
    <row r="1275" spans="1:12" x14ac:dyDescent="0.25">
      <c r="A1275" s="3">
        <v>45699.978483796294</v>
      </c>
      <c r="B1275" t="s">
        <v>410</v>
      </c>
      <c r="C1275" s="3">
        <v>45699.990254629629</v>
      </c>
      <c r="D1275" t="s">
        <v>85</v>
      </c>
      <c r="E1275" s="4">
        <v>5.0469999999999997</v>
      </c>
      <c r="F1275" s="4">
        <v>62551.317999999999</v>
      </c>
      <c r="G1275" s="4">
        <v>62556.364999999998</v>
      </c>
      <c r="H1275" s="5">
        <f>140 / 86400</f>
        <v>1.6203703703703703E-3</v>
      </c>
      <c r="I1275" t="s">
        <v>210</v>
      </c>
      <c r="J1275" t="s">
        <v>26</v>
      </c>
      <c r="K1275" s="5">
        <f>1017 / 86400</f>
        <v>1.1770833333333333E-2</v>
      </c>
      <c r="L1275" s="5">
        <f>841 / 86400</f>
        <v>9.7337962962962959E-3</v>
      </c>
    </row>
    <row r="1276" spans="1:12" x14ac:dyDescent="0.25">
      <c r="A1276" s="11"/>
      <c r="B1276" s="11"/>
      <c r="C1276" s="11"/>
      <c r="D1276" s="11"/>
      <c r="E1276" s="11"/>
      <c r="F1276" s="11"/>
      <c r="G1276" s="11"/>
      <c r="H1276" s="11"/>
      <c r="I1276" s="11"/>
      <c r="J1276" s="11"/>
    </row>
    <row r="1277" spans="1:12" x14ac:dyDescent="0.25">
      <c r="A1277" s="11"/>
      <c r="B1277" s="11"/>
      <c r="C1277" s="11"/>
      <c r="D1277" s="11"/>
      <c r="E1277" s="11"/>
      <c r="F1277" s="11"/>
      <c r="G1277" s="11"/>
      <c r="H1277" s="11"/>
      <c r="I1277" s="11"/>
      <c r="J1277" s="11"/>
    </row>
    <row r="1278" spans="1:12" s="10" customFormat="1" ht="20.100000000000001" customHeight="1" x14ac:dyDescent="0.35">
      <c r="A1278" s="12" t="s">
        <v>512</v>
      </c>
      <c r="B1278" s="12"/>
      <c r="C1278" s="12"/>
      <c r="D1278" s="12"/>
      <c r="E1278" s="12"/>
      <c r="F1278" s="12"/>
      <c r="G1278" s="12"/>
      <c r="H1278" s="12"/>
      <c r="I1278" s="12"/>
      <c r="J1278" s="12"/>
    </row>
    <row r="1279" spans="1:12" x14ac:dyDescent="0.25">
      <c r="A1279" s="11"/>
      <c r="B1279" s="11"/>
      <c r="C1279" s="11"/>
      <c r="D1279" s="11"/>
      <c r="E1279" s="11"/>
      <c r="F1279" s="11"/>
      <c r="G1279" s="11"/>
      <c r="H1279" s="11"/>
      <c r="I1279" s="11"/>
      <c r="J1279" s="11"/>
    </row>
    <row r="1280" spans="1:12" ht="30" x14ac:dyDescent="0.25">
      <c r="A1280" s="2" t="s">
        <v>5</v>
      </c>
      <c r="B1280" s="2" t="s">
        <v>6</v>
      </c>
      <c r="C1280" s="2" t="s">
        <v>7</v>
      </c>
      <c r="D1280" s="2" t="s">
        <v>8</v>
      </c>
      <c r="E1280" s="2" t="s">
        <v>9</v>
      </c>
      <c r="F1280" s="2" t="s">
        <v>10</v>
      </c>
      <c r="G1280" s="2" t="s">
        <v>11</v>
      </c>
      <c r="H1280" s="2" t="s">
        <v>12</v>
      </c>
      <c r="I1280" s="2" t="s">
        <v>13</v>
      </c>
      <c r="J1280" s="2" t="s">
        <v>14</v>
      </c>
      <c r="K1280" s="2" t="s">
        <v>15</v>
      </c>
      <c r="L1280" s="2" t="s">
        <v>16</v>
      </c>
    </row>
    <row r="1281" spans="1:12" x14ac:dyDescent="0.25">
      <c r="A1281" s="3">
        <v>45699</v>
      </c>
      <c r="B1281" t="s">
        <v>120</v>
      </c>
      <c r="C1281" s="3">
        <v>45699.076516203699</v>
      </c>
      <c r="D1281" t="s">
        <v>153</v>
      </c>
      <c r="E1281" s="4">
        <v>12.108000000000001</v>
      </c>
      <c r="F1281" s="4">
        <v>291362.33600000001</v>
      </c>
      <c r="G1281" s="4">
        <v>291374.44400000002</v>
      </c>
      <c r="H1281" s="5">
        <f>5060 / 86400</f>
        <v>5.8564814814814813E-2</v>
      </c>
      <c r="I1281" t="s">
        <v>18</v>
      </c>
      <c r="J1281" t="s">
        <v>28</v>
      </c>
      <c r="K1281" s="5">
        <f>6611 / 86400</f>
        <v>7.6516203703703697E-2</v>
      </c>
      <c r="L1281" s="5">
        <f>15020 / 86400</f>
        <v>0.1738425925925926</v>
      </c>
    </row>
    <row r="1282" spans="1:12" x14ac:dyDescent="0.25">
      <c r="A1282" s="3">
        <v>45699.2503587963</v>
      </c>
      <c r="B1282" t="s">
        <v>153</v>
      </c>
      <c r="C1282" s="3">
        <v>45699.99998842593</v>
      </c>
      <c r="D1282" t="s">
        <v>116</v>
      </c>
      <c r="E1282" s="4">
        <v>244.95500000000001</v>
      </c>
      <c r="F1282" s="4">
        <v>291374.44400000002</v>
      </c>
      <c r="G1282" s="4">
        <v>291619.39899999998</v>
      </c>
      <c r="H1282" s="5">
        <f>29880 / 86400</f>
        <v>0.34583333333333333</v>
      </c>
      <c r="I1282" t="s">
        <v>47</v>
      </c>
      <c r="J1282" t="s">
        <v>31</v>
      </c>
      <c r="K1282" s="5">
        <f>64768 / 86400</f>
        <v>0.74962962962962965</v>
      </c>
      <c r="L1282" s="5">
        <f>0 / 86400</f>
        <v>0</v>
      </c>
    </row>
    <row r="1283" spans="1:12" x14ac:dyDescent="0.25">
      <c r="A1283" s="11"/>
      <c r="B1283" s="11"/>
      <c r="C1283" s="11"/>
      <c r="D1283" s="11"/>
      <c r="E1283" s="11"/>
      <c r="F1283" s="11"/>
      <c r="G1283" s="11"/>
      <c r="H1283" s="11"/>
      <c r="I1283" s="11"/>
      <c r="J1283" s="11"/>
    </row>
    <row r="1284" spans="1:12" x14ac:dyDescent="0.25">
      <c r="A1284" s="11" t="s">
        <v>122</v>
      </c>
      <c r="B1284" s="11"/>
      <c r="C1284" s="11"/>
      <c r="D1284" s="11"/>
      <c r="E1284" s="11"/>
      <c r="F1284" s="11"/>
      <c r="G1284" s="11"/>
      <c r="H1284" s="11"/>
      <c r="I1284" s="11"/>
      <c r="J1284" s="11"/>
    </row>
  </sheetData>
  <mergeCells count="262">
    <mergeCell ref="A1:J1"/>
    <mergeCell ref="A2:J2"/>
    <mergeCell ref="A3:J3"/>
    <mergeCell ref="A4:J4"/>
    <mergeCell ref="A5:J5"/>
    <mergeCell ref="A6:J6"/>
    <mergeCell ref="A72:J72"/>
    <mergeCell ref="A73:J73"/>
    <mergeCell ref="A74:J74"/>
    <mergeCell ref="A75:J75"/>
    <mergeCell ref="A76:J76"/>
    <mergeCell ref="A77:J77"/>
    <mergeCell ref="A93:J93"/>
    <mergeCell ref="A94:J94"/>
    <mergeCell ref="A95:J95"/>
    <mergeCell ref="A96:J96"/>
    <mergeCell ref="A105:J105"/>
    <mergeCell ref="A106:J106"/>
    <mergeCell ref="A107:J107"/>
    <mergeCell ref="A108:J108"/>
    <mergeCell ref="A123:J123"/>
    <mergeCell ref="A124:J124"/>
    <mergeCell ref="A125:J125"/>
    <mergeCell ref="A126:J126"/>
    <mergeCell ref="A130:J130"/>
    <mergeCell ref="A131:J131"/>
    <mergeCell ref="A132:J132"/>
    <mergeCell ref="A133:J133"/>
    <mergeCell ref="A143:J143"/>
    <mergeCell ref="A144:J144"/>
    <mergeCell ref="A145:J145"/>
    <mergeCell ref="A146:J146"/>
    <mergeCell ref="A156:J156"/>
    <mergeCell ref="A157:J157"/>
    <mergeCell ref="A158:J158"/>
    <mergeCell ref="A159:J159"/>
    <mergeCell ref="A435:J435"/>
    <mergeCell ref="A436:J436"/>
    <mergeCell ref="A437:J437"/>
    <mergeCell ref="A438:J438"/>
    <mergeCell ref="A443:J443"/>
    <mergeCell ref="A444:J444"/>
    <mergeCell ref="A445:J445"/>
    <mergeCell ref="A446:J446"/>
    <mergeCell ref="A456:J456"/>
    <mergeCell ref="A457:J457"/>
    <mergeCell ref="A458:J458"/>
    <mergeCell ref="A459:J459"/>
    <mergeCell ref="A475:J475"/>
    <mergeCell ref="A476:J476"/>
    <mergeCell ref="A477:J477"/>
    <mergeCell ref="A478:J478"/>
    <mergeCell ref="A489:J489"/>
    <mergeCell ref="A490:J490"/>
    <mergeCell ref="A491:J491"/>
    <mergeCell ref="A492:J492"/>
    <mergeCell ref="A507:J507"/>
    <mergeCell ref="A508:J508"/>
    <mergeCell ref="A509:J509"/>
    <mergeCell ref="A510:J510"/>
    <mergeCell ref="A526:J526"/>
    <mergeCell ref="A527:J527"/>
    <mergeCell ref="A528:J528"/>
    <mergeCell ref="A529:J529"/>
    <mergeCell ref="A536:J536"/>
    <mergeCell ref="A537:J537"/>
    <mergeCell ref="A538:J538"/>
    <mergeCell ref="A539:J539"/>
    <mergeCell ref="A560:J560"/>
    <mergeCell ref="A561:J561"/>
    <mergeCell ref="A562:J562"/>
    <mergeCell ref="A563:J563"/>
    <mergeCell ref="A573:J573"/>
    <mergeCell ref="A574:J574"/>
    <mergeCell ref="A575:J575"/>
    <mergeCell ref="A576:J576"/>
    <mergeCell ref="A597:J597"/>
    <mergeCell ref="A598:J598"/>
    <mergeCell ref="A599:J599"/>
    <mergeCell ref="A600:J600"/>
    <mergeCell ref="A614:J614"/>
    <mergeCell ref="A615:J615"/>
    <mergeCell ref="A616:J616"/>
    <mergeCell ref="A617:J617"/>
    <mergeCell ref="A626:J626"/>
    <mergeCell ref="A627:J627"/>
    <mergeCell ref="A628:J628"/>
    <mergeCell ref="A629:J629"/>
    <mergeCell ref="A638:J638"/>
    <mergeCell ref="A639:J639"/>
    <mergeCell ref="A640:J640"/>
    <mergeCell ref="A641:J641"/>
    <mergeCell ref="A644:J644"/>
    <mergeCell ref="A645:J645"/>
    <mergeCell ref="A646:J646"/>
    <mergeCell ref="A647:J647"/>
    <mergeCell ref="A657:J657"/>
    <mergeCell ref="A658:J658"/>
    <mergeCell ref="A659:J659"/>
    <mergeCell ref="A660:J660"/>
    <mergeCell ref="A672:J672"/>
    <mergeCell ref="A673:J673"/>
    <mergeCell ref="A674:J674"/>
    <mergeCell ref="A675:J675"/>
    <mergeCell ref="A686:J686"/>
    <mergeCell ref="A687:J687"/>
    <mergeCell ref="A688:J688"/>
    <mergeCell ref="A689:J689"/>
    <mergeCell ref="A694:J694"/>
    <mergeCell ref="A695:J695"/>
    <mergeCell ref="A696:J696"/>
    <mergeCell ref="A697:J697"/>
    <mergeCell ref="A712:J712"/>
    <mergeCell ref="A713:J713"/>
    <mergeCell ref="A714:J714"/>
    <mergeCell ref="A715:J715"/>
    <mergeCell ref="A726:J726"/>
    <mergeCell ref="A727:J727"/>
    <mergeCell ref="A728:J728"/>
    <mergeCell ref="A729:J729"/>
    <mergeCell ref="A746:J746"/>
    <mergeCell ref="A747:J747"/>
    <mergeCell ref="A748:J748"/>
    <mergeCell ref="A749:J749"/>
    <mergeCell ref="A763:J763"/>
    <mergeCell ref="A764:J764"/>
    <mergeCell ref="A765:J765"/>
    <mergeCell ref="A766:J766"/>
    <mergeCell ref="A780:J780"/>
    <mergeCell ref="A781:J781"/>
    <mergeCell ref="A782:J782"/>
    <mergeCell ref="A783:J783"/>
    <mergeCell ref="A824:J824"/>
    <mergeCell ref="A825:J825"/>
    <mergeCell ref="A826:J826"/>
    <mergeCell ref="A827:J827"/>
    <mergeCell ref="A830:J830"/>
    <mergeCell ref="A831:J831"/>
    <mergeCell ref="A832:J832"/>
    <mergeCell ref="A833:J833"/>
    <mergeCell ref="A851:J851"/>
    <mergeCell ref="A852:J852"/>
    <mergeCell ref="A853:J853"/>
    <mergeCell ref="A854:J854"/>
    <mergeCell ref="A861:J861"/>
    <mergeCell ref="A862:J862"/>
    <mergeCell ref="A863:J863"/>
    <mergeCell ref="A864:J864"/>
    <mergeCell ref="A875:J875"/>
    <mergeCell ref="A876:J876"/>
    <mergeCell ref="A877:J877"/>
    <mergeCell ref="A878:J878"/>
    <mergeCell ref="A895:J895"/>
    <mergeCell ref="A896:J896"/>
    <mergeCell ref="A897:J897"/>
    <mergeCell ref="A898:J898"/>
    <mergeCell ref="A912:J912"/>
    <mergeCell ref="A913:J913"/>
    <mergeCell ref="A914:J914"/>
    <mergeCell ref="A915:J915"/>
    <mergeCell ref="A926:J926"/>
    <mergeCell ref="A927:J927"/>
    <mergeCell ref="A928:J928"/>
    <mergeCell ref="A929:J929"/>
    <mergeCell ref="A937:J937"/>
    <mergeCell ref="A938:J938"/>
    <mergeCell ref="A939:J939"/>
    <mergeCell ref="A940:J940"/>
    <mergeCell ref="A947:J947"/>
    <mergeCell ref="A948:J948"/>
    <mergeCell ref="A949:J949"/>
    <mergeCell ref="A950:J950"/>
    <mergeCell ref="A959:J959"/>
    <mergeCell ref="A960:J960"/>
    <mergeCell ref="A961:J961"/>
    <mergeCell ref="A962:J962"/>
    <mergeCell ref="A975:J975"/>
    <mergeCell ref="A976:J976"/>
    <mergeCell ref="A977:J977"/>
    <mergeCell ref="A978:J978"/>
    <mergeCell ref="A984:J984"/>
    <mergeCell ref="A985:J985"/>
    <mergeCell ref="A986:J986"/>
    <mergeCell ref="A987:J987"/>
    <mergeCell ref="A995:J995"/>
    <mergeCell ref="A996:J996"/>
    <mergeCell ref="A997:J997"/>
    <mergeCell ref="A998:J998"/>
    <mergeCell ref="A1010:J1010"/>
    <mergeCell ref="A1011:J1011"/>
    <mergeCell ref="A1012:J1012"/>
    <mergeCell ref="A1013:J1013"/>
    <mergeCell ref="A1024:J1024"/>
    <mergeCell ref="A1025:J1025"/>
    <mergeCell ref="A1026:J1026"/>
    <mergeCell ref="A1027:J1027"/>
    <mergeCell ref="A1039:J1039"/>
    <mergeCell ref="A1040:J1040"/>
    <mergeCell ref="A1041:J1041"/>
    <mergeCell ref="A1042:J1042"/>
    <mergeCell ref="A1053:J1053"/>
    <mergeCell ref="A1054:J1054"/>
    <mergeCell ref="A1055:J1055"/>
    <mergeCell ref="A1056:J1056"/>
    <mergeCell ref="A1076:J1076"/>
    <mergeCell ref="A1077:J1077"/>
    <mergeCell ref="A1078:J1078"/>
    <mergeCell ref="A1079:J1079"/>
    <mergeCell ref="A1094:J1094"/>
    <mergeCell ref="A1095:J1095"/>
    <mergeCell ref="A1096:J1096"/>
    <mergeCell ref="A1097:J1097"/>
    <mergeCell ref="A1109:J1109"/>
    <mergeCell ref="A1110:J1110"/>
    <mergeCell ref="A1111:J1111"/>
    <mergeCell ref="A1112:J1112"/>
    <mergeCell ref="A1122:J1122"/>
    <mergeCell ref="A1123:J1123"/>
    <mergeCell ref="A1124:J1124"/>
    <mergeCell ref="A1125:J1125"/>
    <mergeCell ref="A1142:J1142"/>
    <mergeCell ref="A1143:J1143"/>
    <mergeCell ref="A1144:J1144"/>
    <mergeCell ref="A1145:J1145"/>
    <mergeCell ref="A1152:J1152"/>
    <mergeCell ref="A1153:J1153"/>
    <mergeCell ref="A1154:J1154"/>
    <mergeCell ref="A1155:J1155"/>
    <mergeCell ref="A1167:J1167"/>
    <mergeCell ref="A1168:J1168"/>
    <mergeCell ref="A1169:J1169"/>
    <mergeCell ref="A1170:J1170"/>
    <mergeCell ref="A1182:J1182"/>
    <mergeCell ref="A1183:J1183"/>
    <mergeCell ref="A1184:J1184"/>
    <mergeCell ref="A1185:J1185"/>
    <mergeCell ref="A1194:J1194"/>
    <mergeCell ref="A1195:J1195"/>
    <mergeCell ref="A1196:J1196"/>
    <mergeCell ref="A1197:J1197"/>
    <mergeCell ref="A1212:J1212"/>
    <mergeCell ref="A1213:J1213"/>
    <mergeCell ref="A1214:J1214"/>
    <mergeCell ref="A1215:J1215"/>
    <mergeCell ref="A1222:J1222"/>
    <mergeCell ref="A1223:J1223"/>
    <mergeCell ref="A1224:J1224"/>
    <mergeCell ref="A1225:J1225"/>
    <mergeCell ref="A1235:J1235"/>
    <mergeCell ref="A1236:J1236"/>
    <mergeCell ref="A1237:J1237"/>
    <mergeCell ref="A1283:J1283"/>
    <mergeCell ref="A1284:J1284"/>
    <mergeCell ref="A1238:J1238"/>
    <mergeCell ref="A1259:J1259"/>
    <mergeCell ref="A1260:J1260"/>
    <mergeCell ref="A1261:J1261"/>
    <mergeCell ref="A1262:J1262"/>
    <mergeCell ref="A1276:J1276"/>
    <mergeCell ref="A1277:J1277"/>
    <mergeCell ref="A1278:J1278"/>
    <mergeCell ref="A1279:J1279"/>
  </mergeCell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2025-09-22T19:52:21Z</dcterms:created>
  <dcterms:modified xsi:type="dcterms:W3CDTF">2025-09-23T05:49:12Z</dcterms:modified>
</cp:coreProperties>
</file>