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425BB49E-B417-4AB6-88D6-54E6330F20B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325" i="1" l="1"/>
  <c r="K1325" i="1"/>
  <c r="H1325" i="1"/>
  <c r="L1324" i="1"/>
  <c r="K1324" i="1"/>
  <c r="H1324" i="1"/>
  <c r="L1323" i="1"/>
  <c r="K1323" i="1"/>
  <c r="H1323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7" i="1"/>
  <c r="K1297" i="1"/>
  <c r="H1297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82" i="1"/>
  <c r="K1282" i="1"/>
  <c r="H1282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35" i="1"/>
  <c r="K1035" i="1"/>
  <c r="H1035" i="1"/>
  <c r="L1034" i="1"/>
  <c r="K1034" i="1"/>
  <c r="H1034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15" i="1"/>
  <c r="K515" i="1"/>
  <c r="H515" i="1"/>
  <c r="L514" i="1"/>
  <c r="K514" i="1"/>
  <c r="H514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95" i="1"/>
  <c r="K95" i="1"/>
  <c r="H95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<sst xmlns="http://schemas.openxmlformats.org/spreadsheetml/2006/main" count="4911" uniqueCount="481">
  <si>
    <t>Informe de trayectos</t>
  </si>
  <si>
    <t>Periodo: 14 de febrero de 2025 0:00 - 14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</si>
  <si>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</si>
  <si>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</si>
  <si>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</si>
  <si>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</si>
  <si>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</si>
  <si>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</si>
  <si>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</si>
  <si>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</si>
  <si>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</si>
  <si>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</si>
  <si>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</si>
  <si>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</si>
  <si>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</si>
  <si>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</si>
  <si>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</si>
  <si>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</si>
  <si>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Lurigancho, Lima Metropolitana, Lima, 15468, Perú</t>
  </si>
  <si>
    <t>Ate, Lima Metropolitana, Lima, 15498, Perú</t>
  </si>
  <si>
    <t>83 km/h</t>
  </si>
  <si>
    <t>21 km/h</t>
  </si>
  <si>
    <t>Avenida Lima Norte, Santa Eulalia, Lima Metropolitana, Lima, 15468, Perú</t>
  </si>
  <si>
    <t>88 km/h</t>
  </si>
  <si>
    <t>18 km/h</t>
  </si>
  <si>
    <t>Los Huancas, Ate, Lima Metropolitana, Lima, 15483, Perú</t>
  </si>
  <si>
    <t>Avenida Los Incas, Ate, Lima Metropolitana, Lima, 15483, Perú</t>
  </si>
  <si>
    <t>86 km/h</t>
  </si>
  <si>
    <t>17 km/h</t>
  </si>
  <si>
    <t>Ate, Lima Metropolitana, Lima, 15483, Perú</t>
  </si>
  <si>
    <t>80 km/h</t>
  </si>
  <si>
    <t>15 km/h</t>
  </si>
  <si>
    <t>Calle Manantiales de Vida, Ate, Lima Metropolitana, Lima, 15487, Perú</t>
  </si>
  <si>
    <t>85 km/h</t>
  </si>
  <si>
    <t>16 km/h</t>
  </si>
  <si>
    <t>13 km/h</t>
  </si>
  <si>
    <t>99 km/h</t>
  </si>
  <si>
    <t>23 km/h</t>
  </si>
  <si>
    <t>Carretera Central, Chaclacayo, Lima Metropolitana, Lima, 15476, Perú</t>
  </si>
  <si>
    <t>78 km/h</t>
  </si>
  <si>
    <t>Calle los Alamos, Chosica, Lima Metropolitana, Lima, 15468, Perú</t>
  </si>
  <si>
    <t>Avenida Las Retamas, Ricardo Palma, Huarochirí, Lima, 15468, Perú</t>
  </si>
  <si>
    <t>96 km/h</t>
  </si>
  <si>
    <t>Calle Las Gardenias, Ricardo Palma, Huarochirí, Lima, 15468, Perú</t>
  </si>
  <si>
    <t>77 km/h</t>
  </si>
  <si>
    <t>Capitan Gamarra, Ricardo Palma, Huarochirí, Lima, 15468, Perú, (Ruta4507nueva era 23-10-23)</t>
  </si>
  <si>
    <t>92 km/h</t>
  </si>
  <si>
    <t>Avenida Paseo de la República, Lima, Lima Metropolitana, Lima, 15083, Perú, (Ruta4507nueva era 23-10-23)</t>
  </si>
  <si>
    <t>Avenida José Carlos Mariátegui, Ricardo Palma, Huarochirí, Lima, 15468, Perú</t>
  </si>
  <si>
    <t>87 km/h</t>
  </si>
  <si>
    <t>Calle Huayna Cápac, 200, Chaclacayo, Lima Metropolitana, Lima, 15474, Perú</t>
  </si>
  <si>
    <t>Calle Atahualpa, 200, Chaclacayo, Lima Metropolitana, Lima, 15474, Perú</t>
  </si>
  <si>
    <t>73 km/h</t>
  </si>
  <si>
    <t>11 km/h</t>
  </si>
  <si>
    <t>Calle Nueva Los Alamos, Santa Eulalia, Huarochirí, Lima, 15468, Perú</t>
  </si>
  <si>
    <t>Calle Cerro de Pasco, Ate, Lima Metropolitana, Lima, 15498, Perú</t>
  </si>
  <si>
    <t>72 km/h</t>
  </si>
  <si>
    <t>9 km/h</t>
  </si>
  <si>
    <t>74 km/h</t>
  </si>
  <si>
    <t>14 km/h</t>
  </si>
  <si>
    <t>Avenida Bernard de Balaguer, Lurigancho, Lima Metropolitana, Lima, 15464, Perú</t>
  </si>
  <si>
    <t>69 km/h</t>
  </si>
  <si>
    <t>12 km/h</t>
  </si>
  <si>
    <t>71 km/h</t>
  </si>
  <si>
    <t>Calle 1, Ate, Lima Metropolitana, Lima, 15483, Perú</t>
  </si>
  <si>
    <t>Calle Alhelíes, Chaclacayo, Lima Metropolitana, Lima, 15476, Perú</t>
  </si>
  <si>
    <t>Avenida Circunvalación, 1899, San Luis, Lima Metropolitana, Lima, 15019, Perú</t>
  </si>
  <si>
    <t>63 km/h</t>
  </si>
  <si>
    <t>Calle Leoncio Prado, Santa Eulalia, Huarochirí, Lima, 15468, Perú</t>
  </si>
  <si>
    <t>Avenida Nicolás de Ayllón, Ate, Lima Metropolitana, Lima, 15487, Perú, (Ruta4507nueva era 23-10-23)</t>
  </si>
  <si>
    <t>Calle Estocolmo, Ate, Lima Metropolitana, Lima, 15498, Perú</t>
  </si>
  <si>
    <t>81 km/h</t>
  </si>
  <si>
    <t>Calle Las Tunas, Santa Anita, Lima Metropolitana, Lima, 15007, Perú</t>
  </si>
  <si>
    <t>79 km/h</t>
  </si>
  <si>
    <t>Calle Los Topacios, Lurigancho, Lima Metropolitana, Lima, 15472, Perú</t>
  </si>
  <si>
    <t>Avenida Malecón Manco Cápac, Chaclacayo, Lima Metropolitana, Lima, 15472, Perú</t>
  </si>
  <si>
    <t>Avenida Alfonso Cobián, Chaclacayo, Lima Metropolitana, Lima, 15476, Perú</t>
  </si>
  <si>
    <t>84 km/h</t>
  </si>
  <si>
    <t>Avenida Camino Real, Santa Anita, Lima Metropolitana, Lima, 15009, Perú</t>
  </si>
  <si>
    <t>Calle 11, Santa Anita, Lima Metropolitana, Lima, 15009, Perú</t>
  </si>
  <si>
    <t>Carretera Central, Ate, Lima Metropolitana, Lima, 15474, Perú</t>
  </si>
  <si>
    <t>Ate, Lima Metropolitana, Lima, 15474, Perú</t>
  </si>
  <si>
    <t>Ricardo Palma, Huarochirí, Lima, 15468, Perú, (Ruta4507nueva era 23-10-23)</t>
  </si>
  <si>
    <t>Calle Los Álamos, Ate, Lima Metropolitana, Lima, 15483, Perú</t>
  </si>
  <si>
    <t>89 km/h</t>
  </si>
  <si>
    <t>Avenida José Carlos Mariátegui, Ate, Lima Metropolitana, Lima, 15483, Perú</t>
  </si>
  <si>
    <t>Santa Eulalia, Huarochirí, Lima, 15468, Perú</t>
  </si>
  <si>
    <t>Avenida José Santos Chocano, Ricardo Palma, Huarochirí, Lima, 15468, Perú</t>
  </si>
  <si>
    <t>0 km/h</t>
  </si>
  <si>
    <t>82 km/h</t>
  </si>
  <si>
    <t>Ate, Lima Metropolitana, Lima, 15487, Perú</t>
  </si>
  <si>
    <t>Carretera Central, Sol de Cupiche, Huarochirí, Lima, Perú</t>
  </si>
  <si>
    <t>Calle 20 de Enero, Santa Eulalia, Huarochirí, Lima, 15468, Perú</t>
  </si>
  <si>
    <t>94 km/h</t>
  </si>
  <si>
    <t>Avenida Lima Norte, Chosica, Lima Metropolitana, Lima, 15468, Perú</t>
  </si>
  <si>
    <t>95 km/h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</si>
  <si>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</si>
  <si>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</si>
  <si>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</si>
  <si>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19 km/h</t>
  </si>
  <si>
    <t>Avenida 9 de Diciembre, 150, Lima, Lima Metropolitana, Lima, 15083, Perú, (Ruta4507nueva era 23-10-23)</t>
  </si>
  <si>
    <t>Avenida Minería, Santa Anita, Lima Metropolitana, Lima, 15008, Perú, (RUTA DESVIO TEM.  4507)</t>
  </si>
  <si>
    <t>Micaela Bastidas, Ate, Lima Metropolitana, Lima, 15498, Perú</t>
  </si>
  <si>
    <t>Avenida Malecón Manco Cápac, Chaclacayo, Lima Metropolitana, Lima, 15472, Perú, (Ruta4507nueva era 23-10-23)</t>
  </si>
  <si>
    <t>Carretera Central, Ate, Lima Metropolitana, Lima, 15474, Perú, (Ruta4507nueva era 23-10-23)</t>
  </si>
  <si>
    <t>100 km/h</t>
  </si>
  <si>
    <t>68 km/h</t>
  </si>
  <si>
    <t>Ate, Lima Metropolitana, Lima, 15487, Perú, (Ruta4507nueva era 23-10-23)</t>
  </si>
  <si>
    <t>Avenida Los Cipreses, Santa Anita, Lima Metropolitana, Lima, 15002, Perú, (RUTA DESVIO TEM.  4507)</t>
  </si>
  <si>
    <t>Avenida Manuel de la Torre Ugarte, Santa Anita, Lima Metropolitana, Lima, 15008, Perú, (RUTA DESVIO TEM.  4507)</t>
  </si>
  <si>
    <t>Avenida Huancaray, Santa Anita, Lima Metropolitana, Lima, 15009, Perú, (RUTA DESVIO TEM.  4507)</t>
  </si>
  <si>
    <t>Carretera Central, Ate, Lima Metropolitana, Lima, 15487, Perú, (Ruta4507nueva era 23-10-23)</t>
  </si>
  <si>
    <t>Vía Expresa Almirante Miguel Grau, La Victoria, Lima Metropolitana, Lima, 15001, Perú, (Ruta4507nueva era 23-10-23)</t>
  </si>
  <si>
    <t>Avenida Nicolás de Ayllón, Ate, Lima Metropolitana, Lima, 15498, Perú, (Ruta4507nueva era 23-10-23, RUTA DESVIO TEM.  4507)</t>
  </si>
  <si>
    <t>Avenida Lima Norte, 574, Santa Eulalia, Lima Metropolitana, Lima, 15468, Perú, (Ruta4507nueva era 23-10-23)</t>
  </si>
  <si>
    <t>Avenida Nicolás de Ayllón, Ate, Lima Metropolitana, Lima, 15008, Perú, (Ruta4507nueva era 23-10-23, RUTA DESVIO TEM.  4507)</t>
  </si>
  <si>
    <t>90 km/h</t>
  </si>
  <si>
    <t>Totales:</t>
  </si>
  <si>
    <t/>
  </si>
  <si>
    <t>* Los datos de combustible se calculan de acuerdo con el consumo medio de combustible del vehículo especificado en su configuración</t>
  </si>
  <si>
    <t>1 km/h</t>
  </si>
  <si>
    <t>Calle Berlín, Ate, Lima Metropolitana, Lima, 15498, Perú</t>
  </si>
  <si>
    <t>25 km/h</t>
  </si>
  <si>
    <t>8 km/h</t>
  </si>
  <si>
    <t>Jose Carlos Mariátegui, Chosica, Lima Metropolitana, Lima, 15468, Perú, (PARADERO RICARDO PALMA)</t>
  </si>
  <si>
    <t>Jose Carlos Mariátegui, Ricardo Palma, Lima Metropolitana, Lima, 15468, Perú, (PARADERO RICARDO PALMA)</t>
  </si>
  <si>
    <t>10 km/h</t>
  </si>
  <si>
    <t>5 km/h</t>
  </si>
  <si>
    <t>Avenida Simón Bolívar, Santa Eulalia, Huarochirí, Lima, 15468, Perú</t>
  </si>
  <si>
    <t>Avenida Lima Norte, Santa Eulalia, Huarochirí, Lima, 15468, Perú</t>
  </si>
  <si>
    <t>22 km/h</t>
  </si>
  <si>
    <t>41 km/h</t>
  </si>
  <si>
    <t>6 km/h</t>
  </si>
  <si>
    <t>32 km/h</t>
  </si>
  <si>
    <t>64 km/h</t>
  </si>
  <si>
    <t>27 km/h</t>
  </si>
  <si>
    <t>Avenida De Las Torres, San Luis, Lima Metropolitana, Lima, 15022, Perú</t>
  </si>
  <si>
    <t>Avenida Simón Bolívar, Santa Eulalia, Huarochirí, Lima, 15468, Perú, (Ruta4507nueva era 23-10-23)</t>
  </si>
  <si>
    <t>7 km/h</t>
  </si>
  <si>
    <t>35 km/h</t>
  </si>
  <si>
    <t>2 km/h</t>
  </si>
  <si>
    <t>Avenida Alexander Fleming, Ate, Lima Metropolitana, Lima, 15002, Perú</t>
  </si>
  <si>
    <t>Jirón Tacna, 430, Chosica, Lima Metropolitana, Lima, 15468, Perú</t>
  </si>
  <si>
    <t>47 km/h</t>
  </si>
  <si>
    <t>Simón Bolívar, Ricardo Palma, Huarochirí, Lima, 15468, Perú</t>
  </si>
  <si>
    <t>20 km/h</t>
  </si>
  <si>
    <t>Ricardo Palma, Huarochirí, Lima, 15468, Perú, (CURVA RICARDO PALMA, Ruta4507nueva era 23-10-23)</t>
  </si>
  <si>
    <t>29 km/h</t>
  </si>
  <si>
    <t>Pasaje Gould, Lima, Lima Metropolitana, Lima, 15082, Perú</t>
  </si>
  <si>
    <t>Auxiliar Avenida Nicolás Arriola, San Luis, Lima Metropolitana, Lima, 15019, Perú, (RUTA DESVIO TEM.  4507)</t>
  </si>
  <si>
    <t>59 km/h</t>
  </si>
  <si>
    <t>60 km/h</t>
  </si>
  <si>
    <t>3 km/h</t>
  </si>
  <si>
    <t>Avenida José Carlos Mariátegui, Ricardo Palma, Huarochirí, Lima, 15468, Perú, (Ruta4507nueva era 23-10-23)</t>
  </si>
  <si>
    <t>Jirón Sánchez Pinillos, Lima, Lima Metropolitana, Lima, 15082, Perú</t>
  </si>
  <si>
    <t>31 km/h</t>
  </si>
  <si>
    <t>4 km/h</t>
  </si>
  <si>
    <t>36 km/h</t>
  </si>
  <si>
    <t>Jirón Huarochirí, 643, Lima, Lima Metropolitana, Lima, 15082, Perú</t>
  </si>
  <si>
    <t>Avenida Unión, Chaclacayo, Lima Metropolitana, Lima, 15476, Perú</t>
  </si>
  <si>
    <t>Avenida Unión, Chaclacayo, Lima Metropolitana, Lima, 15474, Perú</t>
  </si>
  <si>
    <t>Avenida Huáscar, Chaclacayo, Lima Metropolitana, Lima, 15474, Perú</t>
  </si>
  <si>
    <t>Pasaje 14, Chaclacayo, Lima Metropolitana, Lima, 15476, Perú</t>
  </si>
  <si>
    <t>50 km/h</t>
  </si>
  <si>
    <t>Chaclacayo, Lima Metropolitana, Lima, 15476, Perú</t>
  </si>
  <si>
    <t>Avenida Andrés Avelino Cáceres, Ate, Lima Metropolitana, Lima, 15483, Perú</t>
  </si>
  <si>
    <t>44 km/h</t>
  </si>
  <si>
    <t>Marcos Puente Llanos, Ate, Lima Metropolitana, Lima, 15498, Perú</t>
  </si>
  <si>
    <t>33 km/h</t>
  </si>
  <si>
    <t>Avenida Huarochiri, Santa Anita, Lima Metropolitana, Lima, 15009, Perú</t>
  </si>
  <si>
    <t>62 km/h</t>
  </si>
  <si>
    <t>Avenida Nicolás de Ayllón, Ate, Lima Metropolitana, Lima, 15487, Perú</t>
  </si>
  <si>
    <t>Víctor Raúl Haya de la Torre, Ate, Lima Metropolitana, Lima, 15498, Perú</t>
  </si>
  <si>
    <t>37 km/h</t>
  </si>
  <si>
    <t>Carretera Central, Lurigancho, Lima Metropolitana, Lima, 15483, Perú</t>
  </si>
  <si>
    <t>40 km/h</t>
  </si>
  <si>
    <t>Carretera Central, Chaclacayo, Lima Metropolitana, Lima, 15476, Perú, (Ruta4507nueva era 23-10-23)</t>
  </si>
  <si>
    <t>Carretera Central, Chaclacayo, Lima Metropolitana, Lima, 15474, Perú, (Ruta4507nueva era 23-10-23)</t>
  </si>
  <si>
    <t>28 km/h</t>
  </si>
  <si>
    <t>Carretera Central, Chaclacayo, Lima Metropolitana, Lima, 15474, Perú, (S07ÑAÑA)</t>
  </si>
  <si>
    <t>Carretera Central, Chaclacayo, Lima Metropolitana, Lima, 15474, Perú, (S07ÑAÑA, Ruta4507nueva era 23-10-23)</t>
  </si>
  <si>
    <t>Avenida Unión, Chaclacayo, Lima Metropolitana, Lima, 15474, Perú, (S07ÑAÑA, Ruta4507nueva era 23-10-23)</t>
  </si>
  <si>
    <t>Ate, Lima Metropolitana, Lima, 15474, Perú, (Ruta4507nueva era 23-10-23)</t>
  </si>
  <si>
    <t>57 km/h</t>
  </si>
  <si>
    <t>34 km/h</t>
  </si>
  <si>
    <t>Carretera Central, Ate, Lima Metropolitana, Lima, 15487, Perú, (S06 SANTA CLARA, Ruta4507nueva era 23-10-23)</t>
  </si>
  <si>
    <t>Avenida Nicolás de Ayllón, 5818, Ate, Lima Metropolitana, Lima, 15498, Perú, (Ruta4507nueva era 23-10-23)</t>
  </si>
  <si>
    <t>54 km/h</t>
  </si>
  <si>
    <t>Avenida Nicolás de Ayllón, Ate, Lima Metropolitana, Lima, 15498, Perú, (Ruta4507nueva era 23-10-23)</t>
  </si>
  <si>
    <t>30 km/h</t>
  </si>
  <si>
    <t>Victor Raul Haya de la Torre, Ate, Lima Metropolitana, Lima, 15498, Perú, (Ruta4507nueva era 23-10-23)</t>
  </si>
  <si>
    <t>Avenida Separadora Industrial, Ate, Lima Metropolitana, Lima, 15498, Perú, (Ruta4507nueva era 23-10-23)</t>
  </si>
  <si>
    <t>Avenida Nicolás de Ayllón, Santa Anita, Lima Metropolitana, Lima, 15498, Perú, (Ruta4507nueva era 23-10-23)</t>
  </si>
  <si>
    <t>Avenida Nicolás de Ayllón, Santa Anita, Lima Metropolitana, Lima, 00051, Perú, (Ruta4507nueva era 23-10-23)</t>
  </si>
  <si>
    <t>Víctor Raúl Haya de la Torre, Ate, Lima Metropolitana, Lima, 15498, Perú, (Ruta4507nueva era 23-10-23)</t>
  </si>
  <si>
    <t>48 km/h</t>
  </si>
  <si>
    <t>24 km/h</t>
  </si>
  <si>
    <t>67 km/h</t>
  </si>
  <si>
    <t>Victor Raul Haya de la Torre, Ate, Lima Metropolitana, Lima, 15498, Perú, (Ruta4507nueva era 23-10-23, RUTA DESVIO TEM.  4507)</t>
  </si>
  <si>
    <t>Avenida Nicolás de Ayllón, Ate, Lima Metropolitana, Lima, 15498, Perú, (S05Vitarte/ ALT. Hospital, Ruta4507nueva era 23-10-23, RUTA DESVIO TEM.  4507)</t>
  </si>
  <si>
    <t>Avenida Nicolás de Ayllón, 5880, Ate, Lima Metropolitana, Lima, 15498, Perú, (S05Vitarte/ ALT. Hospital, Ruta4507nueva era 23-10-23)</t>
  </si>
  <si>
    <t>Pasaje Unión, 107, Ate, Lima Metropolitana, Lima, 15498, Perú, (Ruta4507nueva era 23-10-23)</t>
  </si>
  <si>
    <t>Avenida Nicolás de Ayllón, 500, Ate, Lima Metropolitana, Lima, 15498, Perú, (Ruta4507nueva era 23-10-23)</t>
  </si>
  <si>
    <t>Avenida Nicolás de Ayllón, 6376, Ate, Lima Metropolitana, Lima, 15498, Perú, (Ruta4507nueva era 23-10-23, RUTA DESVIO TEM.  4507)</t>
  </si>
  <si>
    <t>Avenida Nueva Neópolis, Ate, Lima Metropolitana, Lima, 15487, Perú, (Ruta4507nueva era 23-10-23)</t>
  </si>
  <si>
    <t>38 km/h</t>
  </si>
  <si>
    <t>39 km/h</t>
  </si>
  <si>
    <t>49 km/h</t>
  </si>
  <si>
    <t>42 km/h</t>
  </si>
  <si>
    <t>61 km/h</t>
  </si>
  <si>
    <t>Carretera Central, Ate, Lima Metropolitana, Lima, 15474, Perú, (Horacio Zeballos, Ruta4507nueva era 23-10-23)</t>
  </si>
  <si>
    <t>45 km/h</t>
  </si>
  <si>
    <t>65 km/h</t>
  </si>
  <si>
    <t>Avenida Nicolás Ayllón, Chaclacayo, Lima Metropolitana, Lima, 15464, Perú, (Ruta4507nueva era 23-10-23)</t>
  </si>
  <si>
    <t>Avenida Nicolás Ayllón, 477, Chaclacayo, Lima Metropolitana, Lima, 15472, Perú, (Ruta4507nueva era 23-10-23)</t>
  </si>
  <si>
    <t>Avenida Nicolás Ayllón, 582-598, Chaclacayo, Lima Metropolitana, Lima, 15472, Perú, (Ruta4507nueva era 23-10-23)</t>
  </si>
  <si>
    <t>Avenida Nicolás Ayllón, 1159, Chaclacayo, Lima Metropolitana, Lima, 15472, Perú, (Ruta4507nueva era 23-10-23)</t>
  </si>
  <si>
    <t>Avenida Nicolás Ayllón, Chaclacayo, Lima Metropolitana, Lima, 15472, Perú, (Ruta4507nueva era 23-10-23)</t>
  </si>
  <si>
    <t>Carretera Central, Chaclacayo, Lima Metropolitana, Lima, 15472, Perú, (Ruta4507nueva era 23-10-23)</t>
  </si>
  <si>
    <t>Avenida Las Flores, Lurigancho, Lima Metropolitana, Lima, 15468, Perú, (Ruta4507nueva era 23-10-23)</t>
  </si>
  <si>
    <t>Avenida Lima Sur, 1471, Chosica, Lima Metropolitana, Lima, 15468, Perú, (Ruta4507nueva era 23-10-23)</t>
  </si>
  <si>
    <t>43 km/h</t>
  </si>
  <si>
    <t>Avenida Lima Sur, Chosica, Lima Metropolitana, Lima, 15468, Perú, (Ruta4507nueva era 23-10-23)</t>
  </si>
  <si>
    <t>Avenida Lima Sur, 465, Chosica, Lima Metropolitana, Lima, 15468, Perú, (Ruta4507nueva era 23-10-23)</t>
  </si>
  <si>
    <t>Avenida Lima Sur, 275, Chosica, Lima Metropolitana, Lima, 15468, Perú, (Ruta4507nueva era 23-10-23)</t>
  </si>
  <si>
    <t>Avenida Lima Norte, 246, Chosica, Lima Metropolitana, Lima, 15468, Perú, (Ruta4507nueva era 23-10-23)</t>
  </si>
  <si>
    <t>Avenida Lima Norte, Chosica, Lima Metropolitana, Lima, 15468, Perú, (Ruta4507nueva era 23-10-23)</t>
  </si>
  <si>
    <t>Chosica, Lima Metropolitana, Lima, 15468, Perú</t>
  </si>
  <si>
    <t>Jirón Tacna,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</si>
  <si>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</si>
  <si>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</si>
  <si>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Avenida Lima Sur, 824, Chosica, Lima Metropolitana, Lima, 15468, Perú, (Ruta4507nueva era 23-10-23)</t>
  </si>
  <si>
    <t>46 km/h</t>
  </si>
  <si>
    <t>70 km/h</t>
  </si>
  <si>
    <t>Carretera Central, Chaclacayo, Lima Metropolitana, Lima, 15464, Perú, (Ruta4507nueva era 23-10-23)</t>
  </si>
  <si>
    <t>66 km/h</t>
  </si>
  <si>
    <t>53 km/h</t>
  </si>
  <si>
    <t>56 km/h</t>
  </si>
  <si>
    <t>Avenida Nicolás de Ayllón, 836, Ate, Lima Metropolitana, Lima, 15487, Perú, (Ruta4507nueva era 23-10-23)</t>
  </si>
  <si>
    <t>Avenida Nicolás de Ayllón, 816-818, Ate, Lima Metropolitana, Lima, 15487, Perú, (Ruta4507nueva era 23-10-23)</t>
  </si>
  <si>
    <t>Ate, Lima Metropolitana, Lima, 15498, Perú, (Ruta4507nueva era 23-10-23)</t>
  </si>
  <si>
    <t>Avenida Nicolás de Ayllón, 15498, Ate, Lima Metropolitana, Lima, 15498, Perú, (Ruta4507nueva era 23-10-23)</t>
  </si>
  <si>
    <t>Avenida Nicolás de Ayllón, Santa Anita, Lima Metropolitana, Lima, 15009, Perú, (Ruta4507nueva era 23-10-23)</t>
  </si>
  <si>
    <t>Avenida Nicolás de Ayllón, 1308, Ate, Lima Metropolitana, Lima, 15009, Perú, (Ruta4507nueva era 23-10-23)</t>
  </si>
  <si>
    <t>Las Alondras, 237, Santa Anita, Lima Metropolitana, Lima, 15008, Perú, (Ruta4507nueva era 23-10-23)</t>
  </si>
  <si>
    <t>51 km/h</t>
  </si>
  <si>
    <t>Las Alondras, 175, Santa Anita, Lima Metropolitana, Lima, 15008, Perú, (Ruta4507nueva era 23-10-23)</t>
  </si>
  <si>
    <t>Las Alondras, Santa Anita, Lima Metropolitana, Lima, 15008, Perú, (Ruta4507nueva era 23-10-23)</t>
  </si>
  <si>
    <t>Avenida Los Ruiseñores, Santa Anita, Lima Metropolitana, Lima, 15008, Perú, (Ruta4507nueva era 23-10-23)</t>
  </si>
  <si>
    <t>Avenida Nicolás de Ayllón, Ate, Lima Metropolitana, Lima, 15008, Perú, (Ruta4507nueva era 23-10-23)</t>
  </si>
  <si>
    <t>Avenida Nicolás de Ayllón, Santa Anita, Lima Metropolitana, Lima, 15008, Perú, (Ruta4507nueva era 23-10-23, RUTA DESVIO TEM.  4507)</t>
  </si>
  <si>
    <t>Avenida Nicolás de Ayllón, El Agustino, Lima Metropolitana, Lima, 15008, Perú, (Ruta4507nueva era 23-10-23, RUTA DESVIO TEM.  4507)</t>
  </si>
  <si>
    <t>Avenida Santa Rosa,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</si>
  <si>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</si>
  <si>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58 km/h</t>
  </si>
  <si>
    <t>Avenida 26 de Julio, Ate, Lima Metropolitana, Lima, 15019, Perú</t>
  </si>
  <si>
    <t>Calle Ollanta, San Luis, Lima Metropolitana, Lima, 15019, Perú</t>
  </si>
  <si>
    <t>Calle Angel Cepollini, San Luis, Lima Metropolitana, Lima, 15019, Perú</t>
  </si>
  <si>
    <t>Pasaje Tahuantinsuyo, San Luis, Lima Metropolitana, Lima, 15019, Perú</t>
  </si>
  <si>
    <t>Inca Garcilaso de la Vega, Lima, Lima Metropolitana, Lima, 15019, Perú</t>
  </si>
  <si>
    <t>15 de Abril, El Agustino, Lima Metropolitana, Lima, 15004, Perú</t>
  </si>
  <si>
    <t>Avenida Inca Garcilazo de la Vega, Lima, Lima Metropolitana, Lima, 15004, Perú</t>
  </si>
  <si>
    <t>Avenida Inca Garcilazo de la Vega, El Agustino, Lima Metropolitana, Lima, 15004, Perú</t>
  </si>
  <si>
    <t>Avenida Inca Garcilazo de la Vega, Lima, Lima Metropolitana, Lima, 15004, Perú, (Ruta4507nueva era 23-10-23)</t>
  </si>
  <si>
    <t>Avenida Inca Garcilazo de la Vega, El Agustino, Lima Metropolitana, Lima, 15004, Perú, (Ruta4507nueva era 23-10-23)</t>
  </si>
  <si>
    <t>Avenida José de la Riva Aguero, El Agustino, Lima Metropolitana, Lima, 15004, Perú</t>
  </si>
  <si>
    <t>Avenida Almirante Miguel Grau, 1900, El Agustino, Lima Metropolitana, Lima, 15003, Perú</t>
  </si>
  <si>
    <t>Avenida Almirante Miguel Grau, 1864, Lima, Lima Metropolitana, Lima, 15011, Perú</t>
  </si>
  <si>
    <t>Avenida Almirante Miguel Grau, 1804, Lima, Lima Metropolitana, Lima, 15011, Perú</t>
  </si>
  <si>
    <t>Avenida Almirante Miguel Grau, 1715, Lima, Lima Metropolitana, Lima, 15011, Perú, (Ruta4507nueva era 23-10-23)</t>
  </si>
  <si>
    <t>Avenida Almirante Miguel Grau, Lima, Lima Metropolitana, Lima, 15011, Perú, (Ruta4507nueva era 23-10-23)</t>
  </si>
  <si>
    <t>Avenida Almirante Miguel Grau, 1299, Lima, Lima Metropolitana, Lima, 15011, Perú, (Ruta4507nueva era 23-10-23)</t>
  </si>
  <si>
    <t>26 km/h</t>
  </si>
  <si>
    <t>Avenida Almirante Miguel Grau, 113, Lima, Lima Metropolitana, Lima, 15001, Perú, (Ruta4507nueva era 23-10-23)</t>
  </si>
  <si>
    <t>Avenida 28 de Julio, 1056, Jesús María, Lima Metropolitana, Lima, 15083, Perú</t>
  </si>
  <si>
    <t>Avenida 28 de Julio, Lima, Lima Metropolitana, Lima, 15083, Perú</t>
  </si>
  <si>
    <t>Avenida 28 de Julio, 715, Jesús María, Lima Metropolitana, Lima, 15083, Perú</t>
  </si>
  <si>
    <t>Jirón Washington, 1938, Lima, Lima Metropolitana, Lima, 15083, Perú</t>
  </si>
  <si>
    <t>Avenida Guzmán Blanco, 445, Lima, Lima Metropolitana, Lima, 15083, Perú</t>
  </si>
  <si>
    <t>Avenida Alfonso Ugarte, Breña, Lima Metropolitana, Lima, 15083, Perú, (Ruta4507nueva era 23-10-23)</t>
  </si>
  <si>
    <t>Avenida Alfonso Ugarte, 1235, Lima, Lima Metropolitana, Lima, 15083, Perú</t>
  </si>
  <si>
    <t>Avenida Alfonso Ugarte, Lima, Lima Metropolitana, Lima, 15082, Perú</t>
  </si>
  <si>
    <t>Jirón Zepita, 101, Lima, Lima Metropolitana, Lima, 15082, Perú</t>
  </si>
  <si>
    <t>Avenida Alfonso Ugarte, Lima, Lima Metropolitana, Lima, 15082, Perú, (Ruta4507nueva era 23-10-23)</t>
  </si>
  <si>
    <t>Jirón Sánchez Pinillos, 189, Lima, Lima Metropolitana, Lima, 15082, Perú, (Ruta4507nueva era 23-10-23)</t>
  </si>
  <si>
    <t>Jirón Huarochirí, Lima, Lima Metropolitana, Lima, 15082, Perú</t>
  </si>
  <si>
    <t>Lima, Lima Metropolitana, Lima, 15082, Perú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</si>
  <si>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</si>
  <si>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</si>
  <si>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Alfonso Ugarte, 619, Lima, Lima Metropolitana, Lima, 15082, Perú, (Ruta4507nueva era 23-10-23)</t>
  </si>
  <si>
    <t>Avenida Alfonso Ugarte, Breña, Lima Metropolitana, Lima, 15082, Perú, (Ruta4507nueva era 23-10-23)</t>
  </si>
  <si>
    <t>Avenida Alfonso Ugarte, 1378, Breña, Lima Metropolitana, Lima, 15083, Perú, (Ruta4507nueva era 23-10-23)</t>
  </si>
  <si>
    <t>Avenida Alfonso Ugarte, 494, Breña, Lima Metropolitana, Lima, 15083, Perú, (Ruta4507nueva era 23-10-23)</t>
  </si>
  <si>
    <t>Avenida Guzmán Blanco, Lima, Lima Metropolitana, Lima, 15083, Perú</t>
  </si>
  <si>
    <t>Plaza Jorge Chávez, Jesús María, Lima Metropolitana, Lima, 15083, Perú</t>
  </si>
  <si>
    <t>Avenida 28 de Julio, Jesús María, Lima Metropolitana, Lima, 15083, Perú</t>
  </si>
  <si>
    <t>Avenida República de Chile, Jesús María, Lima Metropolitana, Lima, 15083, Perú</t>
  </si>
  <si>
    <t>Avenida 28 de Julio, 970, Jesús María, Lima Metropolitana, Lima, 15083, Perú</t>
  </si>
  <si>
    <t>Avenida Paseo de la República, Lima, Lima Metropolitana, Lima, 15083, Perú</t>
  </si>
  <si>
    <t>Avenida Almirante Miguel Grau, Lima, Lima Metropolitana, Lima, 15001, Perú, (S02 AV.GRAU/ JR ANDAHUAYLAS, Ruta4507nueva era 23-10-23)</t>
  </si>
  <si>
    <t>Avenida Almirante Miguel Grau, 619, Lima, Lima Metropolitana, Lima, 15001, Perú, (S02 AV.GRAU/ JR ANDAHUAYLAS, Ruta4507nueva era 23-10-23)</t>
  </si>
  <si>
    <t>Vía Expresa Almirante Miguel Grau, Lima, Lima Metropolitana, Lima, 15011, Perú, (Ruta4507nueva era 23-10-23)</t>
  </si>
  <si>
    <t>Avenida Almirante Miguel Grau, 800, La Victoria, Lima Metropolitana, Lima, 15011, Perú, (Ruta4507nueva era 23-10-23)</t>
  </si>
  <si>
    <t>Prolongación Avenida San Pablo, Lima, Lima Metropolitana, Lima, 15011, Perú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</si>
  <si>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</si>
  <si>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</si>
  <si>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Avenida José de la Riva Aguero, Lima, Lima Metropolitana, Lima, 15004, Perú</t>
  </si>
  <si>
    <t>Avenida Circunvalación, La Victoria, Lima Metropolitana, Lima, 15019, Perú</t>
  </si>
  <si>
    <t>Auxiliar Avenida Circunvalación, La Victoria, Lima Metropolitana, Lima, 15019, Perú</t>
  </si>
  <si>
    <t>Avenida Circunvalación, San Luis, Lima Metropolitana, Lima, 15019, Perú</t>
  </si>
  <si>
    <t>Avenida Nicolás Arriola, San Luis, Lima Metropolitana, Lima, 15019, Perú, (RUTA DESVIO TEM.  4507)</t>
  </si>
  <si>
    <t>Avenida Nicolás de Ayllón, Ate, Lima Metropolitana, Lima, 15002, Perú, (Ruta4507nueva era 23-10-23, RUTA DESVIO TEM.  4507)</t>
  </si>
  <si>
    <t>Avenida Nicolás de Ayllón, Ate, Lima Metropolitana, Lima, 15002, Perú</t>
  </si>
  <si>
    <t>Vía de Evitamiento, Ate, Lima Metropolitana, Lima, 15008, Perú, (Ruta4507nueva era 23-10-23, RUTA DESVIO TEM.  4507)</t>
  </si>
  <si>
    <t>Avenida Nicolás de Ayllón, Ate, Lima Metropolitana, Lima, 15008, Perú</t>
  </si>
  <si>
    <t>Avenida La Molina, Ate, Lima Metropolitana, Lima, 15008, Perú, (Ruta4507nueva era 23-10-23)</t>
  </si>
  <si>
    <t>Avenida Nicolás de Ayllón, Ate, Lima Metropolitana, Lima, 15009, Perú, (Ruta4507nueva era 23-10-23)</t>
  </si>
  <si>
    <t>Avenida Nicolás de Ayllón, 4770, Ate, Lima Metropolitana, Lima, 15498, Perú, (Ruta4507nueva era 23-10-23)</t>
  </si>
  <si>
    <t>Victor Raul Haya de la Torre, Ate, Lima Metropolitana, Lima, 15498, Perú, (RUTA DESVIO TEM.  4507)</t>
  </si>
  <si>
    <t>Avenida Nicolás de Ayllón, Ate, Lima Metropolitana, Lima, 15498, Perú, (S05Vitarte/ ALT. Hospital, Ruta4507nueva era 23-10-23)</t>
  </si>
  <si>
    <t>Carretera Central, 1030, Ate, Lima Metropolitana, Lima, 15487, Perú, (Ruta4507nueva era 23-10-23)</t>
  </si>
  <si>
    <t>Avenida Jaime Zubieta Calderón, Ate, Lima Metropolitana, Lima, 15483, Perú, (Ruta4507nueva era 23-10-23)</t>
  </si>
  <si>
    <t>Carretera Central, Ate, Lima Metropolitana, Lima, 15474, Perú, (Horacio Zeballos)</t>
  </si>
  <si>
    <t>Avenida José Carlos Mariátegui, Ate, Lima Metropolitana, Lima, 15474, Perú, (Horacio Zeballos)</t>
  </si>
  <si>
    <t>Avenida Andrés Avelino Cáceres, Ate, Lima Metropolitana, Lima, 15474, Perú, (Ruta4507nueva era 23-10-23)</t>
  </si>
  <si>
    <t>Avenida Nicolás Ayllón, Chaclacayo, Lima Metropolitana, Lima, 15472, Perú, (S08 CHACLACAYO/PARQUE, Ruta4507nueva era 23-10-23)</t>
  </si>
  <si>
    <t>Avenida Las Flores, Chosica, Lima Metropolitana, Lima, 15468, Perú, (Ruta4507nueva era 23-10-23)</t>
  </si>
  <si>
    <t>Simón Bolívar, Ricardo Palma, Huarochirí, Lima, 15468, Perú, (Ruta4507nueva era 23-10-23)</t>
  </si>
  <si>
    <t>Calle Cesar Vallejo, Ricardo Palma, Huarochirí, Lima, 15468, Perú</t>
  </si>
  <si>
    <t>Avenida Lima Norte, 178, Chosica, Lima Metropolitana, Lima, 15468, Perú, (Ruta4507nueva era 23-10-23)</t>
  </si>
  <si>
    <t>Jirón Trujillo Sur, Chosica, Lima Metropolitana, Lima, 15468, Perú, (Ruta4507nueva era 23-10-23)</t>
  </si>
  <si>
    <t>Jirón Trujillo Sur, 378, Chosica, Lima Metropolitana, Lima, 15468, Perú, (Ruta4507nueva era 23-10-23)</t>
  </si>
  <si>
    <t>Jirón Trujillo Sur, 496, Chosica, Lima Metropolitana, Lima, 15468, Perú, (Ruta4507nueva era 23-10-23)</t>
  </si>
  <si>
    <t>Carretera Central, Lurigancho, Lima Metropolitana, Lima, 15472, Perú, (Ruta4507nueva era 23-10-23)</t>
  </si>
  <si>
    <t>75 km/h</t>
  </si>
  <si>
    <t>55 km/h</t>
  </si>
  <si>
    <t>Carretera Central, Chaclacayo, Lima Metropolitana, Lima, 15464, Perú</t>
  </si>
  <si>
    <t>52 km/h</t>
  </si>
  <si>
    <t>76 km/h</t>
  </si>
  <si>
    <t>Calle Las Praderas, Ate, Lima Metropolitana, Lima, 15487, Perú, (Ruta4507nueva era 23-10-23)</t>
  </si>
  <si>
    <t>Avenida Santa María, Ate, Lima Metropolitana, Lima, 15498, Perú, (Ruta4507nueva era 23-10-23, RUTA DESVIO TEM.  4507)</t>
  </si>
  <si>
    <t>Avenida Nicolás de Ayllón, Santa Anita, Lima Metropolitana, Lima, 15008, Perú, (Ruta4507nueva era 23-10-23)</t>
  </si>
  <si>
    <t>Avenida Nicolás de Ayllón, 111, Santa Anita, Lima Metropolitana, Lima, 15008, Perú, (Ruta4507nueva era 23-10-23)</t>
  </si>
  <si>
    <t>Avenida Minería, Santa Anita, Lima Metropolitana, Lima, 15008, Perú</t>
  </si>
  <si>
    <t>Avenida Nicolás de Ayllón, Santa Anita, Lima Metropolitana, Lima, 15008, Perú</t>
  </si>
  <si>
    <t>Avenida Nicolás de Ayllón, Santa Anita, Lima Metropolitana, Lima, 15008, Perú, (RUTA DESVIO TEM.  4507)</t>
  </si>
  <si>
    <t>Pasaje Santa Rosa, Ate, Lima Metropolitana, Lima, 15008, Perú, (Ruta4507nueva era 23-10-23)</t>
  </si>
  <si>
    <t>Avenida Nicolás de Ayllón, 2950, Ate, Lima Metropolitana, Lima, 15008, Perú, (Ruta4507nueva era 23-10-23)</t>
  </si>
  <si>
    <t>Avenida Nicolás de Ayllón, C 32, Ate, Lima Metropolitana, Lima, 15008, Perú, (Ruta4507nueva era 23-10-23)</t>
  </si>
  <si>
    <t>Avenida Nicolás de Ayllón, Km. 3.5, Santa Anita, Lima Metropolitana, Lima, 00051, Perú, (Ruta4507nueva era 23-10-23)</t>
  </si>
  <si>
    <t>Avenida Nicolás de Ayllón, Ate, Lima Metropolitana, Lima, 15498, Perú, (RUTA DESVIO TEM.  4507)</t>
  </si>
  <si>
    <t>Victor Raul Haya de la Torre, Ate, Lima Metropolitana, Lima, 15498, Perú</t>
  </si>
  <si>
    <t>Avenida José Carlos Mariátegui, Ate, Lima Metropolitana, Lima, 15498, Perú, (S05Vitarte/ ALT. Hospital, Ruta4507nueva era 23-10-23)</t>
  </si>
  <si>
    <t>Avenida Nicolás de Ayllón, 6376, Ate, Lima Metropolitana, Lima, 15498, Perú, (Ruta4507nueva era 23-10-23)</t>
  </si>
  <si>
    <t>Carretera Central, Ate, Lima Metropolitana, Lima, 15483, Perú, (Ruta4507nueva era 23-10-23)</t>
  </si>
  <si>
    <t>Avenida Jaime Zubieta Calderon, Ate, Lima Metropolitana, Lima, 15483, Perú, (Ruta4507nueva era 23-10-23)</t>
  </si>
  <si>
    <t>Avenida San Martín, Santa Eulalia, Huarochirí, Lima, 15468, Perú</t>
  </si>
  <si>
    <t>Jirón Cornelio Borda, Lima, Lima Metropolitana, Lima, 15082, Perú</t>
  </si>
  <si>
    <t>Calle Abraham Valdelomar, 108, Ricardo Palma, Huarochirí, Lima, 15468, Perú</t>
  </si>
  <si>
    <t>Avenida Alfonso Ugarte, 650, Lima, Lima Metropolitana, Lima, 15082, Perú</t>
  </si>
  <si>
    <t>Pasaje Gould, Lima, Lima Metropolitana, Lima, 15082, Perú, (PARADERO DESTINO ASCOPE)</t>
  </si>
  <si>
    <t>Jirón Los Próceres, Santa Eulalia, Huarochirí, Lima, 15468, Perú</t>
  </si>
  <si>
    <t>Calle Córdova, Ricardo Palma, Huarochirí, Lima, 15468, Perú, (Ruta4507nueva era 23-10-23)</t>
  </si>
  <si>
    <t>Avenida Lima Norte, Santa Eulalia, Huarochirí, Lima, 15468, Perú, (Ruta4507nueva era 23-10-23)</t>
  </si>
  <si>
    <t>Avenida Almirante Miguel Grau, La Victoria, Lima Metropolitana, Lima, 15001, Perú, (Ruta4507nueva era 23-10-23)</t>
  </si>
  <si>
    <t>Avenida Almirante Miguel Grau, Lima, Lima Metropolitana, Lima, 15083, Perú, (Ruta4507nueva era 23-10-23)</t>
  </si>
  <si>
    <t>Avenida Los Ángeles, Ate, Lima Metropolitana, Lima, 15498, Perú</t>
  </si>
  <si>
    <t>Avenida Río Perene, Ate, Lima Metropolitana, Lima, 15498, Perú</t>
  </si>
  <si>
    <t>Avenida Jaime Zubieta Calderon, Ate, Lima Metropolitana, Lima, 15483, Perú</t>
  </si>
  <si>
    <t>Ciclovía Colonial, Lima, Lima Metropolitana, Lima, 15082, Perú, (Ruta4507nueva era 23-10-23)</t>
  </si>
  <si>
    <t>Carretera Central, Ricardo Palma, Huarochirí, Lima, 15468, Perú</t>
  </si>
  <si>
    <t>Nivel 1, Lima, Lima Metropolitana, Lima, 15011, Perú</t>
  </si>
  <si>
    <t>Avenida Los Incas, 205, Ate, Lima Metropolitana, Lima, 15483, Perú</t>
  </si>
  <si>
    <t>Carretera Central, Chaclacayo, Lima Metropolitana, Lima, 15474, Perú</t>
  </si>
  <si>
    <t>Avenida Óscar Raimundo Benavides, 279, Rímac, Lima Metropolitana, Lima, 15082, Perú, (Ruta4507nueva era 23-10-23)</t>
  </si>
  <si>
    <t>Avenida Óscar Raimundo Benavides, 279, Rímac, Lima Metropolitana, Lima, 15082, Perú</t>
  </si>
  <si>
    <t>Avenida Jaime Zubieta Calderón, Ate, Lima Metropolitana, Lima, 15483, Perú</t>
  </si>
  <si>
    <t>Avenida Las Retamas, Chaclacayo, Lima Metropolitana, Lima, 15474, Perú</t>
  </si>
  <si>
    <t>Ciclovía Colonial, Lima, Lima Metropolitana, Lima, 15082, Perú</t>
  </si>
  <si>
    <t>Avenida Nicolás Ayllón, Chaclacayo, Lima Metropolitana, Lima, 15472, Perú</t>
  </si>
  <si>
    <t>Avenida Andrés Avelino Cáceres, Ate, Lima Metropolitana, Lima, 15474, Perú</t>
  </si>
  <si>
    <t>Chaclacayo, Lima Metropolitana, Lima, 15472, Perú</t>
  </si>
  <si>
    <t>Avenida Metropolitana, Santa Anita, Lima Metropolitana, Lima, 15009, Perú</t>
  </si>
  <si>
    <t>Avenida Almirante Miguel Grau, 854, La Victoria, Lima Metropolitana, Lima, 15011, Perú, (Ruta4507nueva era 23-10-23)</t>
  </si>
  <si>
    <t>Avenida Lima Sur, Chosica, Lima Metropolitana, Lima, 15468, Perú</t>
  </si>
  <si>
    <t>Avenida Daniel Alcides Carrión, Ate, Lima Metropolitana, Lima, 15487, Perú</t>
  </si>
  <si>
    <t>Avenida José Carlos Mariátegui, Ate, Lima Metropolitana, Lima, 15474, Perú</t>
  </si>
  <si>
    <t>Simón Bolívar, Ricardo Palma, Huarochirí, Lima, 15468, Perú, (TALLER TRASANDINO)</t>
  </si>
  <si>
    <t>Avenida José Carlos Mariátegui, Ricardo Palma, Huarochirí, Lima, 15468, Perú, (CURVA RICARDO PALMA, Ruta4507nueva era 23-10-23)</t>
  </si>
  <si>
    <t>Jirón Cornelio Borda, Breña, Lima Metropolitana, Lima, 15082, Perú, (Ruta4507nueva era 23-10-23)</t>
  </si>
  <si>
    <t>Jirón Cornelio Borda, Breña, Lima Metropolitana, Lima, 15082, Perú</t>
  </si>
  <si>
    <t>Avenida Lima Norte, Santa Eulalia, Lima Metropolitana, Lima, 15468, Perú, (Ruta4507nueva era 23-10-23)</t>
  </si>
  <si>
    <t>Vía de Evitamiento, Santa Anita, Lima Metropolitana, Lima, 15008, Perú, (Ruta4507nueva era 23-10-23, RUTA DESVIO TEM.  4507)</t>
  </si>
  <si>
    <t>Avenida 15 de Julio, Ate, Lima Metropolitana, Lima, 15483, Perú</t>
  </si>
  <si>
    <t>Avenida 15 de Julio, Lote 4, Ate, Lima Metropolitana, Lima, 15483, Perú</t>
  </si>
  <si>
    <t>Metropolitano, Lima, Lima Metropolitana, Lima, 15001, Perú, (Ruta4507nueva era 23-10-23)</t>
  </si>
  <si>
    <t>Avenida Almirante Miguel Grau, 199, Lima, Lima Metropolitana, Lima, 15001, Perú, (Ruta4507nueva era 23-10-23)</t>
  </si>
  <si>
    <t>Corcona, Huarochirí, Lima, Perú</t>
  </si>
  <si>
    <t>Carretera Central, Corcona, Huarochirí, Lima, Perú</t>
  </si>
  <si>
    <t>Calle 5, Los Olivos, Lima Metropolitana, Lima, 15301, Perú</t>
  </si>
  <si>
    <t>91 km/h</t>
  </si>
  <si>
    <t>Calle Manuel Gonzales Prada, Ricardo Palma, Huarochirí, Lima, 15468, Perú</t>
  </si>
  <si>
    <t>Calle Cusco, Chosica, Lima Metropolitana, Lima, 15468, Perú</t>
  </si>
  <si>
    <t>Calle Camino Real, Santa Eulalia, Lima Metropolitana, Lima, 15468, Perú</t>
  </si>
  <si>
    <t>Alameda E, Chaclacayo, Lima Metropolitana, Lima, 15476, Perú</t>
  </si>
  <si>
    <t>Jirón Coronel Miguel Baquero, 190, Lima, Lima Metropolitana, Lima, 15082, Perú</t>
  </si>
  <si>
    <t>Avenida Los Cipreses, Santa Anita, Lima Metropolitana, Lima, 15008, Perú, (RUTA DESVIO TEM.  4507)</t>
  </si>
  <si>
    <t>Avenida De Las Torres, 225, San Luis, Lima Metropolitana, Lima, 15022, Perú</t>
  </si>
  <si>
    <t>Avenida Gloria Grande, Ate, Lima Metropolitana, Lima, 15483, Perú</t>
  </si>
  <si>
    <t>Carretera Central, Km. 17.5, Chaclacayo, Lima Metropolitana, Lima, 15474, Perú, (Ruta4507nueva era 23-10-23)</t>
  </si>
  <si>
    <t>Calle Los Robles, Chaclacayo, Lima Metropolitana, Lima, 15472, Perú, (Ruta4507nueva era 23-10-23)</t>
  </si>
  <si>
    <t>Plaza Francisco Bolognesi, Lima, Lima Metropolitana, Lima, 15083, Perú, (Ruta4507nueva era 23-10-23)</t>
  </si>
  <si>
    <t>Carretera Central, Lurigancho, Lima Metropolitana, Lima, 15483, Perú, (Ruta4507nueva era 23-10-23)</t>
  </si>
  <si>
    <t>127 km/h</t>
  </si>
  <si>
    <t>126 km/h</t>
  </si>
  <si>
    <t>Calle Alhelíes, Chaclacayo, Lima Metropolitana, Lima, 15476, Perú, (Ruta4507nueva era 23-10-23)</t>
  </si>
  <si>
    <t>Avenida Nicolás Ayllón, 137, Lima, Lima Metropolitana, Lima, 15011, Perú, (Ruta4507nueva era 23-10-23)</t>
  </si>
  <si>
    <t>Calle Los Geranios, Chosica, Lima Metropolitana, Lima, 15468,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</si>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</sst>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27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418</v>
      </c>
      <c r="B8" s="3">
        <v>45702</v>
      </c>
      <c r="C8" t="s">
        <v>18</v>
      </c>
      <c r="D8" s="3">
        <v>45702.781597222223</v>
      </c>
      <c r="E8" t="s">
        <v>19</v>
      </c>
      <c r="F8" s="4">
        <v>41.939000000000007</v>
      </c>
      <c r="G8" s="4">
        <v>514354.94500000001</v>
      </c>
      <c r="H8" s="4">
        <v>514396.88400000002</v>
      </c>
      <c r="I8" s="5">
        <f>2137 / 86400</f>
        <v>2.4733796296296295E-2</v>
      </c>
      <c r="J8" t="s">
        <v>20</v>
      </c>
      <c r="K8" t="s">
        <v>21</v>
      </c>
      <c r="L8" s="5">
        <f>7141 / 86400</f>
        <v>8.2650462962962967E-2</v>
      </c>
      <c r="M8" s="5">
        <f>79257 / 86400</f>
        <v>0.91732638888888884</v>
      </c>
    </row>
    <row r="9" spans="1:13" x14ac:dyDescent="0.25">
      <c r="A9" t="s">
        <v>419</v>
      </c>
      <c r="B9" s="3">
        <v>45702.098356481481</v>
      </c>
      <c r="C9" t="s">
        <v>22</v>
      </c>
      <c r="D9" s="3">
        <v>45702.937453703707</v>
      </c>
      <c r="E9" t="s">
        <v>22</v>
      </c>
      <c r="F9" s="4">
        <v>302.65300000000002</v>
      </c>
      <c r="G9" s="4">
        <v>19422.485000000001</v>
      </c>
      <c r="H9" s="4">
        <v>19725.137999999999</v>
      </c>
      <c r="I9" s="5">
        <f>18378 / 86400</f>
        <v>0.21270833333333333</v>
      </c>
      <c r="J9" t="s">
        <v>23</v>
      </c>
      <c r="K9" t="s">
        <v>24</v>
      </c>
      <c r="L9" s="5">
        <f>61377 / 86400</f>
        <v>0.71038194444444447</v>
      </c>
      <c r="M9" s="5">
        <f>25019 / 86400</f>
        <v>0.28957175925925926</v>
      </c>
    </row>
    <row r="10" spans="1:13" x14ac:dyDescent="0.25">
      <c r="A10" t="s">
        <v>420</v>
      </c>
      <c r="B10" s="3">
        <v>45702.234837962962</v>
      </c>
      <c r="C10" t="s">
        <v>25</v>
      </c>
      <c r="D10" s="3">
        <v>45702.910393518519</v>
      </c>
      <c r="E10" t="s">
        <v>26</v>
      </c>
      <c r="F10" s="4">
        <v>237.244</v>
      </c>
      <c r="G10" s="4">
        <v>328634.64600000001</v>
      </c>
      <c r="H10" s="4">
        <v>328871.89</v>
      </c>
      <c r="I10" s="5">
        <f>16763 / 86400</f>
        <v>0.1940162037037037</v>
      </c>
      <c r="J10" t="s">
        <v>27</v>
      </c>
      <c r="K10" t="s">
        <v>28</v>
      </c>
      <c r="L10" s="5">
        <f>49592 / 86400</f>
        <v>0.57398148148148154</v>
      </c>
      <c r="M10" s="5">
        <f>36799 / 86400</f>
        <v>0.42591435185185184</v>
      </c>
    </row>
    <row r="11" spans="1:13" x14ac:dyDescent="0.25">
      <c r="A11" t="s">
        <v>421</v>
      </c>
      <c r="B11" s="3">
        <v>45702.285682870366</v>
      </c>
      <c r="C11" t="s">
        <v>29</v>
      </c>
      <c r="D11" s="3">
        <v>45702.897592592592</v>
      </c>
      <c r="E11" t="s">
        <v>29</v>
      </c>
      <c r="F11" s="4">
        <v>190.517</v>
      </c>
      <c r="G11" s="4">
        <v>20637.789000000001</v>
      </c>
      <c r="H11" s="4">
        <v>20828.306</v>
      </c>
      <c r="I11" s="5">
        <f>14732 / 86400</f>
        <v>0.17050925925925925</v>
      </c>
      <c r="J11" t="s">
        <v>30</v>
      </c>
      <c r="K11" t="s">
        <v>31</v>
      </c>
      <c r="L11" s="5">
        <f>44544 / 86400</f>
        <v>0.51555555555555554</v>
      </c>
      <c r="M11" s="5">
        <f>41848 / 86400</f>
        <v>0.48435185185185187</v>
      </c>
    </row>
    <row r="12" spans="1:13" x14ac:dyDescent="0.25">
      <c r="A12" t="s">
        <v>422</v>
      </c>
      <c r="B12" s="3">
        <v>45702.251967592594</v>
      </c>
      <c r="C12" t="s">
        <v>32</v>
      </c>
      <c r="D12" s="3">
        <v>45702.966249999998</v>
      </c>
      <c r="E12" t="s">
        <v>32</v>
      </c>
      <c r="F12" s="4">
        <v>223.339</v>
      </c>
      <c r="G12" s="4">
        <v>513472.17599999998</v>
      </c>
      <c r="H12" s="4">
        <v>513695.51500000001</v>
      </c>
      <c r="I12" s="5">
        <f>16319 / 86400</f>
        <v>0.18887731481481482</v>
      </c>
      <c r="J12" t="s">
        <v>33</v>
      </c>
      <c r="K12" t="s">
        <v>34</v>
      </c>
      <c r="L12" s="5">
        <f>50262 / 86400</f>
        <v>0.58173611111111112</v>
      </c>
      <c r="M12" s="5">
        <f>36134 / 86400</f>
        <v>0.41821759259259261</v>
      </c>
    </row>
    <row r="13" spans="1:13" x14ac:dyDescent="0.25">
      <c r="A13" t="s">
        <v>423</v>
      </c>
      <c r="B13" s="3">
        <v>45702.209675925929</v>
      </c>
      <c r="C13" t="s">
        <v>29</v>
      </c>
      <c r="D13" s="3">
        <v>45702.89461805555</v>
      </c>
      <c r="E13" t="s">
        <v>29</v>
      </c>
      <c r="F13" s="4">
        <v>187.20500000000001</v>
      </c>
      <c r="G13" s="4">
        <v>92549.467999999993</v>
      </c>
      <c r="H13" s="4">
        <v>92736.672999999995</v>
      </c>
      <c r="I13" s="5">
        <f>17940 / 86400</f>
        <v>0.2076388888888889</v>
      </c>
      <c r="J13" t="s">
        <v>30</v>
      </c>
      <c r="K13" t="s">
        <v>35</v>
      </c>
      <c r="L13" s="5">
        <f>50658 / 86400</f>
        <v>0.58631944444444439</v>
      </c>
      <c r="M13" s="5">
        <f>35733 / 86400</f>
        <v>0.41357638888888887</v>
      </c>
    </row>
    <row r="14" spans="1:13" x14ac:dyDescent="0.25">
      <c r="A14" t="s">
        <v>424</v>
      </c>
      <c r="B14" s="3">
        <v>45702</v>
      </c>
      <c r="C14" t="s">
        <v>18</v>
      </c>
      <c r="D14" s="3">
        <v>45702.853912037041</v>
      </c>
      <c r="E14" t="s">
        <v>19</v>
      </c>
      <c r="F14" s="4">
        <v>254.29499999999999</v>
      </c>
      <c r="G14" s="4">
        <v>138142.96100000001</v>
      </c>
      <c r="H14" s="4">
        <v>138397.25599999999</v>
      </c>
      <c r="I14" s="5">
        <f>17777 / 86400</f>
        <v>0.20575231481481482</v>
      </c>
      <c r="J14" t="s">
        <v>36</v>
      </c>
      <c r="K14" t="s">
        <v>24</v>
      </c>
      <c r="L14" s="5">
        <f>50454 / 86400</f>
        <v>0.58395833333333336</v>
      </c>
      <c r="M14" s="5">
        <f>35944 / 86400</f>
        <v>0.41601851851851851</v>
      </c>
    </row>
    <row r="15" spans="1:13" x14ac:dyDescent="0.25">
      <c r="A15" t="s">
        <v>425</v>
      </c>
      <c r="B15" s="3">
        <v>45702.204259259262</v>
      </c>
      <c r="C15" t="s">
        <v>29</v>
      </c>
      <c r="D15" s="3">
        <v>45702.817962962959</v>
      </c>
      <c r="E15" t="s">
        <v>29</v>
      </c>
      <c r="F15" s="4">
        <v>213.28965885734559</v>
      </c>
      <c r="G15" s="4">
        <v>348048.0313106238</v>
      </c>
      <c r="H15" s="4">
        <v>348274.6838723963</v>
      </c>
      <c r="I15" s="5">
        <f>0 / 86400</f>
        <v>0</v>
      </c>
      <c r="J15" t="s">
        <v>20</v>
      </c>
      <c r="K15" t="s">
        <v>37</v>
      </c>
      <c r="L15" s="5">
        <f>33928 / 86400</f>
        <v>0.39268518518518519</v>
      </c>
      <c r="M15" s="5">
        <f>52471 / 86400</f>
        <v>0.60730324074074071</v>
      </c>
    </row>
    <row r="16" spans="1:13" x14ac:dyDescent="0.25">
      <c r="A16" t="s">
        <v>426</v>
      </c>
      <c r="B16" s="3">
        <v>45702.169594907406</v>
      </c>
      <c r="C16" t="s">
        <v>38</v>
      </c>
      <c r="D16" s="3">
        <v>45702.644108796296</v>
      </c>
      <c r="E16" t="s">
        <v>38</v>
      </c>
      <c r="F16" s="4">
        <v>161.178</v>
      </c>
      <c r="G16" s="4">
        <v>484197.77100000001</v>
      </c>
      <c r="H16" s="4">
        <v>484358.94900000002</v>
      </c>
      <c r="I16" s="5">
        <f>14262 / 86400</f>
        <v>0.16506944444444444</v>
      </c>
      <c r="J16" t="s">
        <v>39</v>
      </c>
      <c r="K16" t="s">
        <v>31</v>
      </c>
      <c r="L16" s="5">
        <f>37921 / 86400</f>
        <v>0.43890046296296298</v>
      </c>
      <c r="M16" s="5">
        <f>48476 / 86400</f>
        <v>0.56106481481481485</v>
      </c>
    </row>
    <row r="17" spans="1:13" x14ac:dyDescent="0.25">
      <c r="A17" t="s">
        <v>427</v>
      </c>
      <c r="B17" s="3">
        <v>45702.130879629629</v>
      </c>
      <c r="C17" t="s">
        <v>40</v>
      </c>
      <c r="D17" s="3">
        <v>45702.863136574073</v>
      </c>
      <c r="E17" t="s">
        <v>41</v>
      </c>
      <c r="F17" s="4">
        <v>213.36800000000002</v>
      </c>
      <c r="G17" s="4">
        <v>508324.33500000002</v>
      </c>
      <c r="H17" s="4">
        <v>508537.70299999998</v>
      </c>
      <c r="I17" s="5">
        <f>13958 / 86400</f>
        <v>0.16155092592592593</v>
      </c>
      <c r="J17" t="s">
        <v>42</v>
      </c>
      <c r="K17" t="s">
        <v>28</v>
      </c>
      <c r="L17" s="5">
        <f>44973 / 86400</f>
        <v>0.52052083333333332</v>
      </c>
      <c r="M17" s="5">
        <f>41424 / 86400</f>
        <v>0.47944444444444445</v>
      </c>
    </row>
    <row r="18" spans="1:13" x14ac:dyDescent="0.25">
      <c r="A18" t="s">
        <v>428</v>
      </c>
      <c r="B18" s="3">
        <v>45702.243530092594</v>
      </c>
      <c r="C18" t="s">
        <v>43</v>
      </c>
      <c r="D18" s="3">
        <v>45702.795381944445</v>
      </c>
      <c r="E18" t="s">
        <v>43</v>
      </c>
      <c r="F18" s="4">
        <v>105.976</v>
      </c>
      <c r="G18" s="4">
        <v>407968.97399999999</v>
      </c>
      <c r="H18" s="4">
        <v>408074.95600000001</v>
      </c>
      <c r="I18" s="5">
        <f>11504 / 86400</f>
        <v>0.13314814814814815</v>
      </c>
      <c r="J18" t="s">
        <v>44</v>
      </c>
      <c r="K18" t="s">
        <v>35</v>
      </c>
      <c r="L18" s="5">
        <f>29520 / 86400</f>
        <v>0.34166666666666667</v>
      </c>
      <c r="M18" s="5">
        <f>56868 / 86400</f>
        <v>0.65819444444444442</v>
      </c>
    </row>
    <row r="19" spans="1:13" x14ac:dyDescent="0.25">
      <c r="A19" t="s">
        <v>429</v>
      </c>
      <c r="B19" s="3">
        <v>45702.278078703705</v>
      </c>
      <c r="C19" t="s">
        <v>45</v>
      </c>
      <c r="D19" s="3">
        <v>45702.892974537041</v>
      </c>
      <c r="E19" t="s">
        <v>45</v>
      </c>
      <c r="F19" s="4">
        <v>103.893</v>
      </c>
      <c r="G19" s="4">
        <v>437601.22100000002</v>
      </c>
      <c r="H19" s="4">
        <v>437705.114</v>
      </c>
      <c r="I19" s="5">
        <f>11351 / 86400</f>
        <v>0.13137731481481482</v>
      </c>
      <c r="J19" t="s">
        <v>44</v>
      </c>
      <c r="K19" t="s">
        <v>35</v>
      </c>
      <c r="L19" s="5">
        <f>28723 / 86400</f>
        <v>0.33244212962962966</v>
      </c>
      <c r="M19" s="5">
        <f>57672 / 86400</f>
        <v>0.66749999999999998</v>
      </c>
    </row>
    <row r="20" spans="1:13" x14ac:dyDescent="0.25">
      <c r="A20" t="s">
        <v>430</v>
      </c>
      <c r="B20" s="3">
        <v>45702.133564814816</v>
      </c>
      <c r="C20" t="s">
        <v>22</v>
      </c>
      <c r="D20" s="3">
        <v>45702.951736111107</v>
      </c>
      <c r="E20" t="s">
        <v>22</v>
      </c>
      <c r="F20" s="4">
        <v>305.71600000000001</v>
      </c>
      <c r="G20" s="4">
        <v>54284.275000000001</v>
      </c>
      <c r="H20" s="4">
        <v>54589.991000000002</v>
      </c>
      <c r="I20" s="5">
        <f>20201 / 86400</f>
        <v>0.23380787037037037</v>
      </c>
      <c r="J20" t="s">
        <v>46</v>
      </c>
      <c r="K20" t="s">
        <v>24</v>
      </c>
      <c r="L20" s="5">
        <f>61908 / 86400</f>
        <v>0.71652777777777776</v>
      </c>
      <c r="M20" s="5">
        <f>24478 / 86400</f>
        <v>0.28331018518518519</v>
      </c>
    </row>
    <row r="21" spans="1:13" x14ac:dyDescent="0.25">
      <c r="A21" t="s">
        <v>431</v>
      </c>
      <c r="B21" s="3">
        <v>45702.008981481486</v>
      </c>
      <c r="C21" t="s">
        <v>47</v>
      </c>
      <c r="D21" s="3">
        <v>45702.899976851855</v>
      </c>
      <c r="E21" t="s">
        <v>48</v>
      </c>
      <c r="F21" s="4">
        <v>302.84300000000002</v>
      </c>
      <c r="G21" s="4">
        <v>216205.954</v>
      </c>
      <c r="H21" s="4">
        <v>216508.79699999999</v>
      </c>
      <c r="I21" s="5">
        <f>22499 / 86400</f>
        <v>0.26040509259259259</v>
      </c>
      <c r="J21" t="s">
        <v>49</v>
      </c>
      <c r="K21" t="s">
        <v>24</v>
      </c>
      <c r="L21" s="5">
        <f>60643 / 86400</f>
        <v>0.70188657407407407</v>
      </c>
      <c r="M21" s="5">
        <f>25749 / 86400</f>
        <v>0.29802083333333335</v>
      </c>
    </row>
    <row r="22" spans="1:13" x14ac:dyDescent="0.25">
      <c r="A22" t="s">
        <v>432</v>
      </c>
      <c r="B22" s="3">
        <v>45702.255648148144</v>
      </c>
      <c r="C22" t="s">
        <v>50</v>
      </c>
      <c r="D22" s="3">
        <v>45702.919444444444</v>
      </c>
      <c r="E22" t="s">
        <v>51</v>
      </c>
      <c r="F22" s="4">
        <v>147.14099999994039</v>
      </c>
      <c r="G22" s="4">
        <v>525395.40700000001</v>
      </c>
      <c r="H22" s="4">
        <v>525542.54799999995</v>
      </c>
      <c r="I22" s="5">
        <f>19772 / 86400</f>
        <v>0.2288425925925926</v>
      </c>
      <c r="J22" t="s">
        <v>52</v>
      </c>
      <c r="K22" t="s">
        <v>53</v>
      </c>
      <c r="L22" s="5">
        <f>46872 / 86400</f>
        <v>0.54249999999999998</v>
      </c>
      <c r="M22" s="5">
        <f>39524 / 86400</f>
        <v>0.4574537037037037</v>
      </c>
    </row>
    <row r="23" spans="1:13" x14ac:dyDescent="0.25">
      <c r="A23" t="s">
        <v>433</v>
      </c>
      <c r="B23" s="3">
        <v>45702.249351851853</v>
      </c>
      <c r="C23" t="s">
        <v>54</v>
      </c>
      <c r="D23" s="3">
        <v>45702.909351851849</v>
      </c>
      <c r="E23" t="s">
        <v>54</v>
      </c>
      <c r="F23" s="4">
        <v>201.79499999999999</v>
      </c>
      <c r="G23" s="4">
        <v>344893.64899999998</v>
      </c>
      <c r="H23" s="4">
        <v>345095.44400000002</v>
      </c>
      <c r="I23" s="5">
        <f>17777 / 86400</f>
        <v>0.20575231481481482</v>
      </c>
      <c r="J23" t="s">
        <v>27</v>
      </c>
      <c r="K23" t="s">
        <v>31</v>
      </c>
      <c r="L23" s="5">
        <f>47178 / 86400</f>
        <v>0.54604166666666665</v>
      </c>
      <c r="M23" s="5">
        <f>39215 / 86400</f>
        <v>0.4538773148148148</v>
      </c>
    </row>
    <row r="24" spans="1:13" x14ac:dyDescent="0.25">
      <c r="A24" t="s">
        <v>434</v>
      </c>
      <c r="B24" s="3">
        <v>45702.253310185188</v>
      </c>
      <c r="C24" t="s">
        <v>55</v>
      </c>
      <c r="D24" s="3">
        <v>45702.83488425926</v>
      </c>
      <c r="E24" t="s">
        <v>55</v>
      </c>
      <c r="F24" s="4">
        <v>98.168000000000006</v>
      </c>
      <c r="G24" s="4">
        <v>426199.51699999999</v>
      </c>
      <c r="H24" s="4">
        <v>426297.685</v>
      </c>
      <c r="I24" s="5">
        <f>24740 / 86400</f>
        <v>0.28634259259259259</v>
      </c>
      <c r="J24" t="s">
        <v>56</v>
      </c>
      <c r="K24" t="s">
        <v>57</v>
      </c>
      <c r="L24" s="5">
        <f>39566 / 86400</f>
        <v>0.45793981481481483</v>
      </c>
      <c r="M24" s="5">
        <f>46826 / 86400</f>
        <v>0.54196759259259264</v>
      </c>
    </row>
    <row r="25" spans="1:13" x14ac:dyDescent="0.25">
      <c r="A25" t="s">
        <v>435</v>
      </c>
      <c r="B25" s="3">
        <v>45702.236284722225</v>
      </c>
      <c r="C25" t="s">
        <v>29</v>
      </c>
      <c r="D25" s="3">
        <v>45702.811319444445</v>
      </c>
      <c r="E25" t="s">
        <v>29</v>
      </c>
      <c r="F25" s="4">
        <v>177.25200000000001</v>
      </c>
      <c r="G25" s="4">
        <v>12826.267</v>
      </c>
      <c r="H25" s="4">
        <v>13003.519</v>
      </c>
      <c r="I25" s="5">
        <f>18066 / 86400</f>
        <v>0.20909722222222221</v>
      </c>
      <c r="J25" t="s">
        <v>58</v>
      </c>
      <c r="K25" t="s">
        <v>59</v>
      </c>
      <c r="L25" s="5">
        <f>45287 / 86400</f>
        <v>0.52415509259259263</v>
      </c>
      <c r="M25" s="5">
        <f>41107 / 86400</f>
        <v>0.47577546296296297</v>
      </c>
    </row>
    <row r="26" spans="1:13" x14ac:dyDescent="0.25">
      <c r="A26" t="s">
        <v>436</v>
      </c>
      <c r="B26" s="3">
        <v>45702.177037037036</v>
      </c>
      <c r="C26" t="s">
        <v>60</v>
      </c>
      <c r="D26" s="3">
        <v>45702.791261574079</v>
      </c>
      <c r="E26" t="s">
        <v>60</v>
      </c>
      <c r="F26" s="4">
        <v>246.19</v>
      </c>
      <c r="G26" s="4">
        <v>138687.85500000001</v>
      </c>
      <c r="H26" s="4">
        <v>138934.04500000001</v>
      </c>
      <c r="I26" s="5">
        <f>15698 / 86400</f>
        <v>0.1816898148148148</v>
      </c>
      <c r="J26" t="s">
        <v>49</v>
      </c>
      <c r="K26" t="s">
        <v>28</v>
      </c>
      <c r="L26" s="5">
        <f>50765 / 86400</f>
        <v>0.58755787037037033</v>
      </c>
      <c r="M26" s="5">
        <f>35632 / 86400</f>
        <v>0.41240740740740739</v>
      </c>
    </row>
    <row r="27" spans="1:13" x14ac:dyDescent="0.25">
      <c r="A27" t="s">
        <v>437</v>
      </c>
      <c r="B27" s="3">
        <v>45702.230196759258</v>
      </c>
      <c r="C27" t="s">
        <v>29</v>
      </c>
      <c r="D27" s="3">
        <v>45702.960995370369</v>
      </c>
      <c r="E27" t="s">
        <v>29</v>
      </c>
      <c r="F27" s="4">
        <v>186.37100000000001</v>
      </c>
      <c r="G27" s="4">
        <v>5775.5609999999997</v>
      </c>
      <c r="H27" s="4">
        <v>5961.9319999999998</v>
      </c>
      <c r="I27" s="5">
        <f>28621 / 86400</f>
        <v>0.33126157407407408</v>
      </c>
      <c r="J27" t="s">
        <v>61</v>
      </c>
      <c r="K27" t="s">
        <v>62</v>
      </c>
      <c r="L27" s="5">
        <f>55284 / 86400</f>
        <v>0.6398611111111111</v>
      </c>
      <c r="M27" s="5">
        <f>31112 / 86400</f>
        <v>0.36009259259259258</v>
      </c>
    </row>
    <row r="28" spans="1:13" x14ac:dyDescent="0.25">
      <c r="A28" t="s">
        <v>438</v>
      </c>
      <c r="B28" s="3">
        <v>45702.21329861111</v>
      </c>
      <c r="C28" t="s">
        <v>38</v>
      </c>
      <c r="D28" s="3">
        <v>45702.809282407412</v>
      </c>
      <c r="E28" t="s">
        <v>38</v>
      </c>
      <c r="F28" s="4">
        <v>224.08600000000001</v>
      </c>
      <c r="G28" s="4">
        <v>386945.32</v>
      </c>
      <c r="H28" s="4">
        <v>387169.40600000002</v>
      </c>
      <c r="I28" s="5">
        <f>16012 / 86400</f>
        <v>0.18532407407407409</v>
      </c>
      <c r="J28" t="s">
        <v>63</v>
      </c>
      <c r="K28" t="s">
        <v>28</v>
      </c>
      <c r="L28" s="5">
        <f>48471 / 86400</f>
        <v>0.56100694444444443</v>
      </c>
      <c r="M28" s="5">
        <f>37922 / 86400</f>
        <v>0.43891203703703702</v>
      </c>
    </row>
    <row r="29" spans="1:13" x14ac:dyDescent="0.25">
      <c r="A29" t="s">
        <v>439</v>
      </c>
      <c r="B29" s="3">
        <v>45702.14770833333</v>
      </c>
      <c r="C29" t="s">
        <v>64</v>
      </c>
      <c r="D29" s="3">
        <v>45702.717152777783</v>
      </c>
      <c r="E29" t="s">
        <v>64</v>
      </c>
      <c r="F29" s="4">
        <v>209.78700000000001</v>
      </c>
      <c r="G29" s="4">
        <v>523358.97499999998</v>
      </c>
      <c r="H29" s="4">
        <v>523568.76199999999</v>
      </c>
      <c r="I29" s="5">
        <f>11437 / 86400</f>
        <v>0.13237268518518519</v>
      </c>
      <c r="J29" t="s">
        <v>44</v>
      </c>
      <c r="K29" t="s">
        <v>24</v>
      </c>
      <c r="L29" s="5">
        <f>40858 / 86400</f>
        <v>0.47289351851851852</v>
      </c>
      <c r="M29" s="5">
        <f>45539 / 86400</f>
        <v>0.52707175925925931</v>
      </c>
    </row>
    <row r="30" spans="1:13" x14ac:dyDescent="0.25">
      <c r="A30" t="s">
        <v>440</v>
      </c>
      <c r="B30" s="3">
        <v>45702</v>
      </c>
      <c r="C30" t="s">
        <v>65</v>
      </c>
      <c r="D30" s="3">
        <v>45702.99998842593</v>
      </c>
      <c r="E30" t="s">
        <v>66</v>
      </c>
      <c r="F30" s="4">
        <v>175.67699999999999</v>
      </c>
      <c r="G30" s="4">
        <v>411943.96799999999</v>
      </c>
      <c r="H30" s="4">
        <v>412119.64500000002</v>
      </c>
      <c r="I30" s="5">
        <f>13976 / 86400</f>
        <v>0.16175925925925927</v>
      </c>
      <c r="J30" t="s">
        <v>67</v>
      </c>
      <c r="K30" t="s">
        <v>31</v>
      </c>
      <c r="L30" s="5">
        <f>41604 / 86400</f>
        <v>0.48152777777777778</v>
      </c>
      <c r="M30" s="5">
        <f>44794 / 86400</f>
        <v>0.51844907407407403</v>
      </c>
    </row>
    <row r="31" spans="1:13" x14ac:dyDescent="0.25">
      <c r="A31" t="s">
        <v>441</v>
      </c>
      <c r="B31" s="3">
        <v>45702.224444444444</v>
      </c>
      <c r="C31" t="s">
        <v>68</v>
      </c>
      <c r="D31" s="3">
        <v>45702.725717592592</v>
      </c>
      <c r="E31" t="s">
        <v>68</v>
      </c>
      <c r="F31" s="4">
        <v>195.392</v>
      </c>
      <c r="G31" s="4">
        <v>402951.592</v>
      </c>
      <c r="H31" s="4">
        <v>403146.984</v>
      </c>
      <c r="I31" s="5">
        <f>12257 / 86400</f>
        <v>0.14186342592592593</v>
      </c>
      <c r="J31" t="s">
        <v>33</v>
      </c>
      <c r="K31" t="s">
        <v>24</v>
      </c>
      <c r="L31" s="5">
        <f>39167 / 86400</f>
        <v>0.45332175925925927</v>
      </c>
      <c r="M31" s="5">
        <f>47227 / 86400</f>
        <v>0.54660879629629633</v>
      </c>
    </row>
    <row r="32" spans="1:13" x14ac:dyDescent="0.25">
      <c r="A32" t="s">
        <v>442</v>
      </c>
      <c r="B32" s="3">
        <v>45702.667708333334</v>
      </c>
      <c r="C32" t="s">
        <v>69</v>
      </c>
      <c r="D32" s="3">
        <v>45702.846724537041</v>
      </c>
      <c r="E32" t="s">
        <v>70</v>
      </c>
      <c r="F32" s="4">
        <v>65.167999999999992</v>
      </c>
      <c r="G32" s="4">
        <v>407559.42099999997</v>
      </c>
      <c r="H32" s="4">
        <v>407624.58899999998</v>
      </c>
      <c r="I32" s="5">
        <f>5280 / 86400</f>
        <v>6.1111111111111109E-2</v>
      </c>
      <c r="J32" t="s">
        <v>71</v>
      </c>
      <c r="K32" t="s">
        <v>34</v>
      </c>
      <c r="L32" s="5">
        <f>14321 / 86400</f>
        <v>0.16575231481481481</v>
      </c>
      <c r="M32" s="5">
        <f>72076 / 86400</f>
        <v>0.83421296296296299</v>
      </c>
    </row>
    <row r="33" spans="1:13" x14ac:dyDescent="0.25">
      <c r="A33" t="s">
        <v>443</v>
      </c>
      <c r="B33" s="3">
        <v>45702.313032407408</v>
      </c>
      <c r="C33" t="s">
        <v>72</v>
      </c>
      <c r="D33" s="3">
        <v>45702.70144675926</v>
      </c>
      <c r="E33" t="s">
        <v>72</v>
      </c>
      <c r="F33" s="4">
        <v>120.706</v>
      </c>
      <c r="G33" s="4">
        <v>348241.40899999999</v>
      </c>
      <c r="H33" s="4">
        <v>348362.11499999999</v>
      </c>
      <c r="I33" s="5">
        <f>11878 / 86400</f>
        <v>0.13747685185185185</v>
      </c>
      <c r="J33" t="s">
        <v>73</v>
      </c>
      <c r="K33" t="s">
        <v>59</v>
      </c>
      <c r="L33" s="5">
        <f>30839 / 86400</f>
        <v>0.35693287037037036</v>
      </c>
      <c r="M33" s="5">
        <f>55558 / 86400</f>
        <v>0.64303240740740741</v>
      </c>
    </row>
    <row r="34" spans="1:13" x14ac:dyDescent="0.25">
      <c r="A34" t="s">
        <v>444</v>
      </c>
      <c r="B34" s="3">
        <v>45702.119988425926</v>
      </c>
      <c r="C34" t="s">
        <v>74</v>
      </c>
      <c r="D34" s="3">
        <v>45702.99998842593</v>
      </c>
      <c r="E34" t="s">
        <v>75</v>
      </c>
      <c r="F34" s="4">
        <v>350.86900000000003</v>
      </c>
      <c r="G34" s="4">
        <v>41117.756999999998</v>
      </c>
      <c r="H34" s="4">
        <v>41468.625999999997</v>
      </c>
      <c r="I34" s="5">
        <f>23121 / 86400</f>
        <v>0.26760416666666664</v>
      </c>
      <c r="J34" t="s">
        <v>71</v>
      </c>
      <c r="K34" t="s">
        <v>24</v>
      </c>
      <c r="L34" s="5">
        <f>70639 / 86400</f>
        <v>0.8175810185185185</v>
      </c>
      <c r="M34" s="5">
        <f>15757 / 86400</f>
        <v>0.18237268518518518</v>
      </c>
    </row>
    <row r="35" spans="1:13" x14ac:dyDescent="0.25">
      <c r="A35" t="s">
        <v>445</v>
      </c>
      <c r="B35" s="3">
        <v>45702.187442129631</v>
      </c>
      <c r="C35" t="s">
        <v>38</v>
      </c>
      <c r="D35" s="3">
        <v>45702.99998842593</v>
      </c>
      <c r="E35" t="s">
        <v>69</v>
      </c>
      <c r="F35" s="4">
        <v>225.35999999999999</v>
      </c>
      <c r="G35" s="4">
        <v>46594.099000000002</v>
      </c>
      <c r="H35" s="4">
        <v>46819.459000000003</v>
      </c>
      <c r="I35" s="5">
        <f>26013 / 86400</f>
        <v>0.30107638888888888</v>
      </c>
      <c r="J35" t="s">
        <v>46</v>
      </c>
      <c r="K35" t="s">
        <v>59</v>
      </c>
      <c r="L35" s="5">
        <f>57308 / 86400</f>
        <v>0.66328703703703706</v>
      </c>
      <c r="M35" s="5">
        <f>29087 / 86400</f>
        <v>0.33665509259259258</v>
      </c>
    </row>
    <row r="36" spans="1:13" x14ac:dyDescent="0.25">
      <c r="A36" t="s">
        <v>446</v>
      </c>
      <c r="B36" s="3">
        <v>45702.185798611114</v>
      </c>
      <c r="C36" t="s">
        <v>76</v>
      </c>
      <c r="D36" s="3">
        <v>45702.930798611109</v>
      </c>
      <c r="E36" t="s">
        <v>76</v>
      </c>
      <c r="F36" s="4">
        <v>201.90900000011922</v>
      </c>
      <c r="G36" s="4">
        <v>528178.24399999995</v>
      </c>
      <c r="H36" s="4">
        <v>528380.15300000005</v>
      </c>
      <c r="I36" s="5">
        <f>15226 / 86400</f>
        <v>0.17622685185185186</v>
      </c>
      <c r="J36" t="s">
        <v>44</v>
      </c>
      <c r="K36" t="s">
        <v>28</v>
      </c>
      <c r="L36" s="5">
        <f>42670 / 86400</f>
        <v>0.49386574074074074</v>
      </c>
      <c r="M36" s="5">
        <f>43724 / 86400</f>
        <v>0.5060648148148148</v>
      </c>
    </row>
    <row r="37" spans="1:13" x14ac:dyDescent="0.25">
      <c r="A37" t="s">
        <v>447</v>
      </c>
      <c r="B37" s="3">
        <v>45702.213680555556</v>
      </c>
      <c r="C37" t="s">
        <v>38</v>
      </c>
      <c r="D37" s="3">
        <v>45702.918229166666</v>
      </c>
      <c r="E37" t="s">
        <v>38</v>
      </c>
      <c r="F37" s="4">
        <v>243.93700000000001</v>
      </c>
      <c r="G37" s="4">
        <v>568122.73899999994</v>
      </c>
      <c r="H37" s="4">
        <v>568366.67599999998</v>
      </c>
      <c r="I37" s="5">
        <f>21795 / 86400</f>
        <v>0.25225694444444446</v>
      </c>
      <c r="J37" t="s">
        <v>77</v>
      </c>
      <c r="K37" t="s">
        <v>31</v>
      </c>
      <c r="L37" s="5">
        <f>58060 / 86400</f>
        <v>0.67199074074074072</v>
      </c>
      <c r="M37" s="5">
        <f>28335 / 86400</f>
        <v>0.32795138888888886</v>
      </c>
    </row>
    <row r="38" spans="1:13" x14ac:dyDescent="0.25">
      <c r="A38" t="s">
        <v>448</v>
      </c>
      <c r="B38" s="3">
        <v>45702.25408564815</v>
      </c>
      <c r="C38" t="s">
        <v>78</v>
      </c>
      <c r="D38" s="3">
        <v>45702.926134259258</v>
      </c>
      <c r="E38" t="s">
        <v>79</v>
      </c>
      <c r="F38" s="4">
        <v>168.708</v>
      </c>
      <c r="G38" s="4">
        <v>435546.34499999997</v>
      </c>
      <c r="H38" s="4">
        <v>435715.05300000001</v>
      </c>
      <c r="I38" s="5">
        <f>15021 / 86400</f>
        <v>0.17385416666666667</v>
      </c>
      <c r="J38" t="s">
        <v>73</v>
      </c>
      <c r="K38" t="s">
        <v>31</v>
      </c>
      <c r="L38" s="5">
        <f>39495 / 86400</f>
        <v>0.45711805555555557</v>
      </c>
      <c r="M38" s="5">
        <f>46899 / 86400</f>
        <v>0.54281250000000003</v>
      </c>
    </row>
    <row r="39" spans="1:13" x14ac:dyDescent="0.25">
      <c r="A39" t="s">
        <v>449</v>
      </c>
      <c r="B39" s="3">
        <v>45702.238067129627</v>
      </c>
      <c r="C39" t="s">
        <v>48</v>
      </c>
      <c r="D39" s="3">
        <v>45702.854039351849</v>
      </c>
      <c r="E39" t="s">
        <v>48</v>
      </c>
      <c r="F39" s="4">
        <v>205.24199999999999</v>
      </c>
      <c r="G39" s="4">
        <v>515622.39600000001</v>
      </c>
      <c r="H39" s="4">
        <v>515827.64500000002</v>
      </c>
      <c r="I39" s="5">
        <f>16167 / 86400</f>
        <v>0.18711805555555555</v>
      </c>
      <c r="J39" t="s">
        <v>44</v>
      </c>
      <c r="K39" t="s">
        <v>34</v>
      </c>
      <c r="L39" s="5">
        <f>47174 / 86400</f>
        <v>0.54599537037037038</v>
      </c>
      <c r="M39" s="5">
        <f>39225 / 86400</f>
        <v>0.45399305555555558</v>
      </c>
    </row>
    <row r="40" spans="1:13" x14ac:dyDescent="0.25">
      <c r="A40" t="s">
        <v>450</v>
      </c>
      <c r="B40" s="3">
        <v>45702.223125000004</v>
      </c>
      <c r="C40" t="s">
        <v>80</v>
      </c>
      <c r="D40" s="3">
        <v>45702.792037037041</v>
      </c>
      <c r="E40" t="s">
        <v>81</v>
      </c>
      <c r="F40" s="4">
        <v>199.33799999999999</v>
      </c>
      <c r="G40" s="4">
        <v>505476.55</v>
      </c>
      <c r="H40" s="4">
        <v>505675.88799999998</v>
      </c>
      <c r="I40" s="5">
        <f>20181 / 86400</f>
        <v>0.23357638888888888</v>
      </c>
      <c r="J40" t="s">
        <v>71</v>
      </c>
      <c r="K40" t="s">
        <v>31</v>
      </c>
      <c r="L40" s="5">
        <f>49154 / 86400</f>
        <v>0.56891203703703708</v>
      </c>
      <c r="M40" s="5">
        <f>37245 / 86400</f>
        <v>0.43107638888888888</v>
      </c>
    </row>
    <row r="41" spans="1:13" x14ac:dyDescent="0.25">
      <c r="A41" t="s">
        <v>451</v>
      </c>
      <c r="B41" s="3">
        <v>45702</v>
      </c>
      <c r="C41" t="s">
        <v>69</v>
      </c>
      <c r="D41" s="3">
        <v>45702.297662037032</v>
      </c>
      <c r="E41" t="s">
        <v>82</v>
      </c>
      <c r="F41" s="4">
        <v>31.881999999999998</v>
      </c>
      <c r="G41" s="4">
        <v>352476.42300000001</v>
      </c>
      <c r="H41" s="4">
        <v>352508.30499999999</v>
      </c>
      <c r="I41" s="5">
        <f>1476 / 86400</f>
        <v>1.7083333333333332E-2</v>
      </c>
      <c r="J41" t="s">
        <v>63</v>
      </c>
      <c r="K41" t="s">
        <v>21</v>
      </c>
      <c r="L41" s="5">
        <f>5478 / 86400</f>
        <v>6.340277777777778E-2</v>
      </c>
      <c r="M41" s="5">
        <f>80919 / 86400</f>
        <v>0.93656249999999996</v>
      </c>
    </row>
    <row r="42" spans="1:13" x14ac:dyDescent="0.25">
      <c r="A42" t="s">
        <v>452</v>
      </c>
      <c r="B42" s="3">
        <v>45702.214004629626</v>
      </c>
      <c r="C42" t="s">
        <v>83</v>
      </c>
      <c r="D42" s="3">
        <v>45702.801469907412</v>
      </c>
      <c r="E42" t="s">
        <v>83</v>
      </c>
      <c r="F42" s="4">
        <v>209.25700000000001</v>
      </c>
      <c r="G42" s="4">
        <v>411034.88</v>
      </c>
      <c r="H42" s="4">
        <v>411244.13699999999</v>
      </c>
      <c r="I42" s="5">
        <f>15421 / 86400</f>
        <v>0.17848379629629629</v>
      </c>
      <c r="J42" t="s">
        <v>71</v>
      </c>
      <c r="K42" t="s">
        <v>34</v>
      </c>
      <c r="L42" s="5">
        <f>46002 / 86400</f>
        <v>0.53243055555555552</v>
      </c>
      <c r="M42" s="5">
        <f>40393 / 86400</f>
        <v>0.46751157407407407</v>
      </c>
    </row>
    <row r="43" spans="1:13" x14ac:dyDescent="0.25">
      <c r="A43" t="s">
        <v>453</v>
      </c>
      <c r="B43" s="3">
        <v>45702.152037037042</v>
      </c>
      <c r="C43" t="s">
        <v>29</v>
      </c>
      <c r="D43" s="3">
        <v>45702.812094907407</v>
      </c>
      <c r="E43" t="s">
        <v>29</v>
      </c>
      <c r="F43" s="4">
        <v>228.31800000000001</v>
      </c>
      <c r="G43" s="4">
        <v>441983.11099999998</v>
      </c>
      <c r="H43" s="4">
        <v>442211.429</v>
      </c>
      <c r="I43" s="5">
        <f>12218 / 86400</f>
        <v>0.14141203703703703</v>
      </c>
      <c r="J43" t="s">
        <v>27</v>
      </c>
      <c r="K43" t="s">
        <v>24</v>
      </c>
      <c r="L43" s="5">
        <f>45261 / 86400</f>
        <v>0.52385416666666662</v>
      </c>
      <c r="M43" s="5">
        <f>41133 / 86400</f>
        <v>0.47607638888888887</v>
      </c>
    </row>
    <row r="44" spans="1:13" x14ac:dyDescent="0.25">
      <c r="A44" t="s">
        <v>454</v>
      </c>
      <c r="B44" s="3">
        <v>45702.00608796296</v>
      </c>
      <c r="C44" t="s">
        <v>80</v>
      </c>
      <c r="D44" s="3">
        <v>45702.99998842593</v>
      </c>
      <c r="E44" t="s">
        <v>69</v>
      </c>
      <c r="F44" s="4">
        <v>348.34800000000001</v>
      </c>
      <c r="G44" s="4">
        <v>414081.185</v>
      </c>
      <c r="H44" s="4">
        <v>414429.533</v>
      </c>
      <c r="I44" s="5">
        <f>22569 / 86400</f>
        <v>0.26121527777777775</v>
      </c>
      <c r="J44" t="s">
        <v>77</v>
      </c>
      <c r="K44" t="s">
        <v>24</v>
      </c>
      <c r="L44" s="5">
        <f>68212 / 86400</f>
        <v>0.78949074074074077</v>
      </c>
      <c r="M44" s="5">
        <f>18176 / 86400</f>
        <v>0.21037037037037037</v>
      </c>
    </row>
    <row r="45" spans="1:13" x14ac:dyDescent="0.25">
      <c r="A45" t="s">
        <v>455</v>
      </c>
      <c r="B45" s="3">
        <v>45702.170671296291</v>
      </c>
      <c r="C45" t="s">
        <v>29</v>
      </c>
      <c r="D45" s="3">
        <v>45702.712037037039</v>
      </c>
      <c r="E45" t="s">
        <v>29</v>
      </c>
      <c r="F45" s="4">
        <v>182.70500000000001</v>
      </c>
      <c r="G45" s="4">
        <v>328096.06</v>
      </c>
      <c r="H45" s="4">
        <v>328278.76500000001</v>
      </c>
      <c r="I45" s="5">
        <f>10494 / 86400</f>
        <v>0.12145833333333333</v>
      </c>
      <c r="J45" t="s">
        <v>84</v>
      </c>
      <c r="K45" t="s">
        <v>24</v>
      </c>
      <c r="L45" s="5">
        <f>37453 / 86400</f>
        <v>0.4334837962962963</v>
      </c>
      <c r="M45" s="5">
        <f>48944 / 86400</f>
        <v>0.56648148148148147</v>
      </c>
    </row>
    <row r="46" spans="1:13" x14ac:dyDescent="0.25">
      <c r="A46" t="s">
        <v>456</v>
      </c>
      <c r="B46" s="3">
        <v>45702.334328703699</v>
      </c>
      <c r="C46" t="s">
        <v>29</v>
      </c>
      <c r="D46" s="3">
        <v>45702.99998842593</v>
      </c>
      <c r="E46" t="s">
        <v>85</v>
      </c>
      <c r="F46" s="4">
        <v>154.91199999999998</v>
      </c>
      <c r="G46" s="4">
        <v>360314.783</v>
      </c>
      <c r="H46" s="4">
        <v>360469.63799999998</v>
      </c>
      <c r="I46" s="5">
        <f>13854 / 86400</f>
        <v>0.16034722222222222</v>
      </c>
      <c r="J46" t="s">
        <v>73</v>
      </c>
      <c r="K46" t="s">
        <v>31</v>
      </c>
      <c r="L46" s="5">
        <f>37315 / 86400</f>
        <v>0.43188657407407405</v>
      </c>
      <c r="M46" s="5">
        <f>49081 / 86400</f>
        <v>0.56806712962962957</v>
      </c>
    </row>
    <row r="47" spans="1:13" x14ac:dyDescent="0.25">
      <c r="A47" t="s">
        <v>457</v>
      </c>
      <c r="B47" s="3">
        <v>45702.272523148145</v>
      </c>
      <c r="C47" t="s">
        <v>86</v>
      </c>
      <c r="D47" s="3">
        <v>45702.94295138889</v>
      </c>
      <c r="E47" t="s">
        <v>86</v>
      </c>
      <c r="F47" s="4">
        <v>120.09700000000001</v>
      </c>
      <c r="G47" s="4">
        <v>81594.570000000007</v>
      </c>
      <c r="H47" s="4">
        <v>81714.667000000001</v>
      </c>
      <c r="I47" s="5">
        <f>14941 / 86400</f>
        <v>0.17292824074074073</v>
      </c>
      <c r="J47" t="s">
        <v>27</v>
      </c>
      <c r="K47" t="s">
        <v>35</v>
      </c>
      <c r="L47" s="5">
        <f>33724 / 86400</f>
        <v>0.3903240740740741</v>
      </c>
      <c r="M47" s="5">
        <f>52672 / 86400</f>
        <v>0.60962962962962963</v>
      </c>
    </row>
    <row r="48" spans="1:13" x14ac:dyDescent="0.25">
      <c r="A48" t="s">
        <v>458</v>
      </c>
      <c r="B48" s="3">
        <v>45702.201782407406</v>
      </c>
      <c r="C48" t="s">
        <v>87</v>
      </c>
      <c r="D48" s="3">
        <v>45702.99998842593</v>
      </c>
      <c r="E48" t="s">
        <v>80</v>
      </c>
      <c r="F48" s="4">
        <v>263.685</v>
      </c>
      <c r="G48" s="4">
        <v>469808.076</v>
      </c>
      <c r="H48" s="4">
        <v>470071.761</v>
      </c>
      <c r="I48" s="5">
        <f>24195 / 86400</f>
        <v>0.2800347222222222</v>
      </c>
      <c r="J48" t="s">
        <v>49</v>
      </c>
      <c r="K48" t="s">
        <v>31</v>
      </c>
      <c r="L48" s="5">
        <f>62170 / 86400</f>
        <v>0.71956018518518516</v>
      </c>
      <c r="M48" s="5">
        <f>24225 / 86400</f>
        <v>0.28038194444444442</v>
      </c>
    </row>
    <row r="49" spans="1:13" x14ac:dyDescent="0.25">
      <c r="A49" t="s">
        <v>459</v>
      </c>
      <c r="B49" s="3">
        <v>45702</v>
      </c>
      <c r="C49" t="s">
        <v>69</v>
      </c>
      <c r="D49" s="3">
        <v>45702.987766203703</v>
      </c>
      <c r="E49" t="s">
        <v>69</v>
      </c>
      <c r="F49" s="4">
        <v>0</v>
      </c>
      <c r="G49" s="4">
        <v>428213.33600000001</v>
      </c>
      <c r="H49" s="4">
        <v>428213.33600000001</v>
      </c>
      <c r="I49" s="5">
        <f>27543 / 86400</f>
        <v>0.31878472222222221</v>
      </c>
      <c r="J49" t="s">
        <v>88</v>
      </c>
      <c r="K49" t="s">
        <v>88</v>
      </c>
      <c r="L49" s="5">
        <f>27706 / 86400</f>
        <v>0.32067129629629632</v>
      </c>
      <c r="M49" s="5">
        <f>58687 / 86400</f>
        <v>0.67924768518518519</v>
      </c>
    </row>
    <row r="50" spans="1:13" x14ac:dyDescent="0.25">
      <c r="A50" t="s">
        <v>460</v>
      </c>
      <c r="B50" s="3">
        <v>45702.183437500003</v>
      </c>
      <c r="C50" t="s">
        <v>29</v>
      </c>
      <c r="D50" s="3">
        <v>45702.884259259255</v>
      </c>
      <c r="E50" t="s">
        <v>29</v>
      </c>
      <c r="F50" s="4">
        <v>208.48</v>
      </c>
      <c r="G50" s="4">
        <v>575570.01100000006</v>
      </c>
      <c r="H50" s="4">
        <v>575778.49100000004</v>
      </c>
      <c r="I50" s="5">
        <f>16750 / 86400</f>
        <v>0.19386574074074073</v>
      </c>
      <c r="J50" t="s">
        <v>89</v>
      </c>
      <c r="K50" t="s">
        <v>31</v>
      </c>
      <c r="L50" s="5">
        <f>49102 / 86400</f>
        <v>0.56831018518518517</v>
      </c>
      <c r="M50" s="5">
        <f>37295 / 86400</f>
        <v>0.4316550925925926</v>
      </c>
    </row>
    <row r="51" spans="1:13" x14ac:dyDescent="0.25">
      <c r="A51" t="s">
        <v>461</v>
      </c>
      <c r="B51" s="3">
        <v>45702.302557870367</v>
      </c>
      <c r="C51" t="s">
        <v>90</v>
      </c>
      <c r="D51" s="3">
        <v>45702.320856481485</v>
      </c>
      <c r="E51" t="s">
        <v>90</v>
      </c>
      <c r="F51" s="4">
        <v>0</v>
      </c>
      <c r="G51" s="4">
        <v>416773.484</v>
      </c>
      <c r="H51" s="4">
        <v>416773.484</v>
      </c>
      <c r="I51" s="5">
        <f>739 / 86400</f>
        <v>8.5532407407407415E-3</v>
      </c>
      <c r="J51" t="s">
        <v>88</v>
      </c>
      <c r="K51" t="s">
        <v>88</v>
      </c>
      <c r="L51" s="5">
        <f>750 / 86400</f>
        <v>8.6805555555555559E-3</v>
      </c>
      <c r="M51" s="5">
        <f>85647 / 86400</f>
        <v>0.99128472222222219</v>
      </c>
    </row>
    <row r="52" spans="1:13" x14ac:dyDescent="0.25">
      <c r="A52" t="s">
        <v>462</v>
      </c>
      <c r="B52" s="3">
        <v>45702</v>
      </c>
      <c r="C52" t="s">
        <v>91</v>
      </c>
      <c r="D52" s="3">
        <v>45702.987708333334</v>
      </c>
      <c r="E52" t="s">
        <v>92</v>
      </c>
      <c r="F52" s="4">
        <v>171.61500000000001</v>
      </c>
      <c r="G52" s="4">
        <v>400684.99099999998</v>
      </c>
      <c r="H52" s="4">
        <v>400856.60600000003</v>
      </c>
      <c r="I52" s="5">
        <f>13615 / 86400</f>
        <v>0.15758101851851852</v>
      </c>
      <c r="J52" t="s">
        <v>39</v>
      </c>
      <c r="K52" t="s">
        <v>34</v>
      </c>
      <c r="L52" s="5">
        <f>39262 / 86400</f>
        <v>0.4544212962962963</v>
      </c>
      <c r="M52" s="5">
        <f>47132 / 86400</f>
        <v>0.5455092592592593</v>
      </c>
    </row>
    <row r="53" spans="1:13" x14ac:dyDescent="0.25">
      <c r="A53" t="s">
        <v>463</v>
      </c>
      <c r="B53" s="3">
        <v>45702.204722222217</v>
      </c>
      <c r="C53" t="s">
        <v>29</v>
      </c>
      <c r="D53" s="3">
        <v>45702.649513888886</v>
      </c>
      <c r="E53" t="s">
        <v>29</v>
      </c>
      <c r="F53" s="4">
        <v>146.072</v>
      </c>
      <c r="G53" s="4">
        <v>382698.30300000001</v>
      </c>
      <c r="H53" s="4">
        <v>382844.375</v>
      </c>
      <c r="I53" s="5">
        <f>10893 / 86400</f>
        <v>0.12607638888888889</v>
      </c>
      <c r="J53" t="s">
        <v>52</v>
      </c>
      <c r="K53" t="s">
        <v>34</v>
      </c>
      <c r="L53" s="5">
        <f>32080 / 86400</f>
        <v>0.37129629629629629</v>
      </c>
      <c r="M53" s="5">
        <f>54315 / 86400</f>
        <v>0.62864583333333335</v>
      </c>
    </row>
    <row r="54" spans="1:13" x14ac:dyDescent="0.25">
      <c r="A54" t="s">
        <v>464</v>
      </c>
      <c r="B54" s="3">
        <v>45702.317789351851</v>
      </c>
      <c r="C54" t="s">
        <v>18</v>
      </c>
      <c r="D54" s="3">
        <v>45702.979999999996</v>
      </c>
      <c r="E54" t="s">
        <v>18</v>
      </c>
      <c r="F54" s="4">
        <v>197.60300000000001</v>
      </c>
      <c r="G54" s="4">
        <v>546324.04700000002</v>
      </c>
      <c r="H54" s="4">
        <v>546521.65</v>
      </c>
      <c r="I54" s="5">
        <f>14831 / 86400</f>
        <v>0.1716550925925926</v>
      </c>
      <c r="J54" t="s">
        <v>93</v>
      </c>
      <c r="K54" t="s">
        <v>34</v>
      </c>
      <c r="L54" s="5">
        <f>44001 / 86400</f>
        <v>0.50927083333333334</v>
      </c>
      <c r="M54" s="5">
        <f>42396 / 86400</f>
        <v>0.49069444444444443</v>
      </c>
    </row>
    <row r="55" spans="1:13" x14ac:dyDescent="0.25">
      <c r="A55" t="s">
        <v>465</v>
      </c>
      <c r="B55" s="3">
        <v>45702.008159722223</v>
      </c>
      <c r="C55" t="s">
        <v>92</v>
      </c>
      <c r="D55" s="3">
        <v>45702.82576388889</v>
      </c>
      <c r="E55" t="s">
        <v>94</v>
      </c>
      <c r="F55" s="4">
        <v>216.667</v>
      </c>
      <c r="G55" s="4">
        <v>103983.429</v>
      </c>
      <c r="H55" s="4">
        <v>104200.09600000001</v>
      </c>
      <c r="I55" s="5">
        <f>15938 / 86400</f>
        <v>0.1844675925925926</v>
      </c>
      <c r="J55" t="s">
        <v>95</v>
      </c>
      <c r="K55" t="s">
        <v>24</v>
      </c>
      <c r="L55" s="5">
        <f>43837 / 86400</f>
        <v>0.50737268518518519</v>
      </c>
      <c r="M55" s="5">
        <f>42562 / 86400</f>
        <v>0.49261574074074072</v>
      </c>
    </row>
    <row r="56" spans="1:13" x14ac:dyDescent="0.25">
      <c r="A56" t="s">
        <v>466</v>
      </c>
      <c r="B56" s="3">
        <v>45702.210416666669</v>
      </c>
      <c r="C56" t="s">
        <v>26</v>
      </c>
      <c r="D56" s="3">
        <v>45702.80263888889</v>
      </c>
      <c r="E56" t="s">
        <v>25</v>
      </c>
      <c r="F56" s="4">
        <v>77.472999999999999</v>
      </c>
      <c r="G56" s="4">
        <v>54475.678</v>
      </c>
      <c r="H56" s="4">
        <v>54553.150999999998</v>
      </c>
      <c r="I56" s="5">
        <f>5786 / 86400</f>
        <v>6.6967592592592592E-2</v>
      </c>
      <c r="J56" t="s">
        <v>44</v>
      </c>
      <c r="K56" t="s">
        <v>31</v>
      </c>
      <c r="L56" s="5">
        <f>18487 / 86400</f>
        <v>0.2139699074074074</v>
      </c>
      <c r="M56" s="5">
        <f>67912 / 86400</f>
        <v>0.78601851851851856</v>
      </c>
    </row>
    <row r="57" spans="1:13" x14ac:dyDescent="0.25">
      <c r="A57" t="s">
        <v>467</v>
      </c>
      <c r="B57" s="3">
        <v>45702.235706018517</v>
      </c>
      <c r="C57" t="s">
        <v>96</v>
      </c>
      <c r="D57" s="3">
        <v>45702.745405092588</v>
      </c>
      <c r="E57" t="s">
        <v>97</v>
      </c>
      <c r="F57" s="4">
        <v>194.91200000000001</v>
      </c>
      <c r="G57" s="4">
        <v>46065.531999999999</v>
      </c>
      <c r="H57" s="4">
        <v>46260.444000000003</v>
      </c>
      <c r="I57" s="5">
        <f>15730 / 86400</f>
        <v>0.18206018518518519</v>
      </c>
      <c r="J57" t="s">
        <v>89</v>
      </c>
      <c r="K57" t="s">
        <v>28</v>
      </c>
      <c r="L57" s="5">
        <f>42414 / 86400</f>
        <v>0.4909027777777778</v>
      </c>
      <c r="M57" s="5">
        <f>43985 / 86400</f>
        <v>0.50908564814814816</v>
      </c>
    </row>
    <row r="58" spans="1:13" x14ac:dyDescent="0.25">
      <c r="A58" t="s">
        <v>468</v>
      </c>
      <c r="B58" s="3">
        <v>45702.164988425924</v>
      </c>
      <c r="C58" t="s">
        <v>98</v>
      </c>
      <c r="D58" s="3">
        <v>45702.907314814816</v>
      </c>
      <c r="E58" t="s">
        <v>98</v>
      </c>
      <c r="F58" s="4">
        <v>293.327</v>
      </c>
      <c r="G58" s="4">
        <v>78991.823000000004</v>
      </c>
      <c r="H58" s="4">
        <v>79285.149999999994</v>
      </c>
      <c r="I58" s="5">
        <f>18393 / 86400</f>
        <v>0.21288194444444444</v>
      </c>
      <c r="J58" t="s">
        <v>27</v>
      </c>
      <c r="K58" t="s">
        <v>99</v>
      </c>
      <c r="L58" s="5">
        <f>56587 / 86400</f>
        <v>0.65494212962962961</v>
      </c>
      <c r="M58" s="5">
        <f>29812 / 86400</f>
        <v>0.3450462962962963</v>
      </c>
    </row>
    <row r="59" spans="1:13" x14ac:dyDescent="0.25">
      <c r="A59" t="s">
        <v>469</v>
      </c>
      <c r="B59" s="3">
        <v>45702</v>
      </c>
      <c r="C59" t="s">
        <v>100</v>
      </c>
      <c r="D59" s="3">
        <v>45702.99998842593</v>
      </c>
      <c r="E59" t="s">
        <v>101</v>
      </c>
      <c r="F59" s="4">
        <v>310.84500000000003</v>
      </c>
      <c r="G59" s="4">
        <v>40546.262999999999</v>
      </c>
      <c r="H59" s="4">
        <v>40857.108</v>
      </c>
      <c r="I59" s="5">
        <f>20014 / 86400</f>
        <v>0.23164351851851853</v>
      </c>
      <c r="J59" t="s">
        <v>23</v>
      </c>
      <c r="K59" t="s">
        <v>24</v>
      </c>
      <c r="L59" s="5">
        <f>60845 / 86400</f>
        <v>0.70422453703703702</v>
      </c>
      <c r="M59" s="5">
        <f>25554 / 86400</f>
        <v>0.29576388888888888</v>
      </c>
    </row>
    <row r="60" spans="1:13" x14ac:dyDescent="0.25">
      <c r="A60" t="s">
        <v>470</v>
      </c>
      <c r="B60" s="3">
        <v>45702.259733796294</v>
      </c>
      <c r="C60" t="s">
        <v>102</v>
      </c>
      <c r="D60" s="3">
        <v>45702.999965277777</v>
      </c>
      <c r="E60" t="s">
        <v>103</v>
      </c>
      <c r="F60" s="4">
        <v>218.72300000000001</v>
      </c>
      <c r="G60" s="4">
        <v>192287.541</v>
      </c>
      <c r="H60" s="4">
        <v>192506.264</v>
      </c>
      <c r="I60" s="5">
        <f>15755 / 86400</f>
        <v>0.18234953703703705</v>
      </c>
      <c r="J60" t="s">
        <v>33</v>
      </c>
      <c r="K60" t="s">
        <v>34</v>
      </c>
      <c r="L60" s="5">
        <f>50630 / 86400</f>
        <v>0.58599537037037042</v>
      </c>
      <c r="M60" s="5">
        <f>35765 / 86400</f>
        <v>0.41394675925925928</v>
      </c>
    </row>
    <row r="61" spans="1:13" x14ac:dyDescent="0.25">
      <c r="A61" t="s">
        <v>471</v>
      </c>
      <c r="B61" s="3">
        <v>45702.201319444444</v>
      </c>
      <c r="C61" t="s">
        <v>86</v>
      </c>
      <c r="D61" s="3">
        <v>45702.99998842593</v>
      </c>
      <c r="E61" t="s">
        <v>104</v>
      </c>
      <c r="F61" s="4">
        <v>261.166</v>
      </c>
      <c r="G61" s="4">
        <v>523050.52600000001</v>
      </c>
      <c r="H61" s="4">
        <v>523311.69199999998</v>
      </c>
      <c r="I61" s="5">
        <f>25476 / 86400</f>
        <v>0.29486111111111113</v>
      </c>
      <c r="J61" t="s">
        <v>105</v>
      </c>
      <c r="K61" t="s">
        <v>31</v>
      </c>
      <c r="L61" s="5">
        <f>62656 / 86400</f>
        <v>0.72518518518518515</v>
      </c>
      <c r="M61" s="5">
        <f>23742 / 86400</f>
        <v>0.27479166666666666</v>
      </c>
    </row>
    <row r="62" spans="1:13" x14ac:dyDescent="0.25">
      <c r="A62" t="s">
        <v>472</v>
      </c>
      <c r="B62" s="3">
        <v>45702.267870370371</v>
      </c>
      <c r="C62" t="s">
        <v>94</v>
      </c>
      <c r="D62" s="3">
        <v>45702.812326388885</v>
      </c>
      <c r="E62" t="s">
        <v>94</v>
      </c>
      <c r="F62" s="4">
        <v>184.62199999999999</v>
      </c>
      <c r="G62" s="4">
        <v>23039.868999999999</v>
      </c>
      <c r="H62" s="4">
        <v>23224.491000000002</v>
      </c>
      <c r="I62" s="5">
        <f>13137 / 86400</f>
        <v>0.15204861111111112</v>
      </c>
      <c r="J62" t="s">
        <v>44</v>
      </c>
      <c r="K62" t="s">
        <v>31</v>
      </c>
      <c r="L62" s="5">
        <f>42901 / 86400</f>
        <v>0.49653935185185183</v>
      </c>
      <c r="M62" s="5">
        <f>43489 / 86400</f>
        <v>0.50334490740740745</v>
      </c>
    </row>
    <row r="63" spans="1:13" x14ac:dyDescent="0.25">
      <c r="A63" t="s">
        <v>473</v>
      </c>
      <c r="B63" s="3">
        <v>45702.20616898148</v>
      </c>
      <c r="C63" t="s">
        <v>38</v>
      </c>
      <c r="D63" s="3">
        <v>45702.736180555556</v>
      </c>
      <c r="E63" t="s">
        <v>38</v>
      </c>
      <c r="F63" s="4">
        <v>187.42500000000001</v>
      </c>
      <c r="G63" s="4">
        <v>64170.705999999998</v>
      </c>
      <c r="H63" s="4">
        <v>64358.131000000001</v>
      </c>
      <c r="I63" s="5">
        <f>15733 / 86400</f>
        <v>0.18209490740740741</v>
      </c>
      <c r="J63" t="s">
        <v>20</v>
      </c>
      <c r="K63" t="s">
        <v>34</v>
      </c>
      <c r="L63" s="5">
        <f>42690 / 86400</f>
        <v>0.49409722222222224</v>
      </c>
      <c r="M63" s="5">
        <f>43707 / 86400</f>
        <v>0.50586805555555558</v>
      </c>
    </row>
    <row r="64" spans="1:13" x14ac:dyDescent="0.25">
      <c r="A64" t="s">
        <v>474</v>
      </c>
      <c r="B64" s="3">
        <v>45702.271562499998</v>
      </c>
      <c r="C64" t="s">
        <v>70</v>
      </c>
      <c r="D64" s="3">
        <v>45702.777280092589</v>
      </c>
      <c r="E64" t="s">
        <v>70</v>
      </c>
      <c r="F64" s="4">
        <v>172.667</v>
      </c>
      <c r="G64" s="4">
        <v>5444.518</v>
      </c>
      <c r="H64" s="4">
        <v>5617.1850000000004</v>
      </c>
      <c r="I64" s="5">
        <f>13115 / 86400</f>
        <v>0.15179398148148149</v>
      </c>
      <c r="J64" t="s">
        <v>106</v>
      </c>
      <c r="K64" t="s">
        <v>34</v>
      </c>
      <c r="L64" s="5">
        <f>38279 / 86400</f>
        <v>0.4430439814814815</v>
      </c>
      <c r="M64" s="5">
        <f>48117 / 86400</f>
        <v>0.55690972222222224</v>
      </c>
    </row>
    <row r="65" spans="1:13" x14ac:dyDescent="0.25">
      <c r="A65" t="s">
        <v>475</v>
      </c>
      <c r="B65" s="3">
        <v>45702</v>
      </c>
      <c r="C65" t="s">
        <v>107</v>
      </c>
      <c r="D65" s="3">
        <v>45702.99998842593</v>
      </c>
      <c r="E65" t="s">
        <v>108</v>
      </c>
      <c r="F65" s="4">
        <v>269.44799999999998</v>
      </c>
      <c r="G65" s="4">
        <v>408119.55</v>
      </c>
      <c r="H65" s="4">
        <v>408388.99800000002</v>
      </c>
      <c r="I65" s="5">
        <f>18259 / 86400</f>
        <v>0.21133101851851852</v>
      </c>
      <c r="J65" t="s">
        <v>49</v>
      </c>
      <c r="K65" t="s">
        <v>28</v>
      </c>
      <c r="L65" s="5">
        <f>55964 / 86400</f>
        <v>0.64773148148148152</v>
      </c>
      <c r="M65" s="5">
        <f>30429 / 86400</f>
        <v>0.35218749999999999</v>
      </c>
    </row>
    <row r="66" spans="1:13" x14ac:dyDescent="0.25">
      <c r="A66" t="s">
        <v>476</v>
      </c>
      <c r="B66" s="3">
        <v>45702</v>
      </c>
      <c r="C66" t="s">
        <v>109</v>
      </c>
      <c r="D66" s="3">
        <v>45702.99998842593</v>
      </c>
      <c r="E66" t="s">
        <v>110</v>
      </c>
      <c r="F66" s="4">
        <v>302.125</v>
      </c>
      <c r="G66" s="4">
        <v>550312.91799999995</v>
      </c>
      <c r="H66" s="4">
        <v>550615.04299999995</v>
      </c>
      <c r="I66" s="5">
        <f>21635 / 86400</f>
        <v>0.25040509259259258</v>
      </c>
      <c r="J66" t="s">
        <v>89</v>
      </c>
      <c r="K66" t="s">
        <v>34</v>
      </c>
      <c r="L66" s="5">
        <f>67416 / 86400</f>
        <v>0.78027777777777774</v>
      </c>
      <c r="M66" s="5">
        <f>18981 / 86400</f>
        <v>0.21968750000000001</v>
      </c>
    </row>
    <row r="67" spans="1:13" x14ac:dyDescent="0.25">
      <c r="A67" t="s">
        <v>477</v>
      </c>
      <c r="B67" s="3">
        <v>45702</v>
      </c>
      <c r="C67" t="s">
        <v>111</v>
      </c>
      <c r="D67" s="3">
        <v>45702.93614583333</v>
      </c>
      <c r="E67" t="s">
        <v>29</v>
      </c>
      <c r="F67" s="4">
        <v>1208.93</v>
      </c>
      <c r="G67" s="4">
        <v>52753.599999999999</v>
      </c>
      <c r="H67" s="4">
        <v>53962.53</v>
      </c>
      <c r="I67" s="5">
        <f>13811 / 86400</f>
        <v>0.15984953703703703</v>
      </c>
      <c r="J67" t="s">
        <v>23</v>
      </c>
      <c r="K67" t="s">
        <v>84</v>
      </c>
      <c r="L67" s="5">
        <f>48853 / 86400</f>
        <v>0.56542824074074072</v>
      </c>
      <c r="M67" s="5">
        <f>37540 / 86400</f>
        <v>0.43449074074074073</v>
      </c>
    </row>
    <row r="68" spans="1:13" x14ac:dyDescent="0.25">
      <c r="A68" t="s">
        <v>478</v>
      </c>
      <c r="B68" s="3">
        <v>45702</v>
      </c>
      <c r="C68" t="s">
        <v>111</v>
      </c>
      <c r="D68" s="3">
        <v>45702.99998842593</v>
      </c>
      <c r="E68" t="s">
        <v>112</v>
      </c>
      <c r="F68" s="4">
        <v>295.91700000000003</v>
      </c>
      <c r="G68" s="4">
        <v>59499.010999999999</v>
      </c>
      <c r="H68" s="4">
        <v>59794.928</v>
      </c>
      <c r="I68" s="5">
        <f>21808 / 86400</f>
        <v>0.25240740740740741</v>
      </c>
      <c r="J68" t="s">
        <v>27</v>
      </c>
      <c r="K68" t="s">
        <v>34</v>
      </c>
      <c r="L68" s="5">
        <f>64686 / 86400</f>
        <v>0.74868055555555557</v>
      </c>
      <c r="M68" s="5">
        <f>21700 / 86400</f>
        <v>0.25115740740740738</v>
      </c>
    </row>
    <row r="69" spans="1:13" x14ac:dyDescent="0.25">
      <c r="A69" t="s">
        <v>479</v>
      </c>
      <c r="B69" s="3">
        <v>45702</v>
      </c>
      <c r="C69" t="s">
        <v>113</v>
      </c>
      <c r="D69" s="3">
        <v>45702.99998842593</v>
      </c>
      <c r="E69" t="s">
        <v>114</v>
      </c>
      <c r="F69" s="4">
        <v>393.77600000000001</v>
      </c>
      <c r="G69" s="4">
        <v>63202.423999999999</v>
      </c>
      <c r="H69" s="4">
        <v>63596.2</v>
      </c>
      <c r="I69" s="5">
        <f>28986 / 86400</f>
        <v>0.3354861111111111</v>
      </c>
      <c r="J69" t="s">
        <v>36</v>
      </c>
      <c r="K69" t="s">
        <v>24</v>
      </c>
      <c r="L69" s="5">
        <f>78036 / 86400</f>
        <v>0.90319444444444441</v>
      </c>
      <c r="M69" s="5">
        <f>8360 / 86400</f>
        <v>9.6759259259259253E-2</v>
      </c>
    </row>
    <row r="70" spans="1:13" x14ac:dyDescent="0.25">
      <c r="A70" t="s">
        <v>480</v>
      </c>
      <c r="B70" s="3">
        <v>45702</v>
      </c>
      <c r="C70" t="s">
        <v>115</v>
      </c>
      <c r="D70" s="3">
        <v>45702.99998842593</v>
      </c>
      <c r="E70" t="s">
        <v>47</v>
      </c>
      <c r="F70" s="4">
        <v>156.73899999999998</v>
      </c>
      <c r="G70" s="4">
        <v>291806.89799999999</v>
      </c>
      <c r="H70" s="4">
        <v>291963.63699999999</v>
      </c>
      <c r="I70" s="5">
        <f>16643 / 86400</f>
        <v>0.19262731481481482</v>
      </c>
      <c r="J70" t="s">
        <v>116</v>
      </c>
      <c r="K70" t="s">
        <v>31</v>
      </c>
      <c r="L70" s="5">
        <f>36995 / 86400</f>
        <v>0.42818287037037039</v>
      </c>
      <c r="M70" s="5">
        <f>49404 / 86400</f>
        <v>0.57180555555555557</v>
      </c>
    </row>
    <row r="71" spans="1:13" x14ac:dyDescent="0.25">
      <c r="A71" s="6" t="s">
        <v>117</v>
      </c>
      <c r="B71" s="6" t="s">
        <v>118</v>
      </c>
      <c r="C71" s="6" t="s">
        <v>118</v>
      </c>
      <c r="D71" s="6" t="s">
        <v>118</v>
      </c>
      <c r="E71" s="6" t="s">
        <v>118</v>
      </c>
      <c r="F71" s="7">
        <v>13494.287658857405</v>
      </c>
      <c r="G71" s="6" t="s">
        <v>118</v>
      </c>
      <c r="H71" s="6" t="s">
        <v>118</v>
      </c>
      <c r="I71" s="8">
        <f>1010617 / 86400</f>
        <v>11.696956018518518</v>
      </c>
      <c r="J71" s="6" t="s">
        <v>118</v>
      </c>
      <c r="K71" s="6" t="s">
        <v>118</v>
      </c>
      <c r="L71" s="8">
        <f>2816148 / 86400</f>
        <v>32.594305555555557</v>
      </c>
      <c r="M71" s="8">
        <f>2626750 / 86400</f>
        <v>30.402199074074073</v>
      </c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9" customFormat="1" x14ac:dyDescent="0.25">
      <c r="A73" s="14" t="s">
        <v>119</v>
      </c>
      <c r="B73" s="14"/>
      <c r="C73" s="14"/>
      <c r="D73" s="14"/>
      <c r="E73" s="14"/>
      <c r="F73" s="14"/>
      <c r="G73" s="14"/>
      <c r="H73" s="14"/>
      <c r="I73" s="14"/>
      <c r="J73" s="14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s="10" customFormat="1" ht="20.100000000000001" customHeight="1" x14ac:dyDescent="0.35">
      <c r="A76" s="15" t="s">
        <v>418</v>
      </c>
      <c r="B76" s="15"/>
      <c r="C76" s="15"/>
      <c r="D76" s="15"/>
      <c r="E76" s="15"/>
      <c r="F76" s="15"/>
      <c r="G76" s="15"/>
      <c r="H76" s="15"/>
      <c r="I76" s="15"/>
      <c r="J76" s="15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45702</v>
      </c>
      <c r="B79" t="s">
        <v>18</v>
      </c>
      <c r="C79" s="3">
        <v>45702.000798611116</v>
      </c>
      <c r="D79" t="s">
        <v>18</v>
      </c>
      <c r="E79" s="4">
        <v>1.0999999999999999E-2</v>
      </c>
      <c r="F79" s="4">
        <v>514354.94500000001</v>
      </c>
      <c r="G79" s="4">
        <v>514354.95600000001</v>
      </c>
      <c r="H79" s="5">
        <f>60 / 86400</f>
        <v>6.9444444444444447E-4</v>
      </c>
      <c r="I79" t="s">
        <v>88</v>
      </c>
      <c r="J79" t="s">
        <v>120</v>
      </c>
      <c r="K79" s="5">
        <f>69 / 86400</f>
        <v>7.9861111111111116E-4</v>
      </c>
      <c r="L79" s="5">
        <f>60118 / 86400</f>
        <v>0.69581018518518523</v>
      </c>
    </row>
    <row r="80" spans="1:13" x14ac:dyDescent="0.25">
      <c r="A80" s="3">
        <v>45702.696608796294</v>
      </c>
      <c r="B80" t="s">
        <v>18</v>
      </c>
      <c r="C80" s="3">
        <v>45702.699756944443</v>
      </c>
      <c r="D80" t="s">
        <v>18</v>
      </c>
      <c r="E80" s="4">
        <v>0</v>
      </c>
      <c r="F80" s="4">
        <v>514354.95600000001</v>
      </c>
      <c r="G80" s="4">
        <v>514354.95600000001</v>
      </c>
      <c r="H80" s="5">
        <f>259 / 86400</f>
        <v>2.9976851851851853E-3</v>
      </c>
      <c r="I80" t="s">
        <v>88</v>
      </c>
      <c r="J80" t="s">
        <v>88</v>
      </c>
      <c r="K80" s="5">
        <f>271 / 86400</f>
        <v>3.1365740740740742E-3</v>
      </c>
      <c r="L80" s="5">
        <f>109 / 86400</f>
        <v>1.261574074074074E-3</v>
      </c>
    </row>
    <row r="81" spans="1:12" x14ac:dyDescent="0.25">
      <c r="A81" s="3">
        <v>45702.701018518521</v>
      </c>
      <c r="B81" t="s">
        <v>18</v>
      </c>
      <c r="C81" s="3">
        <v>45702.777002314819</v>
      </c>
      <c r="D81" t="s">
        <v>121</v>
      </c>
      <c r="E81" s="4">
        <v>41.399000000000001</v>
      </c>
      <c r="F81" s="4">
        <v>514354.95600000001</v>
      </c>
      <c r="G81" s="4">
        <v>514396.35499999998</v>
      </c>
      <c r="H81" s="5">
        <f>1759 / 86400</f>
        <v>2.0358796296296295E-2</v>
      </c>
      <c r="I81" t="s">
        <v>20</v>
      </c>
      <c r="J81" t="s">
        <v>37</v>
      </c>
      <c r="K81" s="5">
        <f>6565 / 86400</f>
        <v>7.5983796296296299E-2</v>
      </c>
      <c r="L81" s="5">
        <f>161 / 86400</f>
        <v>1.8634259259259259E-3</v>
      </c>
    </row>
    <row r="82" spans="1:12" x14ac:dyDescent="0.25">
      <c r="A82" s="3">
        <v>45702.778865740736</v>
      </c>
      <c r="B82" t="s">
        <v>121</v>
      </c>
      <c r="C82" s="3">
        <v>45702.781597222223</v>
      </c>
      <c r="D82" t="s">
        <v>19</v>
      </c>
      <c r="E82" s="4">
        <v>0.52900000000000003</v>
      </c>
      <c r="F82" s="4">
        <v>514396.35499999998</v>
      </c>
      <c r="G82" s="4">
        <v>514396.88400000002</v>
      </c>
      <c r="H82" s="5">
        <f>59 / 86400</f>
        <v>6.8287037037037036E-4</v>
      </c>
      <c r="I82" t="s">
        <v>122</v>
      </c>
      <c r="J82" t="s">
        <v>123</v>
      </c>
      <c r="K82" s="5">
        <f>236 / 86400</f>
        <v>2.7314814814814814E-3</v>
      </c>
      <c r="L82" s="5">
        <f>18869 / 86400</f>
        <v>0.21839120370370371</v>
      </c>
    </row>
    <row r="83" spans="1:1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2" s="10" customFormat="1" ht="20.100000000000001" customHeight="1" x14ac:dyDescent="0.35">
      <c r="A85" s="15" t="s">
        <v>419</v>
      </c>
      <c r="B85" s="15"/>
      <c r="C85" s="15"/>
      <c r="D85" s="15"/>
      <c r="E85" s="15"/>
      <c r="F85" s="15"/>
      <c r="G85" s="15"/>
      <c r="H85" s="15"/>
      <c r="I85" s="15"/>
      <c r="J85" s="15"/>
    </row>
    <row r="86" spans="1:1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2" ht="30" x14ac:dyDescent="0.25">
      <c r="A87" s="2" t="s">
        <v>6</v>
      </c>
      <c r="B87" s="2" t="s">
        <v>7</v>
      </c>
      <c r="C87" s="2" t="s">
        <v>8</v>
      </c>
      <c r="D87" s="2" t="s">
        <v>9</v>
      </c>
      <c r="E87" s="2" t="s">
        <v>10</v>
      </c>
      <c r="F87" s="2" t="s">
        <v>11</v>
      </c>
      <c r="G87" s="2" t="s">
        <v>12</v>
      </c>
      <c r="H87" s="2" t="s">
        <v>13</v>
      </c>
      <c r="I87" s="2" t="s">
        <v>14</v>
      </c>
      <c r="J87" s="2" t="s">
        <v>15</v>
      </c>
      <c r="K87" s="2" t="s">
        <v>16</v>
      </c>
      <c r="L87" s="2" t="s">
        <v>17</v>
      </c>
    </row>
    <row r="88" spans="1:12" x14ac:dyDescent="0.25">
      <c r="A88" s="3">
        <v>45702.098356481481</v>
      </c>
      <c r="B88" t="s">
        <v>22</v>
      </c>
      <c r="C88" s="3">
        <v>45702.287361111114</v>
      </c>
      <c r="D88" t="s">
        <v>124</v>
      </c>
      <c r="E88" s="4">
        <v>103.541</v>
      </c>
      <c r="F88" s="4">
        <v>19422.485000000001</v>
      </c>
      <c r="G88" s="4">
        <v>19526.026000000002</v>
      </c>
      <c r="H88" s="5">
        <f>4321 / 86400</f>
        <v>5.0011574074074076E-2</v>
      </c>
      <c r="I88" t="s">
        <v>23</v>
      </c>
      <c r="J88" t="s">
        <v>37</v>
      </c>
      <c r="K88" s="5">
        <f>16329 / 86400</f>
        <v>0.18899305555555557</v>
      </c>
      <c r="L88" s="5">
        <f>9066 / 86400</f>
        <v>0.10493055555555555</v>
      </c>
    </row>
    <row r="89" spans="1:12" x14ac:dyDescent="0.25">
      <c r="A89" s="3">
        <v>45702.293935185182</v>
      </c>
      <c r="B89" t="s">
        <v>124</v>
      </c>
      <c r="C89" s="3">
        <v>45702.294340277775</v>
      </c>
      <c r="D89" t="s">
        <v>125</v>
      </c>
      <c r="E89" s="4">
        <v>4.2999999999999997E-2</v>
      </c>
      <c r="F89" s="4">
        <v>19526.026000000002</v>
      </c>
      <c r="G89" s="4">
        <v>19526.069</v>
      </c>
      <c r="H89" s="5">
        <f>0 / 86400</f>
        <v>0</v>
      </c>
      <c r="I89" t="s">
        <v>126</v>
      </c>
      <c r="J89" t="s">
        <v>127</v>
      </c>
      <c r="K89" s="5">
        <f>34 / 86400</f>
        <v>3.9351851851851852E-4</v>
      </c>
      <c r="L89" s="5">
        <f>127 / 86400</f>
        <v>1.4699074074074074E-3</v>
      </c>
    </row>
    <row r="90" spans="1:12" x14ac:dyDescent="0.25">
      <c r="A90" s="3">
        <v>45702.295810185184</v>
      </c>
      <c r="B90" t="s">
        <v>125</v>
      </c>
      <c r="C90" s="3">
        <v>45702.551493055551</v>
      </c>
      <c r="D90" t="s">
        <v>128</v>
      </c>
      <c r="E90" s="4">
        <v>101.98399999999999</v>
      </c>
      <c r="F90" s="4">
        <v>19526.069</v>
      </c>
      <c r="G90" s="4">
        <v>19628.053</v>
      </c>
      <c r="H90" s="5">
        <f>7120 / 86400</f>
        <v>8.2407407407407401E-2</v>
      </c>
      <c r="I90" t="s">
        <v>27</v>
      </c>
      <c r="J90" t="s">
        <v>28</v>
      </c>
      <c r="K90" s="5">
        <f>22091 / 86400</f>
        <v>0.25568287037037035</v>
      </c>
      <c r="L90" s="5">
        <f>292 / 86400</f>
        <v>3.3796296296296296E-3</v>
      </c>
    </row>
    <row r="91" spans="1:12" x14ac:dyDescent="0.25">
      <c r="A91" s="3">
        <v>45702.554872685185</v>
      </c>
      <c r="B91" t="s">
        <v>128</v>
      </c>
      <c r="C91" s="3">
        <v>45702.556435185186</v>
      </c>
      <c r="D91" t="s">
        <v>129</v>
      </c>
      <c r="E91" s="4">
        <v>0.30399999999999999</v>
      </c>
      <c r="F91" s="4">
        <v>19628.053</v>
      </c>
      <c r="G91" s="4">
        <v>19628.357</v>
      </c>
      <c r="H91" s="5">
        <f>0 / 86400</f>
        <v>0</v>
      </c>
      <c r="I91" t="s">
        <v>31</v>
      </c>
      <c r="J91" t="s">
        <v>123</v>
      </c>
      <c r="K91" s="5">
        <f>135 / 86400</f>
        <v>1.5625000000000001E-3</v>
      </c>
      <c r="L91" s="5">
        <f>617 / 86400</f>
        <v>7.1412037037037034E-3</v>
      </c>
    </row>
    <row r="92" spans="1:12" x14ac:dyDescent="0.25">
      <c r="A92" s="3">
        <v>45702.563576388886</v>
      </c>
      <c r="B92" t="s">
        <v>129</v>
      </c>
      <c r="C92" s="3">
        <v>45702.564918981487</v>
      </c>
      <c r="D92" t="s">
        <v>22</v>
      </c>
      <c r="E92" s="4">
        <v>0.26100000000000001</v>
      </c>
      <c r="F92" s="4">
        <v>19628.357</v>
      </c>
      <c r="G92" s="4">
        <v>19628.617999999999</v>
      </c>
      <c r="H92" s="5">
        <f>20 / 86400</f>
        <v>2.3148148148148149E-4</v>
      </c>
      <c r="I92" t="s">
        <v>130</v>
      </c>
      <c r="J92" t="s">
        <v>123</v>
      </c>
      <c r="K92" s="5">
        <f>116 / 86400</f>
        <v>1.3425925925925925E-3</v>
      </c>
      <c r="L92" s="5">
        <f>8787 / 86400</f>
        <v>0.10170138888888888</v>
      </c>
    </row>
    <row r="93" spans="1:12" x14ac:dyDescent="0.25">
      <c r="A93" s="3">
        <v>45702.666620370372</v>
      </c>
      <c r="B93" t="s">
        <v>22</v>
      </c>
      <c r="C93" s="3">
        <v>45702.670335648145</v>
      </c>
      <c r="D93" t="s">
        <v>128</v>
      </c>
      <c r="E93" s="4">
        <v>0.54</v>
      </c>
      <c r="F93" s="4">
        <v>19628.617999999999</v>
      </c>
      <c r="G93" s="4">
        <v>19629.157999999999</v>
      </c>
      <c r="H93" s="5">
        <f>159 / 86400</f>
        <v>1.8402777777777777E-3</v>
      </c>
      <c r="I93" t="s">
        <v>131</v>
      </c>
      <c r="J93" t="s">
        <v>132</v>
      </c>
      <c r="K93" s="5">
        <f>321 / 86400</f>
        <v>3.7152777777777778E-3</v>
      </c>
      <c r="L93" s="5">
        <f>84 / 86400</f>
        <v>9.7222222222222219E-4</v>
      </c>
    </row>
    <row r="94" spans="1:12" x14ac:dyDescent="0.25">
      <c r="A94" s="3">
        <v>45702.671307870369</v>
      </c>
      <c r="B94" t="s">
        <v>128</v>
      </c>
      <c r="C94" s="3">
        <v>45702.927303240736</v>
      </c>
      <c r="D94" t="s">
        <v>128</v>
      </c>
      <c r="E94" s="4">
        <v>95.188000000000002</v>
      </c>
      <c r="F94" s="4">
        <v>19629.157999999999</v>
      </c>
      <c r="G94" s="4">
        <v>19724.346000000001</v>
      </c>
      <c r="H94" s="5">
        <f>6758 / 86400</f>
        <v>7.8217592592592589E-2</v>
      </c>
      <c r="I94" t="s">
        <v>71</v>
      </c>
      <c r="J94" t="s">
        <v>31</v>
      </c>
      <c r="K94" s="5">
        <f>22117 / 86400</f>
        <v>0.25598379629629631</v>
      </c>
      <c r="L94" s="5">
        <f>643 / 86400</f>
        <v>7.4421296296296293E-3</v>
      </c>
    </row>
    <row r="95" spans="1:12" x14ac:dyDescent="0.25">
      <c r="A95" s="3">
        <v>45702.934745370367</v>
      </c>
      <c r="B95" t="s">
        <v>128</v>
      </c>
      <c r="C95" s="3">
        <v>45702.937453703707</v>
      </c>
      <c r="D95" t="s">
        <v>22</v>
      </c>
      <c r="E95" s="4">
        <v>0.79200000000000004</v>
      </c>
      <c r="F95" s="4">
        <v>19724.346000000001</v>
      </c>
      <c r="G95" s="4">
        <v>19725.137999999999</v>
      </c>
      <c r="H95" s="5">
        <f>0 / 86400</f>
        <v>0</v>
      </c>
      <c r="I95" t="s">
        <v>133</v>
      </c>
      <c r="J95" t="s">
        <v>62</v>
      </c>
      <c r="K95" s="5">
        <f>234 / 86400</f>
        <v>2.7083333333333334E-3</v>
      </c>
      <c r="L95" s="5">
        <f>5403 / 86400</f>
        <v>6.2534722222222228E-2</v>
      </c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2" s="10" customFormat="1" ht="20.100000000000001" customHeight="1" x14ac:dyDescent="0.35">
      <c r="A98" s="15" t="s">
        <v>420</v>
      </c>
      <c r="B98" s="15"/>
      <c r="C98" s="15"/>
      <c r="D98" s="15"/>
      <c r="E98" s="15"/>
      <c r="F98" s="15"/>
      <c r="G98" s="15"/>
      <c r="H98" s="15"/>
      <c r="I98" s="15"/>
      <c r="J98" s="15"/>
    </row>
    <row r="99" spans="1:1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2" ht="30" x14ac:dyDescent="0.25">
      <c r="A100" s="2" t="s">
        <v>6</v>
      </c>
      <c r="B100" s="2" t="s">
        <v>7</v>
      </c>
      <c r="C100" s="2" t="s">
        <v>8</v>
      </c>
      <c r="D100" s="2" t="s">
        <v>9</v>
      </c>
      <c r="E100" s="2" t="s">
        <v>10</v>
      </c>
      <c r="F100" s="2" t="s">
        <v>11</v>
      </c>
      <c r="G100" s="2" t="s">
        <v>12</v>
      </c>
      <c r="H100" s="2" t="s">
        <v>13</v>
      </c>
      <c r="I100" s="2" t="s">
        <v>14</v>
      </c>
      <c r="J100" s="2" t="s">
        <v>15</v>
      </c>
      <c r="K100" s="2" t="s">
        <v>16</v>
      </c>
      <c r="L100" s="2" t="s">
        <v>17</v>
      </c>
    </row>
    <row r="101" spans="1:12" x14ac:dyDescent="0.25">
      <c r="A101" s="3">
        <v>45702.234837962962</v>
      </c>
      <c r="B101" t="s">
        <v>25</v>
      </c>
      <c r="C101" s="3">
        <v>45702.248449074075</v>
      </c>
      <c r="D101" t="s">
        <v>103</v>
      </c>
      <c r="E101" s="4">
        <v>8.8979999999999997</v>
      </c>
      <c r="F101" s="4">
        <v>328634.64600000001</v>
      </c>
      <c r="G101" s="4">
        <v>328643.54399999999</v>
      </c>
      <c r="H101" s="5">
        <f>179 / 86400</f>
        <v>2.0717592592592593E-3</v>
      </c>
      <c r="I101" t="s">
        <v>134</v>
      </c>
      <c r="J101" t="s">
        <v>135</v>
      </c>
      <c r="K101" s="5">
        <f>1176 / 86400</f>
        <v>1.361111111111111E-2</v>
      </c>
      <c r="L101" s="5">
        <f>20402 / 86400</f>
        <v>0.23613425925925927</v>
      </c>
    </row>
    <row r="102" spans="1:12" x14ac:dyDescent="0.25">
      <c r="A102" s="3">
        <v>45702.249745370369</v>
      </c>
      <c r="B102" t="s">
        <v>103</v>
      </c>
      <c r="C102" s="3">
        <v>45702.270995370374</v>
      </c>
      <c r="D102" t="s">
        <v>111</v>
      </c>
      <c r="E102" s="4">
        <v>11.255000000000001</v>
      </c>
      <c r="F102" s="4">
        <v>328643.54399999999</v>
      </c>
      <c r="G102" s="4">
        <v>328654.799</v>
      </c>
      <c r="H102" s="5">
        <f>580 / 86400</f>
        <v>6.7129629629629631E-3</v>
      </c>
      <c r="I102" t="s">
        <v>56</v>
      </c>
      <c r="J102" t="s">
        <v>130</v>
      </c>
      <c r="K102" s="5">
        <f>1835 / 86400</f>
        <v>2.1238425925925924E-2</v>
      </c>
      <c r="L102" s="5">
        <f>8 / 86400</f>
        <v>9.2592592592592588E-5</v>
      </c>
    </row>
    <row r="103" spans="1:12" x14ac:dyDescent="0.25">
      <c r="A103" s="3">
        <v>45702.271087962959</v>
      </c>
      <c r="B103" t="s">
        <v>111</v>
      </c>
      <c r="C103" s="3">
        <v>45702.309097222227</v>
      </c>
      <c r="D103" t="s">
        <v>136</v>
      </c>
      <c r="E103" s="4">
        <v>16.821999999999999</v>
      </c>
      <c r="F103" s="4">
        <v>328654.799</v>
      </c>
      <c r="G103" s="4">
        <v>328671.62099999998</v>
      </c>
      <c r="H103" s="5">
        <f>899 / 86400</f>
        <v>1.0405092592592593E-2</v>
      </c>
      <c r="I103" t="s">
        <v>58</v>
      </c>
      <c r="J103" t="s">
        <v>24</v>
      </c>
      <c r="K103" s="5">
        <f>3283 / 86400</f>
        <v>3.7997685185185183E-2</v>
      </c>
      <c r="L103" s="5">
        <f>420 / 86400</f>
        <v>4.8611111111111112E-3</v>
      </c>
    </row>
    <row r="104" spans="1:12" x14ac:dyDescent="0.25">
      <c r="A104" s="3">
        <v>45702.313958333332</v>
      </c>
      <c r="B104" t="s">
        <v>136</v>
      </c>
      <c r="C104" s="3">
        <v>45702.314212962963</v>
      </c>
      <c r="D104" t="s">
        <v>136</v>
      </c>
      <c r="E104" s="4">
        <v>4.4999999999999998E-2</v>
      </c>
      <c r="F104" s="4">
        <v>328671.62099999998</v>
      </c>
      <c r="G104" s="4">
        <v>328671.66600000003</v>
      </c>
      <c r="H104" s="5">
        <f>0 / 86400</f>
        <v>0</v>
      </c>
      <c r="I104" t="s">
        <v>127</v>
      </c>
      <c r="J104" t="s">
        <v>123</v>
      </c>
      <c r="K104" s="5">
        <f>21 / 86400</f>
        <v>2.4305555555555555E-4</v>
      </c>
      <c r="L104" s="5">
        <f>167 / 86400</f>
        <v>1.9328703703703704E-3</v>
      </c>
    </row>
    <row r="105" spans="1:12" x14ac:dyDescent="0.25">
      <c r="A105" s="3">
        <v>45702.316145833334</v>
      </c>
      <c r="B105" t="s">
        <v>136</v>
      </c>
      <c r="C105" s="3">
        <v>45702.426666666666</v>
      </c>
      <c r="D105" t="s">
        <v>128</v>
      </c>
      <c r="E105" s="4">
        <v>43.207000000000001</v>
      </c>
      <c r="F105" s="4">
        <v>328671.66600000003</v>
      </c>
      <c r="G105" s="4">
        <v>328714.87300000002</v>
      </c>
      <c r="H105" s="5">
        <f>3569 / 86400</f>
        <v>4.130787037037037E-2</v>
      </c>
      <c r="I105" t="s">
        <v>27</v>
      </c>
      <c r="J105" t="s">
        <v>34</v>
      </c>
      <c r="K105" s="5">
        <f>9548 / 86400</f>
        <v>0.11050925925925927</v>
      </c>
      <c r="L105" s="5">
        <f>315 / 86400</f>
        <v>3.6458333333333334E-3</v>
      </c>
    </row>
    <row r="106" spans="1:12" x14ac:dyDescent="0.25">
      <c r="A106" s="3">
        <v>45702.430312500001</v>
      </c>
      <c r="B106" t="s">
        <v>128</v>
      </c>
      <c r="C106" s="3">
        <v>45702.431030092594</v>
      </c>
      <c r="D106" t="s">
        <v>137</v>
      </c>
      <c r="E106" s="4">
        <v>0.114</v>
      </c>
      <c r="F106" s="4">
        <v>328714.87300000002</v>
      </c>
      <c r="G106" s="4">
        <v>328714.98700000002</v>
      </c>
      <c r="H106" s="5">
        <f>0 / 86400</f>
        <v>0</v>
      </c>
      <c r="I106" t="s">
        <v>126</v>
      </c>
      <c r="J106" t="s">
        <v>138</v>
      </c>
      <c r="K106" s="5">
        <f>62 / 86400</f>
        <v>7.1759259259259259E-4</v>
      </c>
      <c r="L106" s="5">
        <f>2919 / 86400</f>
        <v>3.3784722222222223E-2</v>
      </c>
    </row>
    <row r="107" spans="1:12" x14ac:dyDescent="0.25">
      <c r="A107" s="3">
        <v>45702.464814814812</v>
      </c>
      <c r="B107" t="s">
        <v>137</v>
      </c>
      <c r="C107" s="3">
        <v>45702.468171296292</v>
      </c>
      <c r="D107" t="s">
        <v>125</v>
      </c>
      <c r="E107" s="4">
        <v>1.2370000000000001</v>
      </c>
      <c r="F107" s="4">
        <v>328714.98700000002</v>
      </c>
      <c r="G107" s="4">
        <v>328716.22399999999</v>
      </c>
      <c r="H107" s="5">
        <f>19 / 86400</f>
        <v>2.199074074074074E-4</v>
      </c>
      <c r="I107" t="s">
        <v>139</v>
      </c>
      <c r="J107" t="s">
        <v>31</v>
      </c>
      <c r="K107" s="5">
        <f>289 / 86400</f>
        <v>3.3449074074074076E-3</v>
      </c>
      <c r="L107" s="5">
        <f>805 / 86400</f>
        <v>9.3171296296296301E-3</v>
      </c>
    </row>
    <row r="108" spans="1:12" x14ac:dyDescent="0.25">
      <c r="A108" s="3">
        <v>45702.477488425924</v>
      </c>
      <c r="B108" t="s">
        <v>125</v>
      </c>
      <c r="C108" s="3">
        <v>45702.477673611109</v>
      </c>
      <c r="D108" t="s">
        <v>125</v>
      </c>
      <c r="E108" s="4">
        <v>1.0999999999999999E-2</v>
      </c>
      <c r="F108" s="4">
        <v>328716.22399999999</v>
      </c>
      <c r="G108" s="4">
        <v>328716.23499999999</v>
      </c>
      <c r="H108" s="5">
        <f>0 / 86400</f>
        <v>0</v>
      </c>
      <c r="I108" t="s">
        <v>88</v>
      </c>
      <c r="J108" t="s">
        <v>140</v>
      </c>
      <c r="K108" s="5">
        <f>16 / 86400</f>
        <v>1.8518518518518518E-4</v>
      </c>
      <c r="L108" s="5">
        <f>449 / 86400</f>
        <v>5.1967592592592595E-3</v>
      </c>
    </row>
    <row r="109" spans="1:12" x14ac:dyDescent="0.25">
      <c r="A109" s="3">
        <v>45702.482870370368</v>
      </c>
      <c r="B109" t="s">
        <v>125</v>
      </c>
      <c r="C109" s="3">
        <v>45702.573796296296</v>
      </c>
      <c r="D109" t="s">
        <v>141</v>
      </c>
      <c r="E109" s="4">
        <v>41.67</v>
      </c>
      <c r="F109" s="4">
        <v>328716.23499999999</v>
      </c>
      <c r="G109" s="4">
        <v>328757.90500000003</v>
      </c>
      <c r="H109" s="5">
        <f>2439 / 86400</f>
        <v>2.8229166666666666E-2</v>
      </c>
      <c r="I109" t="s">
        <v>30</v>
      </c>
      <c r="J109" t="s">
        <v>99</v>
      </c>
      <c r="K109" s="5">
        <f>7856 / 86400</f>
        <v>9.0925925925925924E-2</v>
      </c>
      <c r="L109" s="5">
        <f>189 / 86400</f>
        <v>2.1875000000000002E-3</v>
      </c>
    </row>
    <row r="110" spans="1:12" x14ac:dyDescent="0.25">
      <c r="A110" s="3">
        <v>45702.575983796298</v>
      </c>
      <c r="B110" t="s">
        <v>141</v>
      </c>
      <c r="C110" s="3">
        <v>45702.65788194444</v>
      </c>
      <c r="D110" t="s">
        <v>142</v>
      </c>
      <c r="E110" s="4">
        <v>37.372</v>
      </c>
      <c r="F110" s="4">
        <v>328757.90500000003</v>
      </c>
      <c r="G110" s="4">
        <v>328795.277</v>
      </c>
      <c r="H110" s="5">
        <f>1840 / 86400</f>
        <v>2.1296296296296296E-2</v>
      </c>
      <c r="I110" t="s">
        <v>33</v>
      </c>
      <c r="J110" t="s">
        <v>99</v>
      </c>
      <c r="K110" s="5">
        <f>7075 / 86400</f>
        <v>8.188657407407407E-2</v>
      </c>
      <c r="L110" s="5">
        <f>2753 / 86400</f>
        <v>3.1863425925925927E-2</v>
      </c>
    </row>
    <row r="111" spans="1:12" x14ac:dyDescent="0.25">
      <c r="A111" s="3">
        <v>45702.689745370371</v>
      </c>
      <c r="B111" t="s">
        <v>142</v>
      </c>
      <c r="C111" s="3">
        <v>45702.898587962962</v>
      </c>
      <c r="D111" t="s">
        <v>80</v>
      </c>
      <c r="E111" s="4">
        <v>75.239000000000004</v>
      </c>
      <c r="F111" s="4">
        <v>328795.277</v>
      </c>
      <c r="G111" s="4">
        <v>328870.516</v>
      </c>
      <c r="H111" s="5">
        <f>7059 / 86400</f>
        <v>8.1701388888888893E-2</v>
      </c>
      <c r="I111" t="s">
        <v>20</v>
      </c>
      <c r="J111" t="s">
        <v>31</v>
      </c>
      <c r="K111" s="5">
        <f>18044 / 86400</f>
        <v>0.20884259259259258</v>
      </c>
      <c r="L111" s="5">
        <f>74 / 86400</f>
        <v>8.564814814814815E-4</v>
      </c>
    </row>
    <row r="112" spans="1:12" x14ac:dyDescent="0.25">
      <c r="A112" s="3">
        <v>45702.89944444444</v>
      </c>
      <c r="B112" t="s">
        <v>80</v>
      </c>
      <c r="C112" s="3">
        <v>45702.899606481486</v>
      </c>
      <c r="D112" t="s">
        <v>80</v>
      </c>
      <c r="E112" s="4">
        <v>1.7999999999999999E-2</v>
      </c>
      <c r="F112" s="4">
        <v>328870.516</v>
      </c>
      <c r="G112" s="4">
        <v>328870.53399999999</v>
      </c>
      <c r="H112" s="5">
        <f>0 / 86400</f>
        <v>0</v>
      </c>
      <c r="I112" t="s">
        <v>88</v>
      </c>
      <c r="J112" t="s">
        <v>127</v>
      </c>
      <c r="K112" s="5">
        <f>13 / 86400</f>
        <v>1.5046296296296297E-4</v>
      </c>
      <c r="L112" s="5">
        <f>470 / 86400</f>
        <v>5.4398148148148149E-3</v>
      </c>
    </row>
    <row r="113" spans="1:12" x14ac:dyDescent="0.25">
      <c r="A113" s="3">
        <v>45702.905046296291</v>
      </c>
      <c r="B113" t="s">
        <v>80</v>
      </c>
      <c r="C113" s="3">
        <v>45702.905335648145</v>
      </c>
      <c r="D113" t="s">
        <v>80</v>
      </c>
      <c r="E113" s="4">
        <v>0</v>
      </c>
      <c r="F113" s="4">
        <v>328870.53399999999</v>
      </c>
      <c r="G113" s="4">
        <v>328870.53399999999</v>
      </c>
      <c r="H113" s="5">
        <f>19 / 86400</f>
        <v>2.199074074074074E-4</v>
      </c>
      <c r="I113" t="s">
        <v>88</v>
      </c>
      <c r="J113" t="s">
        <v>88</v>
      </c>
      <c r="K113" s="5">
        <f>25 / 86400</f>
        <v>2.8935185185185184E-4</v>
      </c>
      <c r="L113" s="5">
        <f>87 / 86400</f>
        <v>1.0069444444444444E-3</v>
      </c>
    </row>
    <row r="114" spans="1:12" x14ac:dyDescent="0.25">
      <c r="A114" s="3">
        <v>45702.906342592592</v>
      </c>
      <c r="B114" t="s">
        <v>80</v>
      </c>
      <c r="C114" s="3">
        <v>45702.910393518519</v>
      </c>
      <c r="D114" t="s">
        <v>26</v>
      </c>
      <c r="E114" s="4">
        <v>1.3560000000000001</v>
      </c>
      <c r="F114" s="4">
        <v>328870.53399999999</v>
      </c>
      <c r="G114" s="4">
        <v>328871.89</v>
      </c>
      <c r="H114" s="5">
        <f>160 / 86400</f>
        <v>1.8518518518518519E-3</v>
      </c>
      <c r="I114" t="s">
        <v>143</v>
      </c>
      <c r="J114" t="s">
        <v>59</v>
      </c>
      <c r="K114" s="5">
        <f>349 / 86400</f>
        <v>4.0393518518518521E-3</v>
      </c>
      <c r="L114" s="5">
        <f>7741 / 86400</f>
        <v>8.9594907407407401E-2</v>
      </c>
    </row>
    <row r="115" spans="1:1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2" s="10" customFormat="1" ht="20.100000000000001" customHeight="1" x14ac:dyDescent="0.35">
      <c r="A117" s="15" t="s">
        <v>421</v>
      </c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2" ht="30" x14ac:dyDescent="0.25">
      <c r="A119" s="2" t="s">
        <v>6</v>
      </c>
      <c r="B119" s="2" t="s">
        <v>7</v>
      </c>
      <c r="C119" s="2" t="s">
        <v>8</v>
      </c>
      <c r="D119" s="2" t="s">
        <v>9</v>
      </c>
      <c r="E119" s="2" t="s">
        <v>10</v>
      </c>
      <c r="F119" s="2" t="s">
        <v>11</v>
      </c>
      <c r="G119" s="2" t="s">
        <v>12</v>
      </c>
      <c r="H119" s="2" t="s">
        <v>13</v>
      </c>
      <c r="I119" s="2" t="s">
        <v>14</v>
      </c>
      <c r="J119" s="2" t="s">
        <v>15</v>
      </c>
      <c r="K119" s="2" t="s">
        <v>16</v>
      </c>
      <c r="L119" s="2" t="s">
        <v>17</v>
      </c>
    </row>
    <row r="120" spans="1:12" x14ac:dyDescent="0.25">
      <c r="A120" s="3">
        <v>45702.285682870366</v>
      </c>
      <c r="B120" t="s">
        <v>29</v>
      </c>
      <c r="C120" s="3">
        <v>45702.344502314816</v>
      </c>
      <c r="D120" t="s">
        <v>144</v>
      </c>
      <c r="E120" s="4">
        <v>28.222999999999999</v>
      </c>
      <c r="F120" s="4">
        <v>20637.789000000001</v>
      </c>
      <c r="G120" s="4">
        <v>20666.011999999999</v>
      </c>
      <c r="H120" s="5">
        <f>1199 / 86400</f>
        <v>1.3877314814814815E-2</v>
      </c>
      <c r="I120" t="s">
        <v>67</v>
      </c>
      <c r="J120" t="s">
        <v>145</v>
      </c>
      <c r="K120" s="5">
        <f>5081 / 86400</f>
        <v>5.8807870370370371E-2</v>
      </c>
      <c r="L120" s="5">
        <f>24804 / 86400</f>
        <v>0.28708333333333336</v>
      </c>
    </row>
    <row r="121" spans="1:12" x14ac:dyDescent="0.25">
      <c r="A121" s="3">
        <v>45702.345902777779</v>
      </c>
      <c r="B121" t="s">
        <v>144</v>
      </c>
      <c r="C121" s="3">
        <v>45702.349328703705</v>
      </c>
      <c r="D121" t="s">
        <v>125</v>
      </c>
      <c r="E121" s="4">
        <v>1.157</v>
      </c>
      <c r="F121" s="4">
        <v>20666.011999999999</v>
      </c>
      <c r="G121" s="4">
        <v>20667.169000000002</v>
      </c>
      <c r="H121" s="5">
        <f>40 / 86400</f>
        <v>4.6296296296296298E-4</v>
      </c>
      <c r="I121" t="s">
        <v>133</v>
      </c>
      <c r="J121" t="s">
        <v>59</v>
      </c>
      <c r="K121" s="5">
        <f>296 / 86400</f>
        <v>3.425925925925926E-3</v>
      </c>
      <c r="L121" s="5">
        <f>1513 / 86400</f>
        <v>1.7511574074074075E-2</v>
      </c>
    </row>
    <row r="122" spans="1:12" x14ac:dyDescent="0.25">
      <c r="A122" s="3">
        <v>45702.366840277777</v>
      </c>
      <c r="B122" t="s">
        <v>125</v>
      </c>
      <c r="C122" s="3">
        <v>45702.367997685185</v>
      </c>
      <c r="D122" t="s">
        <v>125</v>
      </c>
      <c r="E122" s="4">
        <v>4.5999999999999999E-2</v>
      </c>
      <c r="F122" s="4">
        <v>20667.169000000002</v>
      </c>
      <c r="G122" s="4">
        <v>20667.215</v>
      </c>
      <c r="H122" s="5">
        <f>59 / 86400</f>
        <v>6.8287037037037036E-4</v>
      </c>
      <c r="I122" t="s">
        <v>35</v>
      </c>
      <c r="J122" t="s">
        <v>140</v>
      </c>
      <c r="K122" s="5">
        <f>100 / 86400</f>
        <v>1.1574074074074073E-3</v>
      </c>
      <c r="L122" s="5">
        <f>117 / 86400</f>
        <v>1.3541666666666667E-3</v>
      </c>
    </row>
    <row r="123" spans="1:12" x14ac:dyDescent="0.25">
      <c r="A123" s="3">
        <v>45702.369351851856</v>
      </c>
      <c r="B123" t="s">
        <v>125</v>
      </c>
      <c r="C123" s="3">
        <v>45702.371076388888</v>
      </c>
      <c r="D123" t="s">
        <v>146</v>
      </c>
      <c r="E123" s="4">
        <v>0.75</v>
      </c>
      <c r="F123" s="4">
        <v>20667.215</v>
      </c>
      <c r="G123" s="4">
        <v>20667.965</v>
      </c>
      <c r="H123" s="5">
        <f>0 / 86400</f>
        <v>0</v>
      </c>
      <c r="I123" t="s">
        <v>147</v>
      </c>
      <c r="J123" t="s">
        <v>24</v>
      </c>
      <c r="K123" s="5">
        <f>149 / 86400</f>
        <v>1.724537037037037E-3</v>
      </c>
      <c r="L123" s="5">
        <f>141 / 86400</f>
        <v>1.6319444444444445E-3</v>
      </c>
    </row>
    <row r="124" spans="1:12" x14ac:dyDescent="0.25">
      <c r="A124" s="3">
        <v>45702.372708333336</v>
      </c>
      <c r="B124" t="s">
        <v>146</v>
      </c>
      <c r="C124" s="3">
        <v>45702.507777777777</v>
      </c>
      <c r="D124" t="s">
        <v>148</v>
      </c>
      <c r="E124" s="4">
        <v>50.088999999999999</v>
      </c>
      <c r="F124" s="4">
        <v>20667.965</v>
      </c>
      <c r="G124" s="4">
        <v>20718.054</v>
      </c>
      <c r="H124" s="5">
        <f>4177 / 86400</f>
        <v>4.8344907407407406E-2</v>
      </c>
      <c r="I124" t="s">
        <v>30</v>
      </c>
      <c r="J124" t="s">
        <v>31</v>
      </c>
      <c r="K124" s="5">
        <f>11669 / 86400</f>
        <v>0.13505787037037037</v>
      </c>
      <c r="L124" s="5">
        <f>4184 / 86400</f>
        <v>4.8425925925925928E-2</v>
      </c>
    </row>
    <row r="125" spans="1:12" x14ac:dyDescent="0.25">
      <c r="A125" s="3">
        <v>45702.556203703702</v>
      </c>
      <c r="B125" t="s">
        <v>148</v>
      </c>
      <c r="C125" s="3">
        <v>45702.602210648147</v>
      </c>
      <c r="D125" t="s">
        <v>149</v>
      </c>
      <c r="E125" s="4">
        <v>9.4529999999999994</v>
      </c>
      <c r="F125" s="4">
        <v>20718.054</v>
      </c>
      <c r="G125" s="4">
        <v>20727.507000000001</v>
      </c>
      <c r="H125" s="5">
        <f>1819 / 86400</f>
        <v>2.105324074074074E-2</v>
      </c>
      <c r="I125" t="s">
        <v>150</v>
      </c>
      <c r="J125" t="s">
        <v>57</v>
      </c>
      <c r="K125" s="5">
        <f>3974 / 86400</f>
        <v>4.5995370370370367E-2</v>
      </c>
      <c r="L125" s="5">
        <f>79 / 86400</f>
        <v>9.1435185185185185E-4</v>
      </c>
    </row>
    <row r="126" spans="1:12" x14ac:dyDescent="0.25">
      <c r="A126" s="3">
        <v>45702.603125000001</v>
      </c>
      <c r="B126" t="s">
        <v>149</v>
      </c>
      <c r="C126" s="3">
        <v>45702.698912037042</v>
      </c>
      <c r="D126" t="s">
        <v>144</v>
      </c>
      <c r="E126" s="4">
        <v>40.701000000000001</v>
      </c>
      <c r="F126" s="4">
        <v>20727.507000000001</v>
      </c>
      <c r="G126" s="4">
        <v>20768.207999999999</v>
      </c>
      <c r="H126" s="5">
        <f>2082 / 86400</f>
        <v>2.4097222222222221E-2</v>
      </c>
      <c r="I126" t="s">
        <v>151</v>
      </c>
      <c r="J126" t="s">
        <v>24</v>
      </c>
      <c r="K126" s="5">
        <f>8275 / 86400</f>
        <v>9.5775462962962965E-2</v>
      </c>
      <c r="L126" s="5">
        <f>467 / 86400</f>
        <v>5.4050925925925924E-3</v>
      </c>
    </row>
    <row r="127" spans="1:12" x14ac:dyDescent="0.25">
      <c r="A127" s="3">
        <v>45702.704317129625</v>
      </c>
      <c r="B127" t="s">
        <v>144</v>
      </c>
      <c r="C127" s="3">
        <v>45702.705231481479</v>
      </c>
      <c r="D127" t="s">
        <v>128</v>
      </c>
      <c r="E127" s="4">
        <v>0.215</v>
      </c>
      <c r="F127" s="4">
        <v>20768.207999999999</v>
      </c>
      <c r="G127" s="4">
        <v>20768.422999999999</v>
      </c>
      <c r="H127" s="5">
        <f>0 / 86400</f>
        <v>0</v>
      </c>
      <c r="I127" t="s">
        <v>31</v>
      </c>
      <c r="J127" t="s">
        <v>126</v>
      </c>
      <c r="K127" s="5">
        <f>78 / 86400</f>
        <v>9.0277777777777774E-4</v>
      </c>
      <c r="L127" s="5">
        <f>342 / 86400</f>
        <v>3.9583333333333337E-3</v>
      </c>
    </row>
    <row r="128" spans="1:12" x14ac:dyDescent="0.25">
      <c r="A128" s="3">
        <v>45702.709189814814</v>
      </c>
      <c r="B128" t="s">
        <v>128</v>
      </c>
      <c r="C128" s="3">
        <v>45702.711226851854</v>
      </c>
      <c r="D128" t="s">
        <v>128</v>
      </c>
      <c r="E128" s="4">
        <v>0.13400000000000001</v>
      </c>
      <c r="F128" s="4">
        <v>20768.422999999999</v>
      </c>
      <c r="G128" s="4">
        <v>20768.557000000001</v>
      </c>
      <c r="H128" s="5">
        <f>79 / 86400</f>
        <v>9.1435185185185185E-4</v>
      </c>
      <c r="I128" t="s">
        <v>123</v>
      </c>
      <c r="J128" t="s">
        <v>152</v>
      </c>
      <c r="K128" s="5">
        <f>175 / 86400</f>
        <v>2.0254629629629629E-3</v>
      </c>
      <c r="L128" s="5">
        <f>1123 / 86400</f>
        <v>1.2997685185185185E-2</v>
      </c>
    </row>
    <row r="129" spans="1:12" x14ac:dyDescent="0.25">
      <c r="A129" s="3">
        <v>45702.724224537036</v>
      </c>
      <c r="B129" t="s">
        <v>128</v>
      </c>
      <c r="C129" s="3">
        <v>45702.889062499999</v>
      </c>
      <c r="D129" t="s">
        <v>29</v>
      </c>
      <c r="E129" s="4">
        <v>58.521000000000001</v>
      </c>
      <c r="F129" s="4">
        <v>20768.557000000001</v>
      </c>
      <c r="G129" s="4">
        <v>20827.078000000001</v>
      </c>
      <c r="H129" s="5">
        <f>5118 / 86400</f>
        <v>5.9236111111111114E-2</v>
      </c>
      <c r="I129" t="s">
        <v>134</v>
      </c>
      <c r="J129" t="s">
        <v>31</v>
      </c>
      <c r="K129" s="5">
        <f>14241 / 86400</f>
        <v>0.1648263888888889</v>
      </c>
      <c r="L129" s="5">
        <f>231 / 86400</f>
        <v>2.673611111111111E-3</v>
      </c>
    </row>
    <row r="130" spans="1:12" x14ac:dyDescent="0.25">
      <c r="A130" s="3">
        <v>45702.891736111109</v>
      </c>
      <c r="B130" t="s">
        <v>29</v>
      </c>
      <c r="C130" s="3">
        <v>45702.897592592592</v>
      </c>
      <c r="D130" t="s">
        <v>29</v>
      </c>
      <c r="E130" s="4">
        <v>1.228</v>
      </c>
      <c r="F130" s="4">
        <v>20827.078000000001</v>
      </c>
      <c r="G130" s="4">
        <v>20828.306</v>
      </c>
      <c r="H130" s="5">
        <f>159 / 86400</f>
        <v>1.8402777777777777E-3</v>
      </c>
      <c r="I130" t="s">
        <v>21</v>
      </c>
      <c r="J130" t="s">
        <v>57</v>
      </c>
      <c r="K130" s="5">
        <f>506 / 86400</f>
        <v>5.8564814814814816E-3</v>
      </c>
      <c r="L130" s="5">
        <f>8847 / 86400</f>
        <v>0.10239583333333334</v>
      </c>
    </row>
    <row r="131" spans="1:1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s="10" customFormat="1" ht="20.100000000000001" customHeight="1" x14ac:dyDescent="0.35">
      <c r="A133" s="15" t="s">
        <v>422</v>
      </c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2" ht="30" x14ac:dyDescent="0.25">
      <c r="A135" s="2" t="s">
        <v>6</v>
      </c>
      <c r="B135" s="2" t="s">
        <v>7</v>
      </c>
      <c r="C135" s="2" t="s">
        <v>8</v>
      </c>
      <c r="D135" s="2" t="s">
        <v>9</v>
      </c>
      <c r="E135" s="2" t="s">
        <v>10</v>
      </c>
      <c r="F135" s="2" t="s">
        <v>11</v>
      </c>
      <c r="G135" s="2" t="s">
        <v>12</v>
      </c>
      <c r="H135" s="2" t="s">
        <v>13</v>
      </c>
      <c r="I135" s="2" t="s">
        <v>14</v>
      </c>
      <c r="J135" s="2" t="s">
        <v>15</v>
      </c>
      <c r="K135" s="2" t="s">
        <v>16</v>
      </c>
      <c r="L135" s="2" t="s">
        <v>17</v>
      </c>
    </row>
    <row r="136" spans="1:12" x14ac:dyDescent="0.25">
      <c r="A136" s="3">
        <v>45702.251967592594</v>
      </c>
      <c r="B136" t="s">
        <v>32</v>
      </c>
      <c r="C136" s="3">
        <v>45702.329398148147</v>
      </c>
      <c r="D136" t="s">
        <v>153</v>
      </c>
      <c r="E136" s="4">
        <v>35.454000000000001</v>
      </c>
      <c r="F136" s="4">
        <v>513472.17599999998</v>
      </c>
      <c r="G136" s="4">
        <v>513507.63</v>
      </c>
      <c r="H136" s="5">
        <f>2240 / 86400</f>
        <v>2.5925925925925925E-2</v>
      </c>
      <c r="I136" t="s">
        <v>58</v>
      </c>
      <c r="J136" t="s">
        <v>99</v>
      </c>
      <c r="K136" s="5">
        <f>6690 / 86400</f>
        <v>7.7430555555555558E-2</v>
      </c>
      <c r="L136" s="5">
        <f>24764 / 86400</f>
        <v>0.28662037037037036</v>
      </c>
    </row>
    <row r="137" spans="1:12" x14ac:dyDescent="0.25">
      <c r="A137" s="3">
        <v>45702.364050925928</v>
      </c>
      <c r="B137" t="s">
        <v>153</v>
      </c>
      <c r="C137" s="3">
        <v>45702.369340277779</v>
      </c>
      <c r="D137" t="s">
        <v>125</v>
      </c>
      <c r="E137" s="4">
        <v>0.89100000000000001</v>
      </c>
      <c r="F137" s="4">
        <v>513507.63</v>
      </c>
      <c r="G137" s="4">
        <v>513508.52100000001</v>
      </c>
      <c r="H137" s="5">
        <f>80 / 86400</f>
        <v>9.2592592592592596E-4</v>
      </c>
      <c r="I137" t="s">
        <v>130</v>
      </c>
      <c r="J137" t="s">
        <v>138</v>
      </c>
      <c r="K137" s="5">
        <f>456 / 86400</f>
        <v>5.2777777777777779E-3</v>
      </c>
      <c r="L137" s="5">
        <f>1244 / 86400</f>
        <v>1.4398148148148148E-2</v>
      </c>
    </row>
    <row r="138" spans="1:12" x14ac:dyDescent="0.25">
      <c r="A138" s="3">
        <v>45702.383738425924</v>
      </c>
      <c r="B138" t="s">
        <v>125</v>
      </c>
      <c r="C138" s="3">
        <v>45702.517939814818</v>
      </c>
      <c r="D138" t="s">
        <v>154</v>
      </c>
      <c r="E138" s="4">
        <v>51.052999999999997</v>
      </c>
      <c r="F138" s="4">
        <v>513508.52100000001</v>
      </c>
      <c r="G138" s="4">
        <v>513559.57400000002</v>
      </c>
      <c r="H138" s="5">
        <f>4259 / 86400</f>
        <v>4.929398148148148E-2</v>
      </c>
      <c r="I138" t="s">
        <v>52</v>
      </c>
      <c r="J138" t="s">
        <v>34</v>
      </c>
      <c r="K138" s="5">
        <f>11595 / 86400</f>
        <v>0.13420138888888888</v>
      </c>
      <c r="L138" s="5">
        <f>1052 / 86400</f>
        <v>1.2175925925925925E-2</v>
      </c>
    </row>
    <row r="139" spans="1:12" x14ac:dyDescent="0.25">
      <c r="A139" s="3">
        <v>45702.530115740738</v>
      </c>
      <c r="B139" t="s">
        <v>154</v>
      </c>
      <c r="C139" s="3">
        <v>45702.663645833338</v>
      </c>
      <c r="D139" t="s">
        <v>153</v>
      </c>
      <c r="E139" s="4">
        <v>51.613</v>
      </c>
      <c r="F139" s="4">
        <v>513559.57400000002</v>
      </c>
      <c r="G139" s="4">
        <v>513611.18699999998</v>
      </c>
      <c r="H139" s="5">
        <f>3382 / 86400</f>
        <v>3.9143518518518522E-2</v>
      </c>
      <c r="I139" t="s">
        <v>134</v>
      </c>
      <c r="J139" t="s">
        <v>34</v>
      </c>
      <c r="K139" s="5">
        <f>11537 / 86400</f>
        <v>0.1335300925925926</v>
      </c>
      <c r="L139" s="5">
        <f>4345 / 86400</f>
        <v>5.0289351851851849E-2</v>
      </c>
    </row>
    <row r="140" spans="1:12" x14ac:dyDescent="0.25">
      <c r="A140" s="3">
        <v>45702.71393518518</v>
      </c>
      <c r="B140" t="s">
        <v>153</v>
      </c>
      <c r="C140" s="3">
        <v>45702.716631944444</v>
      </c>
      <c r="D140" t="s">
        <v>128</v>
      </c>
      <c r="E140" s="4">
        <v>0.92900000000000005</v>
      </c>
      <c r="F140" s="4">
        <v>513611.18699999998</v>
      </c>
      <c r="G140" s="4">
        <v>513612.11599999998</v>
      </c>
      <c r="H140" s="5">
        <f>20 / 86400</f>
        <v>2.3148148148148149E-4</v>
      </c>
      <c r="I140" t="s">
        <v>155</v>
      </c>
      <c r="J140" t="s">
        <v>59</v>
      </c>
      <c r="K140" s="5">
        <f>232 / 86400</f>
        <v>2.685185185185185E-3</v>
      </c>
      <c r="L140" s="5">
        <f>411 / 86400</f>
        <v>4.7569444444444447E-3</v>
      </c>
    </row>
    <row r="141" spans="1:12" x14ac:dyDescent="0.25">
      <c r="A141" s="3">
        <v>45702.721388888887</v>
      </c>
      <c r="B141" t="s">
        <v>128</v>
      </c>
      <c r="C141" s="3">
        <v>45702.930486111116</v>
      </c>
      <c r="D141" t="s">
        <v>111</v>
      </c>
      <c r="E141" s="4">
        <v>80.298000000000002</v>
      </c>
      <c r="F141" s="4">
        <v>513612.11599999998</v>
      </c>
      <c r="G141" s="4">
        <v>513692.41399999999</v>
      </c>
      <c r="H141" s="5">
        <f>5740 / 86400</f>
        <v>6.643518518518518E-2</v>
      </c>
      <c r="I141" t="s">
        <v>33</v>
      </c>
      <c r="J141" t="s">
        <v>34</v>
      </c>
      <c r="K141" s="5">
        <f>18066 / 86400</f>
        <v>0.20909722222222221</v>
      </c>
      <c r="L141" s="5">
        <f>776 / 86400</f>
        <v>8.9814814814814809E-3</v>
      </c>
    </row>
    <row r="142" spans="1:12" x14ac:dyDescent="0.25">
      <c r="A142" s="3">
        <v>45702.939467592594</v>
      </c>
      <c r="B142" t="s">
        <v>111</v>
      </c>
      <c r="C142" s="3">
        <v>45702.944988425923</v>
      </c>
      <c r="D142" t="s">
        <v>32</v>
      </c>
      <c r="E142" s="4">
        <v>0.48899999999999999</v>
      </c>
      <c r="F142" s="4">
        <v>513692.41399999999</v>
      </c>
      <c r="G142" s="4">
        <v>513692.90299999999</v>
      </c>
      <c r="H142" s="5">
        <f>159 / 86400</f>
        <v>1.8402777777777777E-3</v>
      </c>
      <c r="I142" t="s">
        <v>53</v>
      </c>
      <c r="J142" t="s">
        <v>156</v>
      </c>
      <c r="K142" s="5">
        <f>476 / 86400</f>
        <v>5.5092592592592589E-3</v>
      </c>
      <c r="L142" s="5">
        <f>627 / 86400</f>
        <v>7.2569444444444443E-3</v>
      </c>
    </row>
    <row r="143" spans="1:12" x14ac:dyDescent="0.25">
      <c r="A143" s="3">
        <v>45702.952245370368</v>
      </c>
      <c r="B143" t="s">
        <v>32</v>
      </c>
      <c r="C143" s="3">
        <v>45702.966249999998</v>
      </c>
      <c r="D143" t="s">
        <v>32</v>
      </c>
      <c r="E143" s="4">
        <v>2.6120000000000001</v>
      </c>
      <c r="F143" s="4">
        <v>513692.90299999999</v>
      </c>
      <c r="G143" s="4">
        <v>513695.51500000001</v>
      </c>
      <c r="H143" s="5">
        <f>439 / 86400</f>
        <v>5.0810185185185186E-3</v>
      </c>
      <c r="I143" t="s">
        <v>157</v>
      </c>
      <c r="J143" t="s">
        <v>123</v>
      </c>
      <c r="K143" s="5">
        <f>1210 / 86400</f>
        <v>1.4004629629629629E-2</v>
      </c>
      <c r="L143" s="5">
        <f>2915 / 86400</f>
        <v>3.3738425925925929E-2</v>
      </c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2" s="10" customFormat="1" ht="20.100000000000001" customHeight="1" x14ac:dyDescent="0.35">
      <c r="A146" s="15" t="s">
        <v>423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ht="30" x14ac:dyDescent="0.25">
      <c r="A148" s="2" t="s">
        <v>6</v>
      </c>
      <c r="B148" s="2" t="s">
        <v>7</v>
      </c>
      <c r="C148" s="2" t="s">
        <v>8</v>
      </c>
      <c r="D148" s="2" t="s">
        <v>9</v>
      </c>
      <c r="E148" s="2" t="s">
        <v>10</v>
      </c>
      <c r="F148" s="2" t="s">
        <v>11</v>
      </c>
      <c r="G148" s="2" t="s">
        <v>12</v>
      </c>
      <c r="H148" s="2" t="s">
        <v>13</v>
      </c>
      <c r="I148" s="2" t="s">
        <v>14</v>
      </c>
      <c r="J148" s="2" t="s">
        <v>15</v>
      </c>
      <c r="K148" s="2" t="s">
        <v>16</v>
      </c>
      <c r="L148" s="2" t="s">
        <v>17</v>
      </c>
    </row>
    <row r="149" spans="1:12" x14ac:dyDescent="0.25">
      <c r="A149" s="3">
        <v>45702.209675925929</v>
      </c>
      <c r="B149" t="s">
        <v>29</v>
      </c>
      <c r="C149" s="3">
        <v>45702.337048611109</v>
      </c>
      <c r="D149" t="s">
        <v>158</v>
      </c>
      <c r="E149" s="4">
        <v>43.932000000000002</v>
      </c>
      <c r="F149" s="4">
        <v>92549.467999999993</v>
      </c>
      <c r="G149" s="4">
        <v>92593.4</v>
      </c>
      <c r="H149" s="5">
        <f>4080 / 86400</f>
        <v>4.7222222222222221E-2</v>
      </c>
      <c r="I149" t="s">
        <v>30</v>
      </c>
      <c r="J149" t="s">
        <v>59</v>
      </c>
      <c r="K149" s="5">
        <f>11005 / 86400</f>
        <v>0.12737268518518519</v>
      </c>
      <c r="L149" s="5">
        <f>18244 / 86400</f>
        <v>0.2111574074074074</v>
      </c>
    </row>
    <row r="150" spans="1:12" x14ac:dyDescent="0.25">
      <c r="A150" s="3">
        <v>45702.338530092587</v>
      </c>
      <c r="B150" t="s">
        <v>158</v>
      </c>
      <c r="C150" s="3">
        <v>45702.467222222222</v>
      </c>
      <c r="D150" t="s">
        <v>128</v>
      </c>
      <c r="E150" s="4">
        <v>49.326999999999998</v>
      </c>
      <c r="F150" s="4">
        <v>92593.4</v>
      </c>
      <c r="G150" s="4">
        <v>92642.726999999999</v>
      </c>
      <c r="H150" s="5">
        <f>3261 / 86400</f>
        <v>3.7743055555555557E-2</v>
      </c>
      <c r="I150" t="s">
        <v>134</v>
      </c>
      <c r="J150" t="s">
        <v>34</v>
      </c>
      <c r="K150" s="5">
        <f>11118 / 86400</f>
        <v>0.12868055555555555</v>
      </c>
      <c r="L150" s="5">
        <f>1345 / 86400</f>
        <v>1.556712962962963E-2</v>
      </c>
    </row>
    <row r="151" spans="1:12" x14ac:dyDescent="0.25">
      <c r="A151" s="3">
        <v>45702.482789351852</v>
      </c>
      <c r="B151" t="s">
        <v>128</v>
      </c>
      <c r="C151" s="3">
        <v>45702.483310185184</v>
      </c>
      <c r="D151" t="s">
        <v>128</v>
      </c>
      <c r="E151" s="4">
        <v>0.01</v>
      </c>
      <c r="F151" s="4">
        <v>92642.726999999999</v>
      </c>
      <c r="G151" s="4">
        <v>92642.736999999994</v>
      </c>
      <c r="H151" s="5">
        <f>19 / 86400</f>
        <v>2.199074074074074E-4</v>
      </c>
      <c r="I151" t="s">
        <v>156</v>
      </c>
      <c r="J151" t="s">
        <v>120</v>
      </c>
      <c r="K151" s="5">
        <f>44 / 86400</f>
        <v>5.0925925925925921E-4</v>
      </c>
      <c r="L151" s="5">
        <f>362 / 86400</f>
        <v>4.1898148148148146E-3</v>
      </c>
    </row>
    <row r="152" spans="1:12" x14ac:dyDescent="0.25">
      <c r="A152" s="3">
        <v>45702.487500000003</v>
      </c>
      <c r="B152" t="s">
        <v>128</v>
      </c>
      <c r="C152" s="3">
        <v>45702.492118055554</v>
      </c>
      <c r="D152" t="s">
        <v>125</v>
      </c>
      <c r="E152" s="4">
        <v>1.359</v>
      </c>
      <c r="F152" s="4">
        <v>92642.736999999994</v>
      </c>
      <c r="G152" s="4">
        <v>92644.096000000005</v>
      </c>
      <c r="H152" s="5">
        <f>20 / 86400</f>
        <v>2.3148148148148149E-4</v>
      </c>
      <c r="I152" t="s">
        <v>37</v>
      </c>
      <c r="J152" t="s">
        <v>62</v>
      </c>
      <c r="K152" s="5">
        <f>398 / 86400</f>
        <v>4.6064814814814814E-3</v>
      </c>
      <c r="L152" s="5">
        <f>1435 / 86400</f>
        <v>1.6608796296296295E-2</v>
      </c>
    </row>
    <row r="153" spans="1:12" x14ac:dyDescent="0.25">
      <c r="A153" s="3">
        <v>45702.508726851855</v>
      </c>
      <c r="B153" t="s">
        <v>125</v>
      </c>
      <c r="C153" s="3">
        <v>45702.649953703702</v>
      </c>
      <c r="D153" t="s">
        <v>148</v>
      </c>
      <c r="E153" s="4">
        <v>50.356000000000002</v>
      </c>
      <c r="F153" s="4">
        <v>92644.096000000005</v>
      </c>
      <c r="G153" s="4">
        <v>92694.452000000005</v>
      </c>
      <c r="H153" s="5">
        <f>4261 / 86400</f>
        <v>4.9317129629629627E-2</v>
      </c>
      <c r="I153" t="s">
        <v>30</v>
      </c>
      <c r="J153" t="s">
        <v>31</v>
      </c>
      <c r="K153" s="5">
        <f>12201 / 86400</f>
        <v>0.14121527777777779</v>
      </c>
      <c r="L153" s="5">
        <f>1798 / 86400</f>
        <v>2.0810185185185185E-2</v>
      </c>
    </row>
    <row r="154" spans="1:12" x14ac:dyDescent="0.25">
      <c r="A154" s="3">
        <v>45702.670763888891</v>
      </c>
      <c r="B154" t="s">
        <v>148</v>
      </c>
      <c r="C154" s="3">
        <v>45702.788287037038</v>
      </c>
      <c r="D154" t="s">
        <v>159</v>
      </c>
      <c r="E154" s="4">
        <v>31.34</v>
      </c>
      <c r="F154" s="4">
        <v>92694.452000000005</v>
      </c>
      <c r="G154" s="4">
        <v>92725.792000000001</v>
      </c>
      <c r="H154" s="5">
        <f>3741 / 86400</f>
        <v>4.3298611111111114E-2</v>
      </c>
      <c r="I154" t="s">
        <v>151</v>
      </c>
      <c r="J154" t="s">
        <v>53</v>
      </c>
      <c r="K154" s="5">
        <f>10154 / 86400</f>
        <v>0.11752314814814815</v>
      </c>
      <c r="L154" s="5">
        <f>348 / 86400</f>
        <v>4.0277777777777777E-3</v>
      </c>
    </row>
    <row r="155" spans="1:12" x14ac:dyDescent="0.25">
      <c r="A155" s="3">
        <v>45702.792314814811</v>
      </c>
      <c r="B155" t="s">
        <v>159</v>
      </c>
      <c r="C155" s="3">
        <v>45702.817696759259</v>
      </c>
      <c r="D155" t="s">
        <v>160</v>
      </c>
      <c r="E155" s="4">
        <v>1.6140000000000001</v>
      </c>
      <c r="F155" s="4">
        <v>92725.792000000001</v>
      </c>
      <c r="G155" s="4">
        <v>92727.406000000003</v>
      </c>
      <c r="H155" s="5">
        <f>1520 / 86400</f>
        <v>1.7592592592592594E-2</v>
      </c>
      <c r="I155" t="s">
        <v>135</v>
      </c>
      <c r="J155" t="s">
        <v>152</v>
      </c>
      <c r="K155" s="5">
        <f>2192 / 86400</f>
        <v>2.537037037037037E-2</v>
      </c>
      <c r="L155" s="5">
        <f>98 / 86400</f>
        <v>1.1342592592592593E-3</v>
      </c>
    </row>
    <row r="156" spans="1:12" x14ac:dyDescent="0.25">
      <c r="A156" s="3">
        <v>45702.818831018521</v>
      </c>
      <c r="B156" t="s">
        <v>160</v>
      </c>
      <c r="C156" s="3">
        <v>45702.825590277775</v>
      </c>
      <c r="D156" t="s">
        <v>161</v>
      </c>
      <c r="E156" s="4">
        <v>0.437</v>
      </c>
      <c r="F156" s="4">
        <v>92727.406000000003</v>
      </c>
      <c r="G156" s="4">
        <v>92727.842999999993</v>
      </c>
      <c r="H156" s="5">
        <f>299 / 86400</f>
        <v>3.460648148148148E-3</v>
      </c>
      <c r="I156" t="s">
        <v>28</v>
      </c>
      <c r="J156" t="s">
        <v>152</v>
      </c>
      <c r="K156" s="5">
        <f>584 / 86400</f>
        <v>6.7592592592592591E-3</v>
      </c>
      <c r="L156" s="5">
        <f>2123 / 86400</f>
        <v>2.4571759259259258E-2</v>
      </c>
    </row>
    <row r="157" spans="1:12" x14ac:dyDescent="0.25">
      <c r="A157" s="3">
        <v>45702.850162037037</v>
      </c>
      <c r="B157" t="s">
        <v>161</v>
      </c>
      <c r="C157" s="3">
        <v>45702.854942129634</v>
      </c>
      <c r="D157" t="s">
        <v>162</v>
      </c>
      <c r="E157" s="4">
        <v>1.123</v>
      </c>
      <c r="F157" s="4">
        <v>92727.842999999993</v>
      </c>
      <c r="G157" s="4">
        <v>92728.966</v>
      </c>
      <c r="H157" s="5">
        <f>140 / 86400</f>
        <v>1.6203703703703703E-3</v>
      </c>
      <c r="I157" t="s">
        <v>163</v>
      </c>
      <c r="J157" t="s">
        <v>126</v>
      </c>
      <c r="K157" s="5">
        <f>412 / 86400</f>
        <v>4.7685185185185183E-3</v>
      </c>
      <c r="L157" s="5">
        <f>9 / 86400</f>
        <v>1.0416666666666667E-4</v>
      </c>
    </row>
    <row r="158" spans="1:12" x14ac:dyDescent="0.25">
      <c r="A158" s="3">
        <v>45702.855046296296</v>
      </c>
      <c r="B158" t="s">
        <v>162</v>
      </c>
      <c r="C158" s="3">
        <v>45702.856574074074</v>
      </c>
      <c r="D158" t="s">
        <v>164</v>
      </c>
      <c r="E158" s="4">
        <v>0.30499999999999999</v>
      </c>
      <c r="F158" s="4">
        <v>92728.966</v>
      </c>
      <c r="G158" s="4">
        <v>92729.270999999993</v>
      </c>
      <c r="H158" s="5">
        <f>0 / 86400</f>
        <v>0</v>
      </c>
      <c r="I158" t="s">
        <v>34</v>
      </c>
      <c r="J158" t="s">
        <v>123</v>
      </c>
      <c r="K158" s="5">
        <f>132 / 86400</f>
        <v>1.5277777777777779E-3</v>
      </c>
      <c r="L158" s="5">
        <f>705 / 86400</f>
        <v>8.1597222222222227E-3</v>
      </c>
    </row>
    <row r="159" spans="1:12" x14ac:dyDescent="0.25">
      <c r="A159" s="3">
        <v>45702.864733796298</v>
      </c>
      <c r="B159" t="s">
        <v>164</v>
      </c>
      <c r="C159" s="3">
        <v>45702.890057870369</v>
      </c>
      <c r="D159" t="s">
        <v>165</v>
      </c>
      <c r="E159" s="4">
        <v>6.79</v>
      </c>
      <c r="F159" s="4">
        <v>92729.270999999993</v>
      </c>
      <c r="G159" s="4">
        <v>92736.061000000002</v>
      </c>
      <c r="H159" s="5">
        <f>599 / 86400</f>
        <v>6.9328703703703705E-3</v>
      </c>
      <c r="I159" t="s">
        <v>166</v>
      </c>
      <c r="J159" t="s">
        <v>53</v>
      </c>
      <c r="K159" s="5">
        <f>2187 / 86400</f>
        <v>2.5312500000000002E-2</v>
      </c>
      <c r="L159" s="5">
        <f>162 / 86400</f>
        <v>1.8749999999999999E-3</v>
      </c>
    </row>
    <row r="160" spans="1:12" x14ac:dyDescent="0.25">
      <c r="A160" s="3">
        <v>45702.891932870371</v>
      </c>
      <c r="B160" t="s">
        <v>165</v>
      </c>
      <c r="C160" s="3">
        <v>45702.89461805555</v>
      </c>
      <c r="D160" t="s">
        <v>29</v>
      </c>
      <c r="E160" s="4">
        <v>0.61199999999999999</v>
      </c>
      <c r="F160" s="4">
        <v>92736.061000000002</v>
      </c>
      <c r="G160" s="4">
        <v>92736.672999999995</v>
      </c>
      <c r="H160" s="5">
        <f>0 / 86400</f>
        <v>0</v>
      </c>
      <c r="I160" t="s">
        <v>59</v>
      </c>
      <c r="J160" t="s">
        <v>126</v>
      </c>
      <c r="K160" s="5">
        <f>231 / 86400</f>
        <v>2.673611111111111E-3</v>
      </c>
      <c r="L160" s="5">
        <f>9104 / 86400</f>
        <v>0.10537037037037036</v>
      </c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2" s="10" customFormat="1" ht="20.100000000000001" customHeight="1" x14ac:dyDescent="0.35">
      <c r="A163" s="15" t="s">
        <v>424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2" ht="30" x14ac:dyDescent="0.25">
      <c r="A165" s="2" t="s">
        <v>6</v>
      </c>
      <c r="B165" s="2" t="s">
        <v>7</v>
      </c>
      <c r="C165" s="2" t="s">
        <v>8</v>
      </c>
      <c r="D165" s="2" t="s">
        <v>9</v>
      </c>
      <c r="E165" s="2" t="s">
        <v>10</v>
      </c>
      <c r="F165" s="2" t="s">
        <v>11</v>
      </c>
      <c r="G165" s="2" t="s">
        <v>12</v>
      </c>
      <c r="H165" s="2" t="s">
        <v>13</v>
      </c>
      <c r="I165" s="2" t="s">
        <v>14</v>
      </c>
      <c r="J165" s="2" t="s">
        <v>15</v>
      </c>
      <c r="K165" s="2" t="s">
        <v>16</v>
      </c>
      <c r="L165" s="2" t="s">
        <v>17</v>
      </c>
    </row>
    <row r="166" spans="1:12" x14ac:dyDescent="0.25">
      <c r="A166" s="3">
        <v>45702</v>
      </c>
      <c r="B166" t="s">
        <v>18</v>
      </c>
      <c r="C166" s="3">
        <v>45702.045162037037</v>
      </c>
      <c r="D166" t="s">
        <v>167</v>
      </c>
      <c r="E166" s="4">
        <v>35.363999999999997</v>
      </c>
      <c r="F166" s="4">
        <v>138142.96100000001</v>
      </c>
      <c r="G166" s="4">
        <v>138178.32500000001</v>
      </c>
      <c r="H166" s="5">
        <f>660 / 86400</f>
        <v>7.6388888888888886E-3</v>
      </c>
      <c r="I166" t="s">
        <v>36</v>
      </c>
      <c r="J166" t="s">
        <v>168</v>
      </c>
      <c r="K166" s="5">
        <f>3902 / 86400</f>
        <v>4.5162037037037035E-2</v>
      </c>
      <c r="L166" s="5">
        <f>155 / 86400</f>
        <v>1.7939814814814815E-3</v>
      </c>
    </row>
    <row r="167" spans="1:12" x14ac:dyDescent="0.25">
      <c r="A167" s="3">
        <v>45702.046956018516</v>
      </c>
      <c r="B167" t="s">
        <v>167</v>
      </c>
      <c r="C167" s="3">
        <v>45702.04987268518</v>
      </c>
      <c r="D167" t="s">
        <v>19</v>
      </c>
      <c r="E167" s="4">
        <v>0.5</v>
      </c>
      <c r="F167" s="4">
        <v>138178.32500000001</v>
      </c>
      <c r="G167" s="4">
        <v>138178.82500000001</v>
      </c>
      <c r="H167" s="5">
        <f>60 / 86400</f>
        <v>6.9444444444444447E-4</v>
      </c>
      <c r="I167" t="s">
        <v>145</v>
      </c>
      <c r="J167" t="s">
        <v>138</v>
      </c>
      <c r="K167" s="5">
        <f>252 / 86400</f>
        <v>2.9166666666666668E-3</v>
      </c>
      <c r="L167" s="5">
        <f>16569 / 86400</f>
        <v>0.19177083333333333</v>
      </c>
    </row>
    <row r="168" spans="1:12" x14ac:dyDescent="0.25">
      <c r="A168" s="3">
        <v>45702.241643518515</v>
      </c>
      <c r="B168" t="s">
        <v>19</v>
      </c>
      <c r="C168" s="3">
        <v>45702.281076388885</v>
      </c>
      <c r="D168" t="s">
        <v>169</v>
      </c>
      <c r="E168" s="4">
        <v>6.7889999999999997</v>
      </c>
      <c r="F168" s="4">
        <v>138178.82500000001</v>
      </c>
      <c r="G168" s="4">
        <v>138185.614</v>
      </c>
      <c r="H168" s="5">
        <f>2019 / 86400</f>
        <v>2.3368055555555555E-2</v>
      </c>
      <c r="I168" t="s">
        <v>170</v>
      </c>
      <c r="J168" t="s">
        <v>138</v>
      </c>
      <c r="K168" s="5">
        <f>3406 / 86400</f>
        <v>3.9421296296296295E-2</v>
      </c>
      <c r="L168" s="5">
        <f>579 / 86400</f>
        <v>6.7013888888888887E-3</v>
      </c>
    </row>
    <row r="169" spans="1:12" x14ac:dyDescent="0.25">
      <c r="A169" s="3">
        <v>45702.287777777776</v>
      </c>
      <c r="B169" t="s">
        <v>169</v>
      </c>
      <c r="C169" s="3">
        <v>45702.288611111115</v>
      </c>
      <c r="D169" t="s">
        <v>169</v>
      </c>
      <c r="E169" s="4">
        <v>0</v>
      </c>
      <c r="F169" s="4">
        <v>138185.614</v>
      </c>
      <c r="G169" s="4">
        <v>138185.614</v>
      </c>
      <c r="H169" s="5">
        <f>60 / 86400</f>
        <v>6.9444444444444447E-4</v>
      </c>
      <c r="I169" t="s">
        <v>88</v>
      </c>
      <c r="J169" t="s">
        <v>88</v>
      </c>
      <c r="K169" s="5">
        <f>72 / 86400</f>
        <v>8.3333333333333339E-4</v>
      </c>
      <c r="L169" s="5">
        <f>1256 / 86400</f>
        <v>1.4537037037037038E-2</v>
      </c>
    </row>
    <row r="170" spans="1:12" x14ac:dyDescent="0.25">
      <c r="A170" s="3">
        <v>45702.303148148145</v>
      </c>
      <c r="B170" t="s">
        <v>169</v>
      </c>
      <c r="C170" s="3">
        <v>45702.44121527778</v>
      </c>
      <c r="D170" t="s">
        <v>48</v>
      </c>
      <c r="E170" s="4">
        <v>46.988</v>
      </c>
      <c r="F170" s="4">
        <v>138185.614</v>
      </c>
      <c r="G170" s="4">
        <v>138232.60200000001</v>
      </c>
      <c r="H170" s="5">
        <f>5159 / 86400</f>
        <v>5.9710648148148152E-2</v>
      </c>
      <c r="I170" t="s">
        <v>49</v>
      </c>
      <c r="J170" t="s">
        <v>59</v>
      </c>
      <c r="K170" s="5">
        <f>11929 / 86400</f>
        <v>0.13806712962962964</v>
      </c>
      <c r="L170" s="5">
        <f>1855 / 86400</f>
        <v>2.1469907407407406E-2</v>
      </c>
    </row>
    <row r="171" spans="1:12" x14ac:dyDescent="0.25">
      <c r="A171" s="3">
        <v>45702.462685185186</v>
      </c>
      <c r="B171" t="s">
        <v>48</v>
      </c>
      <c r="C171" s="3">
        <v>45702.667847222227</v>
      </c>
      <c r="D171" t="s">
        <v>69</v>
      </c>
      <c r="E171" s="4">
        <v>99.343999999999994</v>
      </c>
      <c r="F171" s="4">
        <v>138232.60200000001</v>
      </c>
      <c r="G171" s="4">
        <v>138331.946</v>
      </c>
      <c r="H171" s="5">
        <f>5820 / 86400</f>
        <v>6.7361111111111108E-2</v>
      </c>
      <c r="I171" t="s">
        <v>36</v>
      </c>
      <c r="J171" t="s">
        <v>145</v>
      </c>
      <c r="K171" s="5">
        <f>17726 / 86400</f>
        <v>0.20516203703703703</v>
      </c>
      <c r="L171" s="5">
        <f>178 / 86400</f>
        <v>2.0601851851851853E-3</v>
      </c>
    </row>
    <row r="172" spans="1:12" x14ac:dyDescent="0.25">
      <c r="A172" s="3">
        <v>45702.669907407406</v>
      </c>
      <c r="B172" t="s">
        <v>171</v>
      </c>
      <c r="C172" s="3">
        <v>45702.74417824074</v>
      </c>
      <c r="D172" t="s">
        <v>137</v>
      </c>
      <c r="E172" s="4">
        <v>29.725999999999999</v>
      </c>
      <c r="F172" s="4">
        <v>138331.946</v>
      </c>
      <c r="G172" s="4">
        <v>138361.67199999999</v>
      </c>
      <c r="H172" s="5">
        <f>2000 / 86400</f>
        <v>2.3148148148148147E-2</v>
      </c>
      <c r="I172" t="s">
        <v>170</v>
      </c>
      <c r="J172" t="s">
        <v>28</v>
      </c>
      <c r="K172" s="5">
        <f>6417 / 86400</f>
        <v>7.4270833333333328E-2</v>
      </c>
      <c r="L172" s="5">
        <f>2166 / 86400</f>
        <v>2.5069444444444443E-2</v>
      </c>
    </row>
    <row r="173" spans="1:12" x14ac:dyDescent="0.25">
      <c r="A173" s="3">
        <v>45702.769247685181</v>
      </c>
      <c r="B173" t="s">
        <v>137</v>
      </c>
      <c r="C173" s="3">
        <v>45702.83357638889</v>
      </c>
      <c r="D173" t="s">
        <v>172</v>
      </c>
      <c r="E173" s="4">
        <v>33.036999999999999</v>
      </c>
      <c r="F173" s="4">
        <v>138361.67199999999</v>
      </c>
      <c r="G173" s="4">
        <v>138394.709</v>
      </c>
      <c r="H173" s="5">
        <f>1580 / 86400</f>
        <v>1.8287037037037036E-2</v>
      </c>
      <c r="I173" t="s">
        <v>89</v>
      </c>
      <c r="J173" t="s">
        <v>21</v>
      </c>
      <c r="K173" s="5">
        <f>5558 / 86400</f>
        <v>6.4328703703703707E-2</v>
      </c>
      <c r="L173" s="5">
        <f>565 / 86400</f>
        <v>6.5393518518518517E-3</v>
      </c>
    </row>
    <row r="174" spans="1:12" x14ac:dyDescent="0.25">
      <c r="A174" s="3">
        <v>45702.840115740742</v>
      </c>
      <c r="B174" t="s">
        <v>172</v>
      </c>
      <c r="C174" s="3">
        <v>45702.853912037041</v>
      </c>
      <c r="D174" t="s">
        <v>19</v>
      </c>
      <c r="E174" s="4">
        <v>2.5470000000000002</v>
      </c>
      <c r="F174" s="4">
        <v>138394.709</v>
      </c>
      <c r="G174" s="4">
        <v>138397.25599999999</v>
      </c>
      <c r="H174" s="5">
        <f>419 / 86400</f>
        <v>4.8495370370370368E-3</v>
      </c>
      <c r="I174" t="s">
        <v>173</v>
      </c>
      <c r="J174" t="s">
        <v>123</v>
      </c>
      <c r="K174" s="5">
        <f>1192 / 86400</f>
        <v>1.3796296296296296E-2</v>
      </c>
      <c r="L174" s="5">
        <f>12621 / 86400</f>
        <v>0.14607638888888888</v>
      </c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2" s="10" customFormat="1" ht="20.100000000000001" customHeight="1" x14ac:dyDescent="0.35">
      <c r="A177" s="15" t="s">
        <v>425</v>
      </c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2" ht="30" x14ac:dyDescent="0.25">
      <c r="A179" s="2" t="s">
        <v>6</v>
      </c>
      <c r="B179" s="2" t="s">
        <v>7</v>
      </c>
      <c r="C179" s="2" t="s">
        <v>8</v>
      </c>
      <c r="D179" s="2" t="s">
        <v>9</v>
      </c>
      <c r="E179" s="2" t="s">
        <v>10</v>
      </c>
      <c r="F179" s="2" t="s">
        <v>11</v>
      </c>
      <c r="G179" s="2" t="s">
        <v>12</v>
      </c>
      <c r="H179" s="2" t="s">
        <v>13</v>
      </c>
      <c r="I179" s="2" t="s">
        <v>14</v>
      </c>
      <c r="J179" s="2" t="s">
        <v>15</v>
      </c>
      <c r="K179" s="2" t="s">
        <v>16</v>
      </c>
      <c r="L179" s="2" t="s">
        <v>17</v>
      </c>
    </row>
    <row r="180" spans="1:12" x14ac:dyDescent="0.25">
      <c r="A180" s="3">
        <v>45702.204259259262</v>
      </c>
      <c r="B180" t="s">
        <v>29</v>
      </c>
      <c r="C180" s="3">
        <v>45702.20689814815</v>
      </c>
      <c r="D180" t="s">
        <v>174</v>
      </c>
      <c r="E180" s="4">
        <v>0.92679589825868602</v>
      </c>
      <c r="F180" s="4">
        <v>348048.0313106238</v>
      </c>
      <c r="G180" s="4">
        <v>348048.9581065221</v>
      </c>
      <c r="H180" s="5">
        <f t="shared" ref="H180:H243" si="0">0 / 86400</f>
        <v>0</v>
      </c>
      <c r="I180" t="s">
        <v>175</v>
      </c>
      <c r="J180" t="s">
        <v>31</v>
      </c>
      <c r="K180" s="5">
        <f>228 / 86400</f>
        <v>2.638888888888889E-3</v>
      </c>
      <c r="L180" s="5">
        <f>17877 / 86400</f>
        <v>0.20690972222222223</v>
      </c>
    </row>
    <row r="181" spans="1:12" x14ac:dyDescent="0.25">
      <c r="A181" s="3">
        <v>45702.209548611107</v>
      </c>
      <c r="B181" t="s">
        <v>174</v>
      </c>
      <c r="C181" s="3">
        <v>45702.213692129633</v>
      </c>
      <c r="D181" t="s">
        <v>176</v>
      </c>
      <c r="E181" s="4">
        <v>4.6601330783963206</v>
      </c>
      <c r="F181" s="4">
        <v>348048.96552502376</v>
      </c>
      <c r="G181" s="4">
        <v>348053.62565810216</v>
      </c>
      <c r="H181" s="5">
        <f t="shared" si="0"/>
        <v>0</v>
      </c>
      <c r="I181" t="s">
        <v>61</v>
      </c>
      <c r="J181" t="s">
        <v>143</v>
      </c>
      <c r="K181" s="5">
        <f>358 / 86400</f>
        <v>4.1435185185185186E-3</v>
      </c>
      <c r="L181" s="5">
        <f>4 / 86400</f>
        <v>4.6296296296296294E-5</v>
      </c>
    </row>
    <row r="182" spans="1:12" x14ac:dyDescent="0.25">
      <c r="A182" s="3">
        <v>45702.213738425926</v>
      </c>
      <c r="B182" t="s">
        <v>176</v>
      </c>
      <c r="C182" s="3">
        <v>45702.214247685188</v>
      </c>
      <c r="D182" t="s">
        <v>177</v>
      </c>
      <c r="E182" s="4">
        <v>0.33758460056781769</v>
      </c>
      <c r="F182" s="4">
        <v>348053.6303140333</v>
      </c>
      <c r="G182" s="4">
        <v>348053.96789863391</v>
      </c>
      <c r="H182" s="5">
        <f t="shared" si="0"/>
        <v>0</v>
      </c>
      <c r="I182" t="s">
        <v>131</v>
      </c>
      <c r="J182" t="s">
        <v>178</v>
      </c>
      <c r="K182" s="5">
        <f>44 / 86400</f>
        <v>5.0925925925925921E-4</v>
      </c>
      <c r="L182" s="5">
        <f>159 / 86400</f>
        <v>1.8402777777777777E-3</v>
      </c>
    </row>
    <row r="183" spans="1:12" x14ac:dyDescent="0.25">
      <c r="A183" s="3">
        <v>45702.216087962966</v>
      </c>
      <c r="B183" t="s">
        <v>179</v>
      </c>
      <c r="C183" s="3">
        <v>45702.216319444444</v>
      </c>
      <c r="D183" t="s">
        <v>179</v>
      </c>
      <c r="E183" s="4">
        <v>6.421806037425995E-3</v>
      </c>
      <c r="F183" s="4">
        <v>348053.98362139426</v>
      </c>
      <c r="G183" s="4">
        <v>348053.99004320032</v>
      </c>
      <c r="H183" s="5">
        <f t="shared" si="0"/>
        <v>0</v>
      </c>
      <c r="I183" t="s">
        <v>132</v>
      </c>
      <c r="J183" t="s">
        <v>120</v>
      </c>
      <c r="K183" s="5">
        <f>20 / 86400</f>
        <v>2.3148148148148149E-4</v>
      </c>
      <c r="L183" s="5">
        <f>650 / 86400</f>
        <v>7.5231481481481477E-3</v>
      </c>
    </row>
    <row r="184" spans="1:12" x14ac:dyDescent="0.25">
      <c r="A184" s="3">
        <v>45702.22384259259</v>
      </c>
      <c r="B184" t="s">
        <v>180</v>
      </c>
      <c r="C184" s="3">
        <v>45702.224074074074</v>
      </c>
      <c r="D184" t="s">
        <v>180</v>
      </c>
      <c r="E184" s="4">
        <v>3.2672096490859986E-3</v>
      </c>
      <c r="F184" s="4">
        <v>348054.02612056752</v>
      </c>
      <c r="G184" s="4">
        <v>348054.02938777715</v>
      </c>
      <c r="H184" s="5">
        <f t="shared" si="0"/>
        <v>0</v>
      </c>
      <c r="I184" t="s">
        <v>140</v>
      </c>
      <c r="J184" t="s">
        <v>120</v>
      </c>
      <c r="K184" s="5">
        <f>20 / 86400</f>
        <v>2.3148148148148149E-4</v>
      </c>
      <c r="L184" s="5">
        <f>580 / 86400</f>
        <v>6.7129629629629631E-3</v>
      </c>
    </row>
    <row r="185" spans="1:12" x14ac:dyDescent="0.25">
      <c r="A185" s="3">
        <v>45702.230787037042</v>
      </c>
      <c r="B185" t="s">
        <v>181</v>
      </c>
      <c r="C185" s="3">
        <v>45702.23101851852</v>
      </c>
      <c r="D185" t="s">
        <v>181</v>
      </c>
      <c r="E185" s="4">
        <v>1.4740916490554809E-3</v>
      </c>
      <c r="F185" s="4">
        <v>348054.07366341591</v>
      </c>
      <c r="G185" s="4">
        <v>348054.07513750758</v>
      </c>
      <c r="H185" s="5">
        <f t="shared" si="0"/>
        <v>0</v>
      </c>
      <c r="I185" t="s">
        <v>140</v>
      </c>
      <c r="J185" t="s">
        <v>88</v>
      </c>
      <c r="K185" s="5">
        <f>20 / 86400</f>
        <v>2.3148148148148149E-4</v>
      </c>
      <c r="L185" s="5">
        <f>320 / 86400</f>
        <v>3.7037037037037038E-3</v>
      </c>
    </row>
    <row r="186" spans="1:12" x14ac:dyDescent="0.25">
      <c r="A186" s="3">
        <v>45702.234722222223</v>
      </c>
      <c r="B186" t="s">
        <v>180</v>
      </c>
      <c r="C186" s="3">
        <v>45702.238923611112</v>
      </c>
      <c r="D186" t="s">
        <v>104</v>
      </c>
      <c r="E186" s="4">
        <v>3.1466305954456328</v>
      </c>
      <c r="F186" s="4">
        <v>348054.10750748479</v>
      </c>
      <c r="G186" s="4">
        <v>348057.25413808023</v>
      </c>
      <c r="H186" s="5">
        <f t="shared" si="0"/>
        <v>0</v>
      </c>
      <c r="I186" t="s">
        <v>56</v>
      </c>
      <c r="J186" t="s">
        <v>155</v>
      </c>
      <c r="K186" s="5">
        <f>363 / 86400</f>
        <v>4.2013888888888891E-3</v>
      </c>
      <c r="L186" s="5">
        <f>20 / 86400</f>
        <v>2.3148148148148149E-4</v>
      </c>
    </row>
    <row r="187" spans="1:12" x14ac:dyDescent="0.25">
      <c r="A187" s="3">
        <v>45702.239155092597</v>
      </c>
      <c r="B187" t="s">
        <v>104</v>
      </c>
      <c r="C187" s="3">
        <v>45702.239849537036</v>
      </c>
      <c r="D187" t="s">
        <v>104</v>
      </c>
      <c r="E187" s="4">
        <v>5.0474121928215029E-2</v>
      </c>
      <c r="F187" s="4">
        <v>348057.2593467391</v>
      </c>
      <c r="G187" s="4">
        <v>348057.30982086103</v>
      </c>
      <c r="H187" s="5">
        <f t="shared" si="0"/>
        <v>0</v>
      </c>
      <c r="I187" t="s">
        <v>123</v>
      </c>
      <c r="J187" t="s">
        <v>152</v>
      </c>
      <c r="K187" s="5">
        <f>60 / 86400</f>
        <v>6.9444444444444447E-4</v>
      </c>
      <c r="L187" s="5">
        <f>40 / 86400</f>
        <v>4.6296296296296298E-4</v>
      </c>
    </row>
    <row r="188" spans="1:12" x14ac:dyDescent="0.25">
      <c r="A188" s="3">
        <v>45702.240312499998</v>
      </c>
      <c r="B188" t="s">
        <v>104</v>
      </c>
      <c r="C188" s="3">
        <v>45702.240775462968</v>
      </c>
      <c r="D188" t="s">
        <v>182</v>
      </c>
      <c r="E188" s="4">
        <v>5.4925877928733824E-2</v>
      </c>
      <c r="F188" s="4">
        <v>348057.31706875114</v>
      </c>
      <c r="G188" s="4">
        <v>348057.37199462909</v>
      </c>
      <c r="H188" s="5">
        <f t="shared" si="0"/>
        <v>0</v>
      </c>
      <c r="I188" t="s">
        <v>127</v>
      </c>
      <c r="J188" t="s">
        <v>127</v>
      </c>
      <c r="K188" s="5">
        <f>40 / 86400</f>
        <v>4.6296296296296298E-4</v>
      </c>
      <c r="L188" s="5">
        <f>42 / 86400</f>
        <v>4.861111111111111E-4</v>
      </c>
    </row>
    <row r="189" spans="1:12" x14ac:dyDescent="0.25">
      <c r="A189" s="3">
        <v>45702.241261574076</v>
      </c>
      <c r="B189" t="s">
        <v>182</v>
      </c>
      <c r="C189" s="3">
        <v>45702.241724537038</v>
      </c>
      <c r="D189" t="s">
        <v>104</v>
      </c>
      <c r="E189" s="4">
        <v>2.5714831352233888E-2</v>
      </c>
      <c r="F189" s="4">
        <v>348057.37664420309</v>
      </c>
      <c r="G189" s="4">
        <v>348057.4023590344</v>
      </c>
      <c r="H189" s="5">
        <f t="shared" si="0"/>
        <v>0</v>
      </c>
      <c r="I189" t="s">
        <v>123</v>
      </c>
      <c r="J189" t="s">
        <v>140</v>
      </c>
      <c r="K189" s="5">
        <f>40 / 86400</f>
        <v>4.6296296296296298E-4</v>
      </c>
      <c r="L189" s="5">
        <f>60 / 86400</f>
        <v>6.9444444444444447E-4</v>
      </c>
    </row>
    <row r="190" spans="1:12" x14ac:dyDescent="0.25">
      <c r="A190" s="3">
        <v>45702.242418981477</v>
      </c>
      <c r="B190" t="s">
        <v>104</v>
      </c>
      <c r="C190" s="3">
        <v>45702.243807870371</v>
      </c>
      <c r="D190" t="s">
        <v>104</v>
      </c>
      <c r="E190" s="4">
        <v>0.92938230538368227</v>
      </c>
      <c r="F190" s="4">
        <v>348057.42203146499</v>
      </c>
      <c r="G190" s="4">
        <v>348058.3514137704</v>
      </c>
      <c r="H190" s="5">
        <f t="shared" si="0"/>
        <v>0</v>
      </c>
      <c r="I190" t="s">
        <v>183</v>
      </c>
      <c r="J190" t="s">
        <v>178</v>
      </c>
      <c r="K190" s="5">
        <f>120 / 86400</f>
        <v>1.3888888888888889E-3</v>
      </c>
      <c r="L190" s="5">
        <f t="shared" ref="L190:L195" si="1">20 / 86400</f>
        <v>2.3148148148148149E-4</v>
      </c>
    </row>
    <row r="191" spans="1:12" x14ac:dyDescent="0.25">
      <c r="A191" s="3">
        <v>45702.244039351848</v>
      </c>
      <c r="B191" t="s">
        <v>104</v>
      </c>
      <c r="C191" s="3">
        <v>45702.244270833333</v>
      </c>
      <c r="D191" t="s">
        <v>104</v>
      </c>
      <c r="E191" s="4">
        <v>3.4617314338684082E-3</v>
      </c>
      <c r="F191" s="4">
        <v>348058.35349246778</v>
      </c>
      <c r="G191" s="4">
        <v>348058.3569541992</v>
      </c>
      <c r="H191" s="5">
        <f t="shared" si="0"/>
        <v>0</v>
      </c>
      <c r="I191" t="s">
        <v>156</v>
      </c>
      <c r="J191" t="s">
        <v>120</v>
      </c>
      <c r="K191" s="5">
        <f>20 / 86400</f>
        <v>2.3148148148148149E-4</v>
      </c>
      <c r="L191" s="5">
        <f t="shared" si="1"/>
        <v>2.3148148148148149E-4</v>
      </c>
    </row>
    <row r="192" spans="1:12" x14ac:dyDescent="0.25">
      <c r="A192" s="3">
        <v>45702.244502314818</v>
      </c>
      <c r="B192" t="s">
        <v>104</v>
      </c>
      <c r="C192" s="3">
        <v>45702.248900462961</v>
      </c>
      <c r="D192" t="s">
        <v>111</v>
      </c>
      <c r="E192" s="4">
        <v>3.5389940724968909</v>
      </c>
      <c r="F192" s="4">
        <v>348058.36730120808</v>
      </c>
      <c r="G192" s="4">
        <v>348061.90629528055</v>
      </c>
      <c r="H192" s="5">
        <f t="shared" si="0"/>
        <v>0</v>
      </c>
      <c r="I192" t="s">
        <v>89</v>
      </c>
      <c r="J192" t="s">
        <v>184</v>
      </c>
      <c r="K192" s="5">
        <f>380 / 86400</f>
        <v>4.3981481481481484E-3</v>
      </c>
      <c r="L192" s="5">
        <f t="shared" si="1"/>
        <v>2.3148148148148149E-4</v>
      </c>
    </row>
    <row r="193" spans="1:12" x14ac:dyDescent="0.25">
      <c r="A193" s="3">
        <v>45702.249131944445</v>
      </c>
      <c r="B193" t="s">
        <v>185</v>
      </c>
      <c r="C193" s="3">
        <v>45702.251215277778</v>
      </c>
      <c r="D193" t="s">
        <v>69</v>
      </c>
      <c r="E193" s="4">
        <v>1.8525709503889083</v>
      </c>
      <c r="F193" s="4">
        <v>348061.93561279203</v>
      </c>
      <c r="G193" s="4">
        <v>348063.78818374238</v>
      </c>
      <c r="H193" s="5">
        <f t="shared" si="0"/>
        <v>0</v>
      </c>
      <c r="I193" t="s">
        <v>61</v>
      </c>
      <c r="J193" t="s">
        <v>173</v>
      </c>
      <c r="K193" s="5">
        <f>180 / 86400</f>
        <v>2.0833333333333333E-3</v>
      </c>
      <c r="L193" s="5">
        <f t="shared" si="1"/>
        <v>2.3148148148148149E-4</v>
      </c>
    </row>
    <row r="194" spans="1:12" x14ac:dyDescent="0.25">
      <c r="A194" s="3">
        <v>45702.251446759255</v>
      </c>
      <c r="B194" t="s">
        <v>69</v>
      </c>
      <c r="C194" s="3">
        <v>45702.25445601852</v>
      </c>
      <c r="D194" t="s">
        <v>186</v>
      </c>
      <c r="E194" s="4">
        <v>2.0677451383471488</v>
      </c>
      <c r="F194" s="4">
        <v>348063.79102439521</v>
      </c>
      <c r="G194" s="4">
        <v>348065.85876953357</v>
      </c>
      <c r="H194" s="5">
        <f t="shared" si="0"/>
        <v>0</v>
      </c>
      <c r="I194" t="s">
        <v>187</v>
      </c>
      <c r="J194" t="s">
        <v>147</v>
      </c>
      <c r="K194" s="5">
        <f>260 / 86400</f>
        <v>3.0092592592592593E-3</v>
      </c>
      <c r="L194" s="5">
        <f t="shared" si="1"/>
        <v>2.3148148148148149E-4</v>
      </c>
    </row>
    <row r="195" spans="1:12" x14ac:dyDescent="0.25">
      <c r="A195" s="3">
        <v>45702.254687499997</v>
      </c>
      <c r="B195" t="s">
        <v>186</v>
      </c>
      <c r="C195" s="3">
        <v>45702.255613425921</v>
      </c>
      <c r="D195" t="s">
        <v>188</v>
      </c>
      <c r="E195" s="4">
        <v>0.35686250555515292</v>
      </c>
      <c r="F195" s="4">
        <v>348065.91729027854</v>
      </c>
      <c r="G195" s="4">
        <v>348066.27415278408</v>
      </c>
      <c r="H195" s="5">
        <f t="shared" si="0"/>
        <v>0</v>
      </c>
      <c r="I195" t="s">
        <v>189</v>
      </c>
      <c r="J195" t="s">
        <v>34</v>
      </c>
      <c r="K195" s="5">
        <f>80 / 86400</f>
        <v>9.2592592592592596E-4</v>
      </c>
      <c r="L195" s="5">
        <f t="shared" si="1"/>
        <v>2.3148148148148149E-4</v>
      </c>
    </row>
    <row r="196" spans="1:12" x14ac:dyDescent="0.25">
      <c r="A196" s="3">
        <v>45702.255844907406</v>
      </c>
      <c r="B196" t="s">
        <v>188</v>
      </c>
      <c r="C196" s="3">
        <v>45702.257233796292</v>
      </c>
      <c r="D196" t="s">
        <v>188</v>
      </c>
      <c r="E196" s="4">
        <v>0.18376565289497376</v>
      </c>
      <c r="F196" s="4">
        <v>348066.29277629574</v>
      </c>
      <c r="G196" s="4">
        <v>348066.47654194862</v>
      </c>
      <c r="H196" s="5">
        <f t="shared" si="0"/>
        <v>0</v>
      </c>
      <c r="I196" t="s">
        <v>53</v>
      </c>
      <c r="J196" t="s">
        <v>132</v>
      </c>
      <c r="K196" s="5">
        <f>120 / 86400</f>
        <v>1.3888888888888889E-3</v>
      </c>
      <c r="L196" s="5">
        <f>100 / 86400</f>
        <v>1.1574074074074073E-3</v>
      </c>
    </row>
    <row r="197" spans="1:12" x14ac:dyDescent="0.25">
      <c r="A197" s="3">
        <v>45702.258391203708</v>
      </c>
      <c r="B197" t="s">
        <v>188</v>
      </c>
      <c r="C197" s="3">
        <v>45702.258622685185</v>
      </c>
      <c r="D197" t="s">
        <v>190</v>
      </c>
      <c r="E197" s="4">
        <v>3.3810757398605347E-2</v>
      </c>
      <c r="F197" s="4">
        <v>348066.50666881242</v>
      </c>
      <c r="G197" s="4">
        <v>348066.54047956981</v>
      </c>
      <c r="H197" s="5">
        <f t="shared" si="0"/>
        <v>0</v>
      </c>
      <c r="I197" t="s">
        <v>57</v>
      </c>
      <c r="J197" t="s">
        <v>132</v>
      </c>
      <c r="K197" s="5">
        <f>20 / 86400</f>
        <v>2.3148148148148149E-4</v>
      </c>
      <c r="L197" s="5">
        <f>58 / 86400</f>
        <v>6.7129629629629625E-4</v>
      </c>
    </row>
    <row r="198" spans="1:12" x14ac:dyDescent="0.25">
      <c r="A198" s="3">
        <v>45702.259293981479</v>
      </c>
      <c r="B198" t="s">
        <v>188</v>
      </c>
      <c r="C198" s="3">
        <v>45702.260914351849</v>
      </c>
      <c r="D198" t="s">
        <v>188</v>
      </c>
      <c r="E198" s="4">
        <v>1.2496536414027215</v>
      </c>
      <c r="F198" s="4">
        <v>348066.55334984022</v>
      </c>
      <c r="G198" s="4">
        <v>348067.80300348165</v>
      </c>
      <c r="H198" s="5">
        <f t="shared" si="0"/>
        <v>0</v>
      </c>
      <c r="I198" t="s">
        <v>63</v>
      </c>
      <c r="J198" t="s">
        <v>133</v>
      </c>
      <c r="K198" s="5">
        <f>140 / 86400</f>
        <v>1.6203703703703703E-3</v>
      </c>
      <c r="L198" s="5">
        <f>20 / 86400</f>
        <v>2.3148148148148149E-4</v>
      </c>
    </row>
    <row r="199" spans="1:12" x14ac:dyDescent="0.25">
      <c r="A199" s="3">
        <v>45702.261145833334</v>
      </c>
      <c r="B199" t="s">
        <v>188</v>
      </c>
      <c r="C199" s="3">
        <v>45702.261377314819</v>
      </c>
      <c r="D199" t="s">
        <v>188</v>
      </c>
      <c r="E199" s="4">
        <v>1.8521928310394287E-2</v>
      </c>
      <c r="F199" s="4">
        <v>348067.80529212288</v>
      </c>
      <c r="G199" s="4">
        <v>348067.82381405123</v>
      </c>
      <c r="H199" s="5">
        <f t="shared" si="0"/>
        <v>0</v>
      </c>
      <c r="I199" t="s">
        <v>140</v>
      </c>
      <c r="J199" t="s">
        <v>152</v>
      </c>
      <c r="K199" s="5">
        <f>20 / 86400</f>
        <v>2.3148148148148149E-4</v>
      </c>
      <c r="L199" s="5">
        <f>20 / 86400</f>
        <v>2.3148148148148149E-4</v>
      </c>
    </row>
    <row r="200" spans="1:12" x14ac:dyDescent="0.25">
      <c r="A200" s="3">
        <v>45702.261608796296</v>
      </c>
      <c r="B200" t="s">
        <v>188</v>
      </c>
      <c r="C200" s="3">
        <v>45702.26353009259</v>
      </c>
      <c r="D200" t="s">
        <v>188</v>
      </c>
      <c r="E200" s="4">
        <v>0.94770409566164016</v>
      </c>
      <c r="F200" s="4">
        <v>348067.82804445853</v>
      </c>
      <c r="G200" s="4">
        <v>348068.77574855415</v>
      </c>
      <c r="H200" s="5">
        <f t="shared" si="0"/>
        <v>0</v>
      </c>
      <c r="I200" t="s">
        <v>163</v>
      </c>
      <c r="J200" t="s">
        <v>21</v>
      </c>
      <c r="K200" s="5">
        <f>166 / 86400</f>
        <v>1.9212962962962964E-3</v>
      </c>
      <c r="L200" s="5">
        <f>20 / 86400</f>
        <v>2.3148148148148149E-4</v>
      </c>
    </row>
    <row r="201" spans="1:12" x14ac:dyDescent="0.25">
      <c r="A201" s="3">
        <v>45702.263761574075</v>
      </c>
      <c r="B201" t="s">
        <v>191</v>
      </c>
      <c r="C201" s="3">
        <v>45702.264687499999</v>
      </c>
      <c r="D201" t="s">
        <v>192</v>
      </c>
      <c r="E201" s="4">
        <v>0.67479723769426347</v>
      </c>
      <c r="F201" s="4">
        <v>348068.88094646629</v>
      </c>
      <c r="G201" s="4">
        <v>348069.55574370397</v>
      </c>
      <c r="H201" s="5">
        <f t="shared" si="0"/>
        <v>0</v>
      </c>
      <c r="I201" t="s">
        <v>183</v>
      </c>
      <c r="J201" t="s">
        <v>189</v>
      </c>
      <c r="K201" s="5">
        <f>80 / 86400</f>
        <v>9.2592592592592596E-4</v>
      </c>
      <c r="L201" s="5">
        <f>40 / 86400</f>
        <v>4.6296296296296298E-4</v>
      </c>
    </row>
    <row r="202" spans="1:12" x14ac:dyDescent="0.25">
      <c r="A202" s="3">
        <v>45702.265150462961</v>
      </c>
      <c r="B202" t="s">
        <v>192</v>
      </c>
      <c r="C202" s="3">
        <v>45702.26561342593</v>
      </c>
      <c r="D202" t="s">
        <v>193</v>
      </c>
      <c r="E202" s="4">
        <v>7.765272486209869E-2</v>
      </c>
      <c r="F202" s="4">
        <v>348069.56267837703</v>
      </c>
      <c r="G202" s="4">
        <v>348069.64033110189</v>
      </c>
      <c r="H202" s="5">
        <f t="shared" si="0"/>
        <v>0</v>
      </c>
      <c r="I202" t="s">
        <v>126</v>
      </c>
      <c r="J202" t="s">
        <v>138</v>
      </c>
      <c r="K202" s="5">
        <f>40 / 86400</f>
        <v>4.6296296296296298E-4</v>
      </c>
      <c r="L202" s="5">
        <f>8 / 86400</f>
        <v>9.2592592592592588E-5</v>
      </c>
    </row>
    <row r="203" spans="1:12" x14ac:dyDescent="0.25">
      <c r="A203" s="3">
        <v>45702.265706018516</v>
      </c>
      <c r="B203" t="s">
        <v>193</v>
      </c>
      <c r="C203" s="3">
        <v>45702.266006944439</v>
      </c>
      <c r="D203" t="s">
        <v>193</v>
      </c>
      <c r="E203" s="4">
        <v>2.9947384476661683E-2</v>
      </c>
      <c r="F203" s="4">
        <v>348069.64461037586</v>
      </c>
      <c r="G203" s="4">
        <v>348069.67455776036</v>
      </c>
      <c r="H203" s="5">
        <f t="shared" si="0"/>
        <v>0</v>
      </c>
      <c r="I203" t="s">
        <v>28</v>
      </c>
      <c r="J203" t="s">
        <v>156</v>
      </c>
      <c r="K203" s="5">
        <f>26 / 86400</f>
        <v>3.0092592592592595E-4</v>
      </c>
      <c r="L203" s="5">
        <f>20 / 86400</f>
        <v>2.3148148148148149E-4</v>
      </c>
    </row>
    <row r="204" spans="1:12" x14ac:dyDescent="0.25">
      <c r="A204" s="3">
        <v>45702.266238425931</v>
      </c>
      <c r="B204" t="s">
        <v>193</v>
      </c>
      <c r="C204" s="3">
        <v>45702.267164351855</v>
      </c>
      <c r="D204" t="s">
        <v>188</v>
      </c>
      <c r="E204" s="4">
        <v>0.70652230638265612</v>
      </c>
      <c r="F204" s="4">
        <v>348069.67979423719</v>
      </c>
      <c r="G204" s="4">
        <v>348070.38631654356</v>
      </c>
      <c r="H204" s="5">
        <f t="shared" si="0"/>
        <v>0</v>
      </c>
      <c r="I204" t="s">
        <v>150</v>
      </c>
      <c r="J204" t="s">
        <v>133</v>
      </c>
      <c r="K204" s="5">
        <f>80 / 86400</f>
        <v>9.2592592592592596E-4</v>
      </c>
      <c r="L204" s="5">
        <f>20 / 86400</f>
        <v>2.3148148148148149E-4</v>
      </c>
    </row>
    <row r="205" spans="1:12" x14ac:dyDescent="0.25">
      <c r="A205" s="3">
        <v>45702.267395833333</v>
      </c>
      <c r="B205" t="s">
        <v>188</v>
      </c>
      <c r="C205" s="3">
        <v>45702.269247685181</v>
      </c>
      <c r="D205" t="s">
        <v>194</v>
      </c>
      <c r="E205" s="4">
        <v>1.0569786350727082</v>
      </c>
      <c r="F205" s="4">
        <v>348070.40277069551</v>
      </c>
      <c r="G205" s="4">
        <v>348071.45974933059</v>
      </c>
      <c r="H205" s="5">
        <f t="shared" si="0"/>
        <v>0</v>
      </c>
      <c r="I205" t="s">
        <v>195</v>
      </c>
      <c r="J205" t="s">
        <v>196</v>
      </c>
      <c r="K205" s="5">
        <f>160 / 86400</f>
        <v>1.8518518518518519E-3</v>
      </c>
      <c r="L205" s="5">
        <f>40 / 86400</f>
        <v>4.6296296296296298E-4</v>
      </c>
    </row>
    <row r="206" spans="1:12" x14ac:dyDescent="0.25">
      <c r="A206" s="3">
        <v>45702.26971064815</v>
      </c>
      <c r="B206" t="s">
        <v>188</v>
      </c>
      <c r="C206" s="3">
        <v>45702.271331018521</v>
      </c>
      <c r="D206" t="s">
        <v>194</v>
      </c>
      <c r="E206" s="4">
        <v>1.2233041085600853</v>
      </c>
      <c r="F206" s="4">
        <v>348071.49874034995</v>
      </c>
      <c r="G206" s="4">
        <v>348072.7220444585</v>
      </c>
      <c r="H206" s="5">
        <f t="shared" si="0"/>
        <v>0</v>
      </c>
      <c r="I206" t="s">
        <v>197</v>
      </c>
      <c r="J206" t="s">
        <v>155</v>
      </c>
      <c r="K206" s="5">
        <f>140 / 86400</f>
        <v>1.6203703703703703E-3</v>
      </c>
      <c r="L206" s="5">
        <f>63 / 86400</f>
        <v>7.291666666666667E-4</v>
      </c>
    </row>
    <row r="207" spans="1:12" x14ac:dyDescent="0.25">
      <c r="A207" s="3">
        <v>45702.272060185191</v>
      </c>
      <c r="B207" t="s">
        <v>194</v>
      </c>
      <c r="C207" s="3">
        <v>45702.272291666668</v>
      </c>
      <c r="D207" t="s">
        <v>113</v>
      </c>
      <c r="E207" s="4">
        <v>2.8399946033954619E-2</v>
      </c>
      <c r="F207" s="4">
        <v>348072.75810490351</v>
      </c>
      <c r="G207" s="4">
        <v>348072.78650484956</v>
      </c>
      <c r="H207" s="5">
        <f t="shared" si="0"/>
        <v>0</v>
      </c>
      <c r="I207" t="s">
        <v>127</v>
      </c>
      <c r="J207" t="s">
        <v>127</v>
      </c>
      <c r="K207" s="5">
        <f>20 / 86400</f>
        <v>2.3148148148148149E-4</v>
      </c>
      <c r="L207" s="5">
        <f>3 / 86400</f>
        <v>3.4722222222222222E-5</v>
      </c>
    </row>
    <row r="208" spans="1:12" x14ac:dyDescent="0.25">
      <c r="A208" s="3">
        <v>45702.272326388891</v>
      </c>
      <c r="B208" t="s">
        <v>113</v>
      </c>
      <c r="C208" s="3">
        <v>45702.272557870368</v>
      </c>
      <c r="D208" t="s">
        <v>113</v>
      </c>
      <c r="E208" s="4">
        <v>1.1825906038284302E-2</v>
      </c>
      <c r="F208" s="4">
        <v>348072.79033481661</v>
      </c>
      <c r="G208" s="4">
        <v>348072.80216072267</v>
      </c>
      <c r="H208" s="5">
        <f t="shared" si="0"/>
        <v>0</v>
      </c>
      <c r="I208" t="s">
        <v>127</v>
      </c>
      <c r="J208" t="s">
        <v>140</v>
      </c>
      <c r="K208" s="5">
        <f>20 / 86400</f>
        <v>2.3148148148148149E-4</v>
      </c>
      <c r="L208" s="5">
        <f>20 / 86400</f>
        <v>2.3148148148148149E-4</v>
      </c>
    </row>
    <row r="209" spans="1:12" x14ac:dyDescent="0.25">
      <c r="A209" s="3">
        <v>45702.272789351853</v>
      </c>
      <c r="B209" t="s">
        <v>113</v>
      </c>
      <c r="C209" s="3">
        <v>45702.2734375</v>
      </c>
      <c r="D209" t="s">
        <v>198</v>
      </c>
      <c r="E209" s="4">
        <v>0.28204135328531266</v>
      </c>
      <c r="F209" s="4">
        <v>348072.81626190356</v>
      </c>
      <c r="G209" s="4">
        <v>348073.09830325685</v>
      </c>
      <c r="H209" s="5">
        <f t="shared" si="0"/>
        <v>0</v>
      </c>
      <c r="I209" t="s">
        <v>155</v>
      </c>
      <c r="J209" t="s">
        <v>24</v>
      </c>
      <c r="K209" s="5">
        <f>56 / 86400</f>
        <v>6.4814814814814813E-4</v>
      </c>
      <c r="L209" s="5">
        <f>20 / 86400</f>
        <v>2.3148148148148149E-4</v>
      </c>
    </row>
    <row r="210" spans="1:12" x14ac:dyDescent="0.25">
      <c r="A210" s="3">
        <v>45702.273668981477</v>
      </c>
      <c r="B210" t="s">
        <v>113</v>
      </c>
      <c r="C210" s="3">
        <v>45702.274131944447</v>
      </c>
      <c r="D210" t="s">
        <v>199</v>
      </c>
      <c r="E210" s="4">
        <v>0.10377594488859176</v>
      </c>
      <c r="F210" s="4">
        <v>348073.13783680287</v>
      </c>
      <c r="G210" s="4">
        <v>348073.24161274772</v>
      </c>
      <c r="H210" s="5">
        <f t="shared" si="0"/>
        <v>0</v>
      </c>
      <c r="I210" t="s">
        <v>35</v>
      </c>
      <c r="J210" t="s">
        <v>57</v>
      </c>
      <c r="K210" s="5">
        <f>40 / 86400</f>
        <v>4.6296296296296298E-4</v>
      </c>
      <c r="L210" s="5">
        <f>40 / 86400</f>
        <v>4.6296296296296298E-4</v>
      </c>
    </row>
    <row r="211" spans="1:12" x14ac:dyDescent="0.25">
      <c r="A211" s="3">
        <v>45702.274594907409</v>
      </c>
      <c r="B211" t="s">
        <v>200</v>
      </c>
      <c r="C211" s="3">
        <v>45702.275057870371</v>
      </c>
      <c r="D211" t="s">
        <v>201</v>
      </c>
      <c r="E211" s="4">
        <v>0.29632836329936979</v>
      </c>
      <c r="F211" s="4">
        <v>348073.33591214247</v>
      </c>
      <c r="G211" s="4">
        <v>348073.63224050577</v>
      </c>
      <c r="H211" s="5">
        <f t="shared" si="0"/>
        <v>0</v>
      </c>
      <c r="I211" t="s">
        <v>139</v>
      </c>
      <c r="J211" t="s">
        <v>135</v>
      </c>
      <c r="K211" s="5">
        <f>40 / 86400</f>
        <v>4.6296296296296298E-4</v>
      </c>
      <c r="L211" s="5">
        <f>20 / 86400</f>
        <v>2.3148148148148149E-4</v>
      </c>
    </row>
    <row r="212" spans="1:12" x14ac:dyDescent="0.25">
      <c r="A212" s="3">
        <v>45702.275289351848</v>
      </c>
      <c r="B212" t="s">
        <v>202</v>
      </c>
      <c r="C212" s="3">
        <v>45702.275752314818</v>
      </c>
      <c r="D212" t="s">
        <v>188</v>
      </c>
      <c r="E212" s="4">
        <v>0.20527822852134706</v>
      </c>
      <c r="F212" s="4">
        <v>348073.66730292956</v>
      </c>
      <c r="G212" s="4">
        <v>348073.87258115812</v>
      </c>
      <c r="H212" s="5">
        <f t="shared" si="0"/>
        <v>0</v>
      </c>
      <c r="I212" t="s">
        <v>189</v>
      </c>
      <c r="J212" t="s">
        <v>24</v>
      </c>
      <c r="K212" s="5">
        <f>40 / 86400</f>
        <v>4.6296296296296298E-4</v>
      </c>
      <c r="L212" s="5">
        <f>20 / 86400</f>
        <v>2.3148148148148149E-4</v>
      </c>
    </row>
    <row r="213" spans="1:12" x14ac:dyDescent="0.25">
      <c r="A213" s="3">
        <v>45702.275983796295</v>
      </c>
      <c r="B213" t="s">
        <v>203</v>
      </c>
      <c r="C213" s="3">
        <v>45702.277835648143</v>
      </c>
      <c r="D213" t="s">
        <v>69</v>
      </c>
      <c r="E213" s="4">
        <v>0.80094798666238787</v>
      </c>
      <c r="F213" s="4">
        <v>348073.92239767656</v>
      </c>
      <c r="G213" s="4">
        <v>348074.72334566322</v>
      </c>
      <c r="H213" s="5">
        <f t="shared" si="0"/>
        <v>0</v>
      </c>
      <c r="I213" t="s">
        <v>173</v>
      </c>
      <c r="J213" t="s">
        <v>24</v>
      </c>
      <c r="K213" s="5">
        <f>160 / 86400</f>
        <v>1.8518518518518519E-3</v>
      </c>
      <c r="L213" s="5">
        <f>20 / 86400</f>
        <v>2.3148148148148149E-4</v>
      </c>
    </row>
    <row r="214" spans="1:12" x14ac:dyDescent="0.25">
      <c r="A214" s="3">
        <v>45702.278067129635</v>
      </c>
      <c r="B214" t="s">
        <v>69</v>
      </c>
      <c r="C214" s="3">
        <v>45702.281307870369</v>
      </c>
      <c r="D214" t="s">
        <v>69</v>
      </c>
      <c r="E214" s="4">
        <v>1.108515900671482</v>
      </c>
      <c r="F214" s="4">
        <v>348074.75601172715</v>
      </c>
      <c r="G214" s="4">
        <v>348075.86452762783</v>
      </c>
      <c r="H214" s="5">
        <f t="shared" si="0"/>
        <v>0</v>
      </c>
      <c r="I214" t="s">
        <v>143</v>
      </c>
      <c r="J214" t="s">
        <v>59</v>
      </c>
      <c r="K214" s="5">
        <f>280 / 86400</f>
        <v>3.2407407407407406E-3</v>
      </c>
      <c r="L214" s="5">
        <f>40 / 86400</f>
        <v>4.6296296296296298E-4</v>
      </c>
    </row>
    <row r="215" spans="1:12" x14ac:dyDescent="0.25">
      <c r="A215" s="3">
        <v>45702.281770833331</v>
      </c>
      <c r="B215" t="s">
        <v>69</v>
      </c>
      <c r="C215" s="3">
        <v>45702.282465277778</v>
      </c>
      <c r="D215" t="s">
        <v>69</v>
      </c>
      <c r="E215" s="4">
        <v>9.2418874144554145E-2</v>
      </c>
      <c r="F215" s="4">
        <v>348075.9112171997</v>
      </c>
      <c r="G215" s="4">
        <v>348076.00363607384</v>
      </c>
      <c r="H215" s="5">
        <f t="shared" si="0"/>
        <v>0</v>
      </c>
      <c r="I215" t="s">
        <v>62</v>
      </c>
      <c r="J215" t="s">
        <v>132</v>
      </c>
      <c r="K215" s="5">
        <f>60 / 86400</f>
        <v>6.9444444444444447E-4</v>
      </c>
      <c r="L215" s="5">
        <f>40 / 86400</f>
        <v>4.6296296296296298E-4</v>
      </c>
    </row>
    <row r="216" spans="1:12" x14ac:dyDescent="0.25">
      <c r="A216" s="3">
        <v>45702.28292824074</v>
      </c>
      <c r="B216" t="s">
        <v>69</v>
      </c>
      <c r="C216" s="3">
        <v>45702.286168981482</v>
      </c>
      <c r="D216" t="s">
        <v>204</v>
      </c>
      <c r="E216" s="4">
        <v>2.2249603427648545</v>
      </c>
      <c r="F216" s="4">
        <v>348076.0383759769</v>
      </c>
      <c r="G216" s="4">
        <v>348078.26333631971</v>
      </c>
      <c r="H216" s="5">
        <f t="shared" si="0"/>
        <v>0</v>
      </c>
      <c r="I216" t="s">
        <v>150</v>
      </c>
      <c r="J216" t="s">
        <v>147</v>
      </c>
      <c r="K216" s="5">
        <f>280 / 86400</f>
        <v>3.2407407407407406E-3</v>
      </c>
      <c r="L216" s="5">
        <f>20 / 86400</f>
        <v>2.3148148148148149E-4</v>
      </c>
    </row>
    <row r="217" spans="1:12" x14ac:dyDescent="0.25">
      <c r="A217" s="3">
        <v>45702.286400462966</v>
      </c>
      <c r="B217" t="s">
        <v>111</v>
      </c>
      <c r="C217" s="3">
        <v>45702.286631944444</v>
      </c>
      <c r="D217" t="s">
        <v>111</v>
      </c>
      <c r="E217" s="4">
        <v>0.21746047568321228</v>
      </c>
      <c r="F217" s="4">
        <v>348078.35146694444</v>
      </c>
      <c r="G217" s="4">
        <v>348078.56892742013</v>
      </c>
      <c r="H217" s="5">
        <f t="shared" si="0"/>
        <v>0</v>
      </c>
      <c r="I217" t="s">
        <v>205</v>
      </c>
      <c r="J217" t="s">
        <v>206</v>
      </c>
      <c r="K217" s="5">
        <f>20 / 86400</f>
        <v>2.3148148148148149E-4</v>
      </c>
      <c r="L217" s="5">
        <f>20 / 86400</f>
        <v>2.3148148148148149E-4</v>
      </c>
    </row>
    <row r="218" spans="1:12" x14ac:dyDescent="0.25">
      <c r="A218" s="3">
        <v>45702.286863425921</v>
      </c>
      <c r="B218" t="s">
        <v>111</v>
      </c>
      <c r="C218" s="3">
        <v>45702.287326388891</v>
      </c>
      <c r="D218" t="s">
        <v>111</v>
      </c>
      <c r="E218" s="4">
        <v>0.40055741637945175</v>
      </c>
      <c r="F218" s="4">
        <v>348078.67164818553</v>
      </c>
      <c r="G218" s="4">
        <v>348079.07220560196</v>
      </c>
      <c r="H218" s="5">
        <f t="shared" si="0"/>
        <v>0</v>
      </c>
      <c r="I218" t="s">
        <v>207</v>
      </c>
      <c r="J218" t="s">
        <v>157</v>
      </c>
      <c r="K218" s="5">
        <f>40 / 86400</f>
        <v>4.6296296296296298E-4</v>
      </c>
      <c r="L218" s="5">
        <f>20 / 86400</f>
        <v>2.3148148148148149E-4</v>
      </c>
    </row>
    <row r="219" spans="1:12" x14ac:dyDescent="0.25">
      <c r="A219" s="3">
        <v>45702.287557870368</v>
      </c>
      <c r="B219" t="s">
        <v>111</v>
      </c>
      <c r="C219" s="3">
        <v>45702.288020833337</v>
      </c>
      <c r="D219" t="s">
        <v>111</v>
      </c>
      <c r="E219" s="4">
        <v>0.46562721699476239</v>
      </c>
      <c r="F219" s="4">
        <v>348079.20417358674</v>
      </c>
      <c r="G219" s="4">
        <v>348079.66980080371</v>
      </c>
      <c r="H219" s="5">
        <f t="shared" si="0"/>
        <v>0</v>
      </c>
      <c r="I219" t="s">
        <v>134</v>
      </c>
      <c r="J219" t="s">
        <v>208</v>
      </c>
      <c r="K219" s="5">
        <f>40 / 86400</f>
        <v>4.6296296296296298E-4</v>
      </c>
      <c r="L219" s="5">
        <f>20 / 86400</f>
        <v>2.3148148148148149E-4</v>
      </c>
    </row>
    <row r="220" spans="1:12" x14ac:dyDescent="0.25">
      <c r="A220" s="3">
        <v>45702.288252314815</v>
      </c>
      <c r="B220" t="s">
        <v>111</v>
      </c>
      <c r="C220" s="3">
        <v>45702.290335648147</v>
      </c>
      <c r="D220" t="s">
        <v>104</v>
      </c>
      <c r="E220" s="4">
        <v>2.0283014693260193</v>
      </c>
      <c r="F220" s="4">
        <v>348079.84011652099</v>
      </c>
      <c r="G220" s="4">
        <v>348081.86841799034</v>
      </c>
      <c r="H220" s="5">
        <f t="shared" si="0"/>
        <v>0</v>
      </c>
      <c r="I220" t="s">
        <v>209</v>
      </c>
      <c r="J220" t="s">
        <v>131</v>
      </c>
      <c r="K220" s="5">
        <f>180 / 86400</f>
        <v>2.0833333333333333E-3</v>
      </c>
      <c r="L220" s="5">
        <f>20 / 86400</f>
        <v>2.3148148148148149E-4</v>
      </c>
    </row>
    <row r="221" spans="1:12" x14ac:dyDescent="0.25">
      <c r="A221" s="3">
        <v>45702.290567129632</v>
      </c>
      <c r="B221" t="s">
        <v>104</v>
      </c>
      <c r="C221" s="3">
        <v>45702.291261574079</v>
      </c>
      <c r="D221" t="s">
        <v>210</v>
      </c>
      <c r="E221" s="4">
        <v>0.74347347968816757</v>
      </c>
      <c r="F221" s="4">
        <v>348081.92044299952</v>
      </c>
      <c r="G221" s="4">
        <v>348082.66391647921</v>
      </c>
      <c r="H221" s="5">
        <f t="shared" si="0"/>
        <v>0</v>
      </c>
      <c r="I221" t="s">
        <v>197</v>
      </c>
      <c r="J221" t="s">
        <v>211</v>
      </c>
      <c r="K221" s="5">
        <f>60 / 86400</f>
        <v>6.9444444444444447E-4</v>
      </c>
      <c r="L221" s="5">
        <f>60 / 86400</f>
        <v>6.9444444444444447E-4</v>
      </c>
    </row>
    <row r="222" spans="1:12" x14ac:dyDescent="0.25">
      <c r="A222" s="3">
        <v>45702.291956018518</v>
      </c>
      <c r="B222" t="s">
        <v>104</v>
      </c>
      <c r="C222" s="3">
        <v>45702.29519675926</v>
      </c>
      <c r="D222" t="s">
        <v>180</v>
      </c>
      <c r="E222" s="4">
        <v>2.4487179974317552</v>
      </c>
      <c r="F222" s="4">
        <v>348082.76876318315</v>
      </c>
      <c r="G222" s="4">
        <v>348085.21748118062</v>
      </c>
      <c r="H222" s="5">
        <f t="shared" si="0"/>
        <v>0</v>
      </c>
      <c r="I222" t="s">
        <v>212</v>
      </c>
      <c r="J222" t="s">
        <v>155</v>
      </c>
      <c r="K222" s="5">
        <f>280 / 86400</f>
        <v>3.2407407407407406E-3</v>
      </c>
      <c r="L222" s="5">
        <f>20 / 86400</f>
        <v>2.3148148148148149E-4</v>
      </c>
    </row>
    <row r="223" spans="1:12" x14ac:dyDescent="0.25">
      <c r="A223" s="3">
        <v>45702.295428240745</v>
      </c>
      <c r="B223" t="s">
        <v>180</v>
      </c>
      <c r="C223" s="3">
        <v>45702.295659722222</v>
      </c>
      <c r="D223" t="s">
        <v>180</v>
      </c>
      <c r="E223" s="4">
        <v>5.3590331077575685E-3</v>
      </c>
      <c r="F223" s="4">
        <v>348085.22277599113</v>
      </c>
      <c r="G223" s="4">
        <v>348085.22813502426</v>
      </c>
      <c r="H223" s="5">
        <f t="shared" si="0"/>
        <v>0</v>
      </c>
      <c r="I223" t="s">
        <v>120</v>
      </c>
      <c r="J223" t="s">
        <v>120</v>
      </c>
      <c r="K223" s="5">
        <f>20 / 86400</f>
        <v>2.3148148148148149E-4</v>
      </c>
      <c r="L223" s="5">
        <f>18 / 86400</f>
        <v>2.0833333333333335E-4</v>
      </c>
    </row>
    <row r="224" spans="1:12" x14ac:dyDescent="0.25">
      <c r="A224" s="3">
        <v>45702.29586805556</v>
      </c>
      <c r="B224" t="s">
        <v>180</v>
      </c>
      <c r="C224" s="3">
        <v>45702.2965625</v>
      </c>
      <c r="D224" t="s">
        <v>176</v>
      </c>
      <c r="E224" s="4">
        <v>0.60414318394660949</v>
      </c>
      <c r="F224" s="4">
        <v>348085.23356825882</v>
      </c>
      <c r="G224" s="4">
        <v>348085.83771144279</v>
      </c>
      <c r="H224" s="5">
        <f t="shared" si="0"/>
        <v>0</v>
      </c>
      <c r="I224" t="s">
        <v>183</v>
      </c>
      <c r="J224" t="s">
        <v>157</v>
      </c>
      <c r="K224" s="5">
        <f>60 / 86400</f>
        <v>6.9444444444444447E-4</v>
      </c>
      <c r="L224" s="5">
        <f>20 / 86400</f>
        <v>2.3148148148148149E-4</v>
      </c>
    </row>
    <row r="225" spans="1:12" x14ac:dyDescent="0.25">
      <c r="A225" s="3">
        <v>45702.296793981484</v>
      </c>
      <c r="B225" t="s">
        <v>176</v>
      </c>
      <c r="C225" s="3">
        <v>45702.299803240741</v>
      </c>
      <c r="D225" t="s">
        <v>176</v>
      </c>
      <c r="E225" s="4">
        <v>3.4291997787356379</v>
      </c>
      <c r="F225" s="4">
        <v>348085.96686775616</v>
      </c>
      <c r="G225" s="4">
        <v>348089.39606753486</v>
      </c>
      <c r="H225" s="5">
        <f t="shared" si="0"/>
        <v>0</v>
      </c>
      <c r="I225" t="s">
        <v>197</v>
      </c>
      <c r="J225" t="s">
        <v>143</v>
      </c>
      <c r="K225" s="5">
        <f>260 / 86400</f>
        <v>3.0092592592592593E-3</v>
      </c>
      <c r="L225" s="5">
        <f>20 / 86400</f>
        <v>2.3148148148148149E-4</v>
      </c>
    </row>
    <row r="226" spans="1:12" x14ac:dyDescent="0.25">
      <c r="A226" s="3">
        <v>45702.300034722226</v>
      </c>
      <c r="B226" t="s">
        <v>213</v>
      </c>
      <c r="C226" s="3">
        <v>45702.301423611112</v>
      </c>
      <c r="D226" t="s">
        <v>214</v>
      </c>
      <c r="E226" s="4">
        <v>0.91586559402942658</v>
      </c>
      <c r="F226" s="4">
        <v>348089.52636259055</v>
      </c>
      <c r="G226" s="4">
        <v>348090.44222818461</v>
      </c>
      <c r="H226" s="5">
        <f t="shared" si="0"/>
        <v>0</v>
      </c>
      <c r="I226" t="s">
        <v>207</v>
      </c>
      <c r="J226" t="s">
        <v>135</v>
      </c>
      <c r="K226" s="5">
        <f>120 / 86400</f>
        <v>1.3888888888888889E-3</v>
      </c>
      <c r="L226" s="5">
        <f>20 / 86400</f>
        <v>2.3148148148148149E-4</v>
      </c>
    </row>
    <row r="227" spans="1:12" x14ac:dyDescent="0.25">
      <c r="A227" s="3">
        <v>45702.301655092597</v>
      </c>
      <c r="B227" t="s">
        <v>215</v>
      </c>
      <c r="C227" s="3">
        <v>45702.302349537036</v>
      </c>
      <c r="D227" t="s">
        <v>216</v>
      </c>
      <c r="E227" s="4">
        <v>0.65645991992950437</v>
      </c>
      <c r="F227" s="4">
        <v>348090.49417296628</v>
      </c>
      <c r="G227" s="4">
        <v>348091.15063288622</v>
      </c>
      <c r="H227" s="5">
        <f t="shared" si="0"/>
        <v>0</v>
      </c>
      <c r="I227" t="s">
        <v>173</v>
      </c>
      <c r="J227" t="s">
        <v>206</v>
      </c>
      <c r="K227" s="5">
        <f>60 / 86400</f>
        <v>6.9444444444444447E-4</v>
      </c>
      <c r="L227" s="5">
        <f>20 / 86400</f>
        <v>2.3148148148148149E-4</v>
      </c>
    </row>
    <row r="228" spans="1:12" x14ac:dyDescent="0.25">
      <c r="A228" s="3">
        <v>45702.302581018521</v>
      </c>
      <c r="B228" t="s">
        <v>216</v>
      </c>
      <c r="C228" s="3">
        <v>45702.305358796293</v>
      </c>
      <c r="D228" t="s">
        <v>217</v>
      </c>
      <c r="E228" s="4">
        <v>2.2070247765183448</v>
      </c>
      <c r="F228" s="4">
        <v>348091.27094144491</v>
      </c>
      <c r="G228" s="4">
        <v>348093.47796622146</v>
      </c>
      <c r="H228" s="5">
        <f t="shared" si="0"/>
        <v>0</v>
      </c>
      <c r="I228" t="s">
        <v>209</v>
      </c>
      <c r="J228" t="s">
        <v>168</v>
      </c>
      <c r="K228" s="5">
        <f>240 / 86400</f>
        <v>2.7777777777777779E-3</v>
      </c>
      <c r="L228" s="5">
        <f>9 / 86400</f>
        <v>1.0416666666666667E-4</v>
      </c>
    </row>
    <row r="229" spans="1:12" x14ac:dyDescent="0.25">
      <c r="A229" s="3">
        <v>45702.305462962962</v>
      </c>
      <c r="B229" t="s">
        <v>218</v>
      </c>
      <c r="C229" s="3">
        <v>45702.307083333333</v>
      </c>
      <c r="D229" t="s">
        <v>219</v>
      </c>
      <c r="E229" s="4">
        <v>2.4159581614136694</v>
      </c>
      <c r="F229" s="4">
        <v>348093.51645854383</v>
      </c>
      <c r="G229" s="4">
        <v>348095.93241670524</v>
      </c>
      <c r="H229" s="5">
        <f t="shared" si="0"/>
        <v>0</v>
      </c>
      <c r="I229" t="s">
        <v>44</v>
      </c>
      <c r="J229" t="s">
        <v>170</v>
      </c>
      <c r="K229" s="5">
        <f>140 / 86400</f>
        <v>1.6203703703703703E-3</v>
      </c>
      <c r="L229" s="5">
        <f>20 / 86400</f>
        <v>2.3148148148148149E-4</v>
      </c>
    </row>
    <row r="230" spans="1:12" x14ac:dyDescent="0.25">
      <c r="A230" s="3">
        <v>45702.307314814811</v>
      </c>
      <c r="B230" t="s">
        <v>219</v>
      </c>
      <c r="C230" s="3">
        <v>45702.310023148151</v>
      </c>
      <c r="D230" t="s">
        <v>220</v>
      </c>
      <c r="E230" s="4">
        <v>2.8096501213908196</v>
      </c>
      <c r="F230" s="4">
        <v>348095.95643715985</v>
      </c>
      <c r="G230" s="4">
        <v>348098.76608728123</v>
      </c>
      <c r="H230" s="5">
        <f t="shared" si="0"/>
        <v>0</v>
      </c>
      <c r="I230" t="s">
        <v>56</v>
      </c>
      <c r="J230" t="s">
        <v>221</v>
      </c>
      <c r="K230" s="5">
        <f>234 / 86400</f>
        <v>2.7083333333333334E-3</v>
      </c>
      <c r="L230" s="5">
        <f>20 / 86400</f>
        <v>2.3148148148148149E-4</v>
      </c>
    </row>
    <row r="231" spans="1:12" x14ac:dyDescent="0.25">
      <c r="A231" s="3">
        <v>45702.310254629629</v>
      </c>
      <c r="B231" t="s">
        <v>222</v>
      </c>
      <c r="C231" s="3">
        <v>45702.312106481477</v>
      </c>
      <c r="D231" t="s">
        <v>222</v>
      </c>
      <c r="E231" s="4">
        <v>1.1118146638870239</v>
      </c>
      <c r="F231" s="4">
        <v>348098.86234149145</v>
      </c>
      <c r="G231" s="4">
        <v>348099.97415615537</v>
      </c>
      <c r="H231" s="5">
        <f t="shared" si="0"/>
        <v>0</v>
      </c>
      <c r="I231" t="s">
        <v>143</v>
      </c>
      <c r="J231" t="s">
        <v>122</v>
      </c>
      <c r="K231" s="5">
        <f>160 / 86400</f>
        <v>1.8518518518518519E-3</v>
      </c>
      <c r="L231" s="5">
        <f>20 / 86400</f>
        <v>2.3148148148148149E-4</v>
      </c>
    </row>
    <row r="232" spans="1:12" x14ac:dyDescent="0.25">
      <c r="A232" s="3">
        <v>45702.312337962961</v>
      </c>
      <c r="B232" t="s">
        <v>223</v>
      </c>
      <c r="C232" s="3">
        <v>45702.31350694444</v>
      </c>
      <c r="D232" t="s">
        <v>224</v>
      </c>
      <c r="E232" s="4">
        <v>0.36654613322019575</v>
      </c>
      <c r="F232" s="4">
        <v>348100.08658753929</v>
      </c>
      <c r="G232" s="4">
        <v>348100.45313367253</v>
      </c>
      <c r="H232" s="5">
        <f t="shared" si="0"/>
        <v>0</v>
      </c>
      <c r="I232" t="s">
        <v>221</v>
      </c>
      <c r="J232" t="s">
        <v>35</v>
      </c>
      <c r="K232" s="5">
        <f>101 / 86400</f>
        <v>1.1689814814814816E-3</v>
      </c>
      <c r="L232" s="5">
        <f>20 / 86400</f>
        <v>2.3148148148148149E-4</v>
      </c>
    </row>
    <row r="233" spans="1:12" x14ac:dyDescent="0.25">
      <c r="A233" s="3">
        <v>45702.313738425924</v>
      </c>
      <c r="B233" t="s">
        <v>224</v>
      </c>
      <c r="C233" s="3">
        <v>45702.323831018519</v>
      </c>
      <c r="D233" t="s">
        <v>125</v>
      </c>
      <c r="E233" s="4">
        <v>5.0272860203385354</v>
      </c>
      <c r="F233" s="4">
        <v>348100.47615812178</v>
      </c>
      <c r="G233" s="4">
        <v>348105.50344414212</v>
      </c>
      <c r="H233" s="5">
        <f t="shared" si="0"/>
        <v>0</v>
      </c>
      <c r="I233" t="s">
        <v>221</v>
      </c>
      <c r="J233" t="s">
        <v>21</v>
      </c>
      <c r="K233" s="5">
        <f>872 / 86400</f>
        <v>1.0092592592592592E-2</v>
      </c>
      <c r="L233" s="5">
        <f>556 / 86400</f>
        <v>6.4351851851851853E-3</v>
      </c>
    </row>
    <row r="234" spans="1:12" x14ac:dyDescent="0.25">
      <c r="A234" s="3">
        <v>45702.330266203702</v>
      </c>
      <c r="B234" t="s">
        <v>125</v>
      </c>
      <c r="C234" s="3">
        <v>45702.33488425926</v>
      </c>
      <c r="D234" t="s">
        <v>48</v>
      </c>
      <c r="E234" s="4">
        <v>1.6789905189871788</v>
      </c>
      <c r="F234" s="4">
        <v>348105.51439396827</v>
      </c>
      <c r="G234" s="4">
        <v>348107.1933844873</v>
      </c>
      <c r="H234" s="5">
        <f t="shared" si="0"/>
        <v>0</v>
      </c>
      <c r="I234" t="s">
        <v>135</v>
      </c>
      <c r="J234" t="s">
        <v>31</v>
      </c>
      <c r="K234" s="5">
        <f>399 / 86400</f>
        <v>4.6180555555555558E-3</v>
      </c>
      <c r="L234" s="5">
        <f>1101 / 86400</f>
        <v>1.2743055555555556E-2</v>
      </c>
    </row>
    <row r="235" spans="1:12" x14ac:dyDescent="0.25">
      <c r="A235" s="3">
        <v>45702.347627314812</v>
      </c>
      <c r="B235" t="s">
        <v>48</v>
      </c>
      <c r="C235" s="3">
        <v>45702.34856481482</v>
      </c>
      <c r="D235" t="s">
        <v>137</v>
      </c>
      <c r="E235" s="4">
        <v>0.3997323715686798</v>
      </c>
      <c r="F235" s="4">
        <v>348107.20325626578</v>
      </c>
      <c r="G235" s="4">
        <v>348107.60298863734</v>
      </c>
      <c r="H235" s="5">
        <f t="shared" si="0"/>
        <v>0</v>
      </c>
      <c r="I235" t="s">
        <v>221</v>
      </c>
      <c r="J235" t="s">
        <v>24</v>
      </c>
      <c r="K235" s="5">
        <f>81 / 86400</f>
        <v>9.3749999999999997E-4</v>
      </c>
      <c r="L235" s="5">
        <f>10 / 86400</f>
        <v>1.1574074074074075E-4</v>
      </c>
    </row>
    <row r="236" spans="1:12" x14ac:dyDescent="0.25">
      <c r="A236" s="3">
        <v>45702.348680555559</v>
      </c>
      <c r="B236" t="s">
        <v>137</v>
      </c>
      <c r="C236" s="3">
        <v>45702.350300925929</v>
      </c>
      <c r="D236" t="s">
        <v>114</v>
      </c>
      <c r="E236" s="4">
        <v>1.3666276712417602</v>
      </c>
      <c r="F236" s="4">
        <v>348107.60495301703</v>
      </c>
      <c r="G236" s="4">
        <v>348108.97158068832</v>
      </c>
      <c r="H236" s="5">
        <f t="shared" si="0"/>
        <v>0</v>
      </c>
      <c r="I236" t="s">
        <v>207</v>
      </c>
      <c r="J236" t="s">
        <v>139</v>
      </c>
      <c r="K236" s="5">
        <f>140 / 86400</f>
        <v>1.6203703703703703E-3</v>
      </c>
      <c r="L236" s="5">
        <f>20 / 86400</f>
        <v>2.3148148148148149E-4</v>
      </c>
    </row>
    <row r="237" spans="1:12" x14ac:dyDescent="0.25">
      <c r="A237" s="3">
        <v>45702.350532407407</v>
      </c>
      <c r="B237" t="s">
        <v>114</v>
      </c>
      <c r="C237" s="3">
        <v>45702.351226851853</v>
      </c>
      <c r="D237" t="s">
        <v>225</v>
      </c>
      <c r="E237" s="4">
        <v>0.46364959090948105</v>
      </c>
      <c r="F237" s="4">
        <v>348108.97889844043</v>
      </c>
      <c r="G237" s="4">
        <v>348109.44254803134</v>
      </c>
      <c r="H237" s="5">
        <f t="shared" si="0"/>
        <v>0</v>
      </c>
      <c r="I237" t="s">
        <v>166</v>
      </c>
      <c r="J237" t="s">
        <v>178</v>
      </c>
      <c r="K237" s="5">
        <f>60 / 86400</f>
        <v>6.9444444444444447E-4</v>
      </c>
      <c r="L237" s="5">
        <f>20 / 86400</f>
        <v>2.3148148148148149E-4</v>
      </c>
    </row>
    <row r="238" spans="1:12" x14ac:dyDescent="0.25">
      <c r="A238" s="3">
        <v>45702.351458333331</v>
      </c>
      <c r="B238" t="s">
        <v>225</v>
      </c>
      <c r="C238" s="3">
        <v>45702.352384259255</v>
      </c>
      <c r="D238" t="s">
        <v>226</v>
      </c>
      <c r="E238" s="4">
        <v>0.42462883907556531</v>
      </c>
      <c r="F238" s="4">
        <v>348109.44770890742</v>
      </c>
      <c r="G238" s="4">
        <v>348109.87233774649</v>
      </c>
      <c r="H238" s="5">
        <f t="shared" si="0"/>
        <v>0</v>
      </c>
      <c r="I238" t="s">
        <v>189</v>
      </c>
      <c r="J238" t="s">
        <v>99</v>
      </c>
      <c r="K238" s="5">
        <f>80 / 86400</f>
        <v>9.2592592592592596E-4</v>
      </c>
      <c r="L238" s="5">
        <f>20 / 86400</f>
        <v>2.3148148148148149E-4</v>
      </c>
    </row>
    <row r="239" spans="1:12" x14ac:dyDescent="0.25">
      <c r="A239" s="3">
        <v>45702.35261574074</v>
      </c>
      <c r="B239" t="s">
        <v>226</v>
      </c>
      <c r="C239" s="3">
        <v>45702.354467592595</v>
      </c>
      <c r="D239" t="s">
        <v>227</v>
      </c>
      <c r="E239" s="4">
        <v>1.0407743917107581</v>
      </c>
      <c r="F239" s="4">
        <v>348109.87652951805</v>
      </c>
      <c r="G239" s="4">
        <v>348110.91730390978</v>
      </c>
      <c r="H239" s="5">
        <f t="shared" si="0"/>
        <v>0</v>
      </c>
      <c r="I239" t="s">
        <v>157</v>
      </c>
      <c r="J239" t="s">
        <v>37</v>
      </c>
      <c r="K239" s="5">
        <f>160 / 86400</f>
        <v>1.8518518518518519E-3</v>
      </c>
      <c r="L239" s="5">
        <f>20 / 86400</f>
        <v>2.3148148148148149E-4</v>
      </c>
    </row>
    <row r="240" spans="1:12" x14ac:dyDescent="0.25">
      <c r="A240" s="3">
        <v>45702.354699074072</v>
      </c>
      <c r="B240" t="s">
        <v>94</v>
      </c>
      <c r="C240" s="3">
        <v>45702.357314814813</v>
      </c>
      <c r="D240" t="s">
        <v>228</v>
      </c>
      <c r="E240" s="4">
        <v>1.1665548570156097</v>
      </c>
      <c r="F240" s="4">
        <v>348111.03768130671</v>
      </c>
      <c r="G240" s="4">
        <v>348112.20423616376</v>
      </c>
      <c r="H240" s="5">
        <f t="shared" si="0"/>
        <v>0</v>
      </c>
      <c r="I240" t="s">
        <v>173</v>
      </c>
      <c r="J240" t="s">
        <v>99</v>
      </c>
      <c r="K240" s="5">
        <f>226 / 86400</f>
        <v>2.6157407407407405E-3</v>
      </c>
      <c r="L240" s="5">
        <f>40 / 86400</f>
        <v>4.6296296296296298E-4</v>
      </c>
    </row>
    <row r="241" spans="1:12" x14ac:dyDescent="0.25">
      <c r="A241" s="3">
        <v>45702.357777777783</v>
      </c>
      <c r="B241" t="s">
        <v>228</v>
      </c>
      <c r="C241" s="3">
        <v>45702.35800925926</v>
      </c>
      <c r="D241" t="s">
        <v>228</v>
      </c>
      <c r="E241" s="4">
        <v>9.1499286890029904E-4</v>
      </c>
      <c r="F241" s="4">
        <v>348112.22368047811</v>
      </c>
      <c r="G241" s="4">
        <v>348112.22459547094</v>
      </c>
      <c r="H241" s="5">
        <f t="shared" si="0"/>
        <v>0</v>
      </c>
      <c r="I241" t="s">
        <v>140</v>
      </c>
      <c r="J241" t="s">
        <v>88</v>
      </c>
      <c r="K241" s="5">
        <f>20 / 86400</f>
        <v>2.3148148148148149E-4</v>
      </c>
      <c r="L241" s="5">
        <f>20 / 86400</f>
        <v>2.3148148148148149E-4</v>
      </c>
    </row>
    <row r="242" spans="1:12" x14ac:dyDescent="0.25">
      <c r="A242" s="3">
        <v>45702.358240740738</v>
      </c>
      <c r="B242" t="s">
        <v>228</v>
      </c>
      <c r="C242" s="3">
        <v>45702.358472222222</v>
      </c>
      <c r="D242" t="s">
        <v>228</v>
      </c>
      <c r="E242" s="4">
        <v>7.9765508174896235E-3</v>
      </c>
      <c r="F242" s="4">
        <v>348112.2273339862</v>
      </c>
      <c r="G242" s="4">
        <v>348112.23531053704</v>
      </c>
      <c r="H242" s="5">
        <f t="shared" si="0"/>
        <v>0</v>
      </c>
      <c r="I242" t="s">
        <v>140</v>
      </c>
      <c r="J242" t="s">
        <v>120</v>
      </c>
      <c r="K242" s="5">
        <f>20 / 86400</f>
        <v>2.3148148148148149E-4</v>
      </c>
      <c r="L242" s="5">
        <f>40 / 86400</f>
        <v>4.6296296296296298E-4</v>
      </c>
    </row>
    <row r="243" spans="1:12" x14ac:dyDescent="0.25">
      <c r="A243" s="3">
        <v>45702.358935185184</v>
      </c>
      <c r="B243" t="s">
        <v>228</v>
      </c>
      <c r="C243" s="3">
        <v>45702.359166666662</v>
      </c>
      <c r="D243" t="s">
        <v>228</v>
      </c>
      <c r="E243" s="4">
        <v>2.5975854396820069E-3</v>
      </c>
      <c r="F243" s="4">
        <v>348112.24173550936</v>
      </c>
      <c r="G243" s="4">
        <v>348112.2443330948</v>
      </c>
      <c r="H243" s="5">
        <f t="shared" si="0"/>
        <v>0</v>
      </c>
      <c r="I243" t="s">
        <v>140</v>
      </c>
      <c r="J243" t="s">
        <v>88</v>
      </c>
      <c r="K243" s="5">
        <f>20 / 86400</f>
        <v>2.3148148148148149E-4</v>
      </c>
      <c r="L243" s="5">
        <f>180 / 86400</f>
        <v>2.0833333333333333E-3</v>
      </c>
    </row>
    <row r="244" spans="1:12" x14ac:dyDescent="0.25">
      <c r="A244" s="3">
        <v>45702.361250000002</v>
      </c>
      <c r="B244" t="s">
        <v>228</v>
      </c>
      <c r="C244" s="3">
        <v>45702.361481481479</v>
      </c>
      <c r="D244" t="s">
        <v>229</v>
      </c>
      <c r="E244" s="4">
        <v>3.6303052306175232E-3</v>
      </c>
      <c r="F244" s="4">
        <v>348112.26757837902</v>
      </c>
      <c r="G244" s="4">
        <v>348112.27120868425</v>
      </c>
      <c r="H244" s="5">
        <f t="shared" ref="H244:H307" si="2">0 / 86400</f>
        <v>0</v>
      </c>
      <c r="I244" t="s">
        <v>120</v>
      </c>
      <c r="J244" t="s">
        <v>120</v>
      </c>
      <c r="K244" s="5">
        <f>20 / 86400</f>
        <v>2.3148148148148149E-4</v>
      </c>
      <c r="L244" s="5">
        <f>80 / 86400</f>
        <v>9.2592592592592596E-4</v>
      </c>
    </row>
    <row r="245" spans="1:12" x14ac:dyDescent="0.25">
      <c r="A245" s="3">
        <v>45702.362407407403</v>
      </c>
      <c r="B245" t="s">
        <v>229</v>
      </c>
      <c r="C245" s="3">
        <v>45702.363217592589</v>
      </c>
      <c r="D245" t="s">
        <v>230</v>
      </c>
      <c r="E245" s="4">
        <v>0.22775319653749465</v>
      </c>
      <c r="F245" s="4">
        <v>348112.28398106602</v>
      </c>
      <c r="G245" s="4">
        <v>348112.51173426257</v>
      </c>
      <c r="H245" s="5">
        <f t="shared" si="2"/>
        <v>0</v>
      </c>
      <c r="I245" t="s">
        <v>31</v>
      </c>
      <c r="J245" t="s">
        <v>62</v>
      </c>
      <c r="K245" s="5">
        <f>70 / 86400</f>
        <v>8.1018518518518516E-4</v>
      </c>
      <c r="L245" s="5">
        <f>20 / 86400</f>
        <v>2.3148148148148149E-4</v>
      </c>
    </row>
    <row r="246" spans="1:12" x14ac:dyDescent="0.25">
      <c r="A246" s="3">
        <v>45702.363449074073</v>
      </c>
      <c r="B246" t="s">
        <v>231</v>
      </c>
      <c r="C246" s="3">
        <v>45702.365648148145</v>
      </c>
      <c r="D246" t="s">
        <v>222</v>
      </c>
      <c r="E246" s="4">
        <v>1.2196161196231843</v>
      </c>
      <c r="F246" s="4">
        <v>348112.61457356042</v>
      </c>
      <c r="G246" s="4">
        <v>348113.83418968006</v>
      </c>
      <c r="H246" s="5">
        <f t="shared" si="2"/>
        <v>0</v>
      </c>
      <c r="I246" t="s">
        <v>143</v>
      </c>
      <c r="J246" t="s">
        <v>37</v>
      </c>
      <c r="K246" s="5">
        <f>190 / 86400</f>
        <v>2.1990740740740742E-3</v>
      </c>
      <c r="L246" s="5">
        <f>12 / 86400</f>
        <v>1.3888888888888889E-4</v>
      </c>
    </row>
    <row r="247" spans="1:12" x14ac:dyDescent="0.25">
      <c r="A247" s="3">
        <v>45702.365787037037</v>
      </c>
      <c r="B247" t="s">
        <v>222</v>
      </c>
      <c r="C247" s="3">
        <v>45702.368043981478</v>
      </c>
      <c r="D247" t="s">
        <v>219</v>
      </c>
      <c r="E247" s="4">
        <v>2.4757482153773309</v>
      </c>
      <c r="F247" s="4">
        <v>348113.83838610194</v>
      </c>
      <c r="G247" s="4">
        <v>348116.31413431733</v>
      </c>
      <c r="H247" s="5">
        <f t="shared" si="2"/>
        <v>0</v>
      </c>
      <c r="I247" t="s">
        <v>56</v>
      </c>
      <c r="J247" t="s">
        <v>232</v>
      </c>
      <c r="K247" s="5">
        <f>195 / 86400</f>
        <v>2.2569444444444442E-3</v>
      </c>
      <c r="L247" s="5">
        <f>40 / 86400</f>
        <v>4.6296296296296298E-4</v>
      </c>
    </row>
    <row r="248" spans="1:12" x14ac:dyDescent="0.25">
      <c r="A248" s="3">
        <v>45702.368506944447</v>
      </c>
      <c r="B248" t="s">
        <v>219</v>
      </c>
      <c r="C248" s="3">
        <v>45702.374861111108</v>
      </c>
      <c r="D248" t="s">
        <v>217</v>
      </c>
      <c r="E248" s="4">
        <v>6.1559603951573374</v>
      </c>
      <c r="F248" s="4">
        <v>348116.3286420934</v>
      </c>
      <c r="G248" s="4">
        <v>348122.48460248858</v>
      </c>
      <c r="H248" s="5">
        <f t="shared" si="2"/>
        <v>0</v>
      </c>
      <c r="I248" t="s">
        <v>233</v>
      </c>
      <c r="J248" t="s">
        <v>175</v>
      </c>
      <c r="K248" s="5">
        <f>549 / 86400</f>
        <v>6.3541666666666668E-3</v>
      </c>
      <c r="L248" s="5">
        <f>20 / 86400</f>
        <v>2.3148148148148149E-4</v>
      </c>
    </row>
    <row r="249" spans="1:12" x14ac:dyDescent="0.25">
      <c r="A249" s="3">
        <v>45702.375092592592</v>
      </c>
      <c r="B249" t="s">
        <v>213</v>
      </c>
      <c r="C249" s="3">
        <v>45702.376944444448</v>
      </c>
      <c r="D249" t="s">
        <v>234</v>
      </c>
      <c r="E249" s="4">
        <v>1.9846484068632126</v>
      </c>
      <c r="F249" s="4">
        <v>348122.60039894743</v>
      </c>
      <c r="G249" s="4">
        <v>348124.58504735428</v>
      </c>
      <c r="H249" s="5">
        <f t="shared" si="2"/>
        <v>0</v>
      </c>
      <c r="I249" t="s">
        <v>20</v>
      </c>
      <c r="J249" t="s">
        <v>211</v>
      </c>
      <c r="K249" s="5">
        <f>160 / 86400</f>
        <v>1.8518518518518519E-3</v>
      </c>
      <c r="L249" s="5">
        <f>20 / 86400</f>
        <v>2.3148148148148149E-4</v>
      </c>
    </row>
    <row r="250" spans="1:12" x14ac:dyDescent="0.25">
      <c r="A250" s="3">
        <v>45702.377175925925</v>
      </c>
      <c r="B250" t="s">
        <v>176</v>
      </c>
      <c r="C250" s="3">
        <v>45702.378344907411</v>
      </c>
      <c r="D250" t="s">
        <v>38</v>
      </c>
      <c r="E250" s="4">
        <v>1.1158408210277557</v>
      </c>
      <c r="F250" s="4">
        <v>348124.64810379787</v>
      </c>
      <c r="G250" s="4">
        <v>348125.76394461887</v>
      </c>
      <c r="H250" s="5">
        <f t="shared" si="2"/>
        <v>0</v>
      </c>
      <c r="I250" t="s">
        <v>235</v>
      </c>
      <c r="J250" t="s">
        <v>175</v>
      </c>
      <c r="K250" s="5">
        <f>101 / 86400</f>
        <v>1.1689814814814816E-3</v>
      </c>
      <c r="L250" s="5">
        <f>20 / 86400</f>
        <v>2.3148148148148149E-4</v>
      </c>
    </row>
    <row r="251" spans="1:12" x14ac:dyDescent="0.25">
      <c r="A251" s="3">
        <v>45702.378576388888</v>
      </c>
      <c r="B251" t="s">
        <v>38</v>
      </c>
      <c r="C251" s="3">
        <v>45702.379270833335</v>
      </c>
      <c r="D251" t="s">
        <v>176</v>
      </c>
      <c r="E251" s="4">
        <v>0.53267506045103075</v>
      </c>
      <c r="F251" s="4">
        <v>348125.92988029262</v>
      </c>
      <c r="G251" s="4">
        <v>348126.46255535306</v>
      </c>
      <c r="H251" s="5">
        <f t="shared" si="2"/>
        <v>0</v>
      </c>
      <c r="I251" t="s">
        <v>236</v>
      </c>
      <c r="J251" t="s">
        <v>133</v>
      </c>
      <c r="K251" s="5">
        <f>60 / 86400</f>
        <v>6.9444444444444447E-4</v>
      </c>
      <c r="L251" s="5">
        <f>20 / 86400</f>
        <v>2.3148148148148149E-4</v>
      </c>
    </row>
    <row r="252" spans="1:12" x14ac:dyDescent="0.25">
      <c r="A252" s="3">
        <v>45702.379502314812</v>
      </c>
      <c r="B252" t="s">
        <v>176</v>
      </c>
      <c r="C252" s="3">
        <v>45702.380196759259</v>
      </c>
      <c r="D252" t="s">
        <v>177</v>
      </c>
      <c r="E252" s="4">
        <v>0.42085959362983705</v>
      </c>
      <c r="F252" s="4">
        <v>348126.56094799569</v>
      </c>
      <c r="G252" s="4">
        <v>348126.9818075893</v>
      </c>
      <c r="H252" s="5">
        <f t="shared" si="2"/>
        <v>0</v>
      </c>
      <c r="I252" t="s">
        <v>166</v>
      </c>
      <c r="J252" t="s">
        <v>122</v>
      </c>
      <c r="K252" s="5">
        <f>60 / 86400</f>
        <v>6.9444444444444447E-4</v>
      </c>
      <c r="L252" s="5">
        <f>60 / 86400</f>
        <v>6.9444444444444447E-4</v>
      </c>
    </row>
    <row r="253" spans="1:12" x14ac:dyDescent="0.25">
      <c r="A253" s="3">
        <v>45702.380891203706</v>
      </c>
      <c r="B253" t="s">
        <v>177</v>
      </c>
      <c r="C253" s="3">
        <v>45702.381354166668</v>
      </c>
      <c r="D253" t="s">
        <v>180</v>
      </c>
      <c r="E253" s="4">
        <v>8.4908583521842954E-2</v>
      </c>
      <c r="F253" s="4">
        <v>348126.99118088954</v>
      </c>
      <c r="G253" s="4">
        <v>348127.07608947309</v>
      </c>
      <c r="H253" s="5">
        <f t="shared" si="2"/>
        <v>0</v>
      </c>
      <c r="I253" t="s">
        <v>35</v>
      </c>
      <c r="J253" t="s">
        <v>123</v>
      </c>
      <c r="K253" s="5">
        <f>40 / 86400</f>
        <v>4.6296296296296298E-4</v>
      </c>
      <c r="L253" s="5">
        <f>60 / 86400</f>
        <v>6.9444444444444447E-4</v>
      </c>
    </row>
    <row r="254" spans="1:12" x14ac:dyDescent="0.25">
      <c r="A254" s="3">
        <v>45702.382048611107</v>
      </c>
      <c r="B254" t="s">
        <v>180</v>
      </c>
      <c r="C254" s="3">
        <v>45702.38349537037</v>
      </c>
      <c r="D254" t="s">
        <v>177</v>
      </c>
      <c r="E254" s="4">
        <v>1.1286650498509407</v>
      </c>
      <c r="F254" s="4">
        <v>348127.08034168754</v>
      </c>
      <c r="G254" s="4">
        <v>348128.20900673739</v>
      </c>
      <c r="H254" s="5">
        <f t="shared" si="2"/>
        <v>0</v>
      </c>
      <c r="I254" t="s">
        <v>212</v>
      </c>
      <c r="J254" t="s">
        <v>168</v>
      </c>
      <c r="K254" s="5">
        <f>125 / 86400</f>
        <v>1.4467592592592592E-3</v>
      </c>
      <c r="L254" s="5">
        <f>20 / 86400</f>
        <v>2.3148148148148149E-4</v>
      </c>
    </row>
    <row r="255" spans="1:12" x14ac:dyDescent="0.25">
      <c r="A255" s="3">
        <v>45702.383726851855</v>
      </c>
      <c r="B255" t="s">
        <v>177</v>
      </c>
      <c r="C255" s="3">
        <v>45702.385115740741</v>
      </c>
      <c r="D255" t="s">
        <v>210</v>
      </c>
      <c r="E255" s="4">
        <v>1.3313356004357337</v>
      </c>
      <c r="F255" s="4">
        <v>348128.25121291477</v>
      </c>
      <c r="G255" s="4">
        <v>348129.58254851517</v>
      </c>
      <c r="H255" s="5">
        <f t="shared" si="2"/>
        <v>0</v>
      </c>
      <c r="I255" t="s">
        <v>56</v>
      </c>
      <c r="J255" t="s">
        <v>175</v>
      </c>
      <c r="K255" s="5">
        <f>120 / 86400</f>
        <v>1.3888888888888889E-3</v>
      </c>
      <c r="L255" s="5">
        <f>2 / 86400</f>
        <v>2.3148148148148147E-5</v>
      </c>
    </row>
    <row r="256" spans="1:12" x14ac:dyDescent="0.25">
      <c r="A256" s="3">
        <v>45702.385138888887</v>
      </c>
      <c r="B256" t="s">
        <v>210</v>
      </c>
      <c r="C256" s="3">
        <v>45702.386296296296</v>
      </c>
      <c r="D256" t="s">
        <v>104</v>
      </c>
      <c r="E256" s="4">
        <v>0.83101133549213413</v>
      </c>
      <c r="F256" s="4">
        <v>348129.58514089638</v>
      </c>
      <c r="G256" s="4">
        <v>348130.41615223186</v>
      </c>
      <c r="H256" s="5">
        <f t="shared" si="2"/>
        <v>0</v>
      </c>
      <c r="I256" t="s">
        <v>235</v>
      </c>
      <c r="J256" t="s">
        <v>189</v>
      </c>
      <c r="K256" s="5">
        <f>100 / 86400</f>
        <v>1.1574074074074073E-3</v>
      </c>
      <c r="L256" s="5">
        <f>40 / 86400</f>
        <v>4.6296296296296298E-4</v>
      </c>
    </row>
    <row r="257" spans="1:12" x14ac:dyDescent="0.25">
      <c r="A257" s="3">
        <v>45702.386759259258</v>
      </c>
      <c r="B257" t="s">
        <v>104</v>
      </c>
      <c r="C257" s="3">
        <v>45702.387222222227</v>
      </c>
      <c r="D257" t="s">
        <v>104</v>
      </c>
      <c r="E257" s="4">
        <v>0.54883068627119069</v>
      </c>
      <c r="F257" s="4">
        <v>348130.50970619434</v>
      </c>
      <c r="G257" s="4">
        <v>348131.05853688059</v>
      </c>
      <c r="H257" s="5">
        <f t="shared" si="2"/>
        <v>0</v>
      </c>
      <c r="I257" t="s">
        <v>151</v>
      </c>
      <c r="J257" t="s">
        <v>207</v>
      </c>
      <c r="K257" s="5">
        <f>40 / 86400</f>
        <v>4.6296296296296298E-4</v>
      </c>
      <c r="L257" s="5">
        <f>20 / 86400</f>
        <v>2.3148148148148149E-4</v>
      </c>
    </row>
    <row r="258" spans="1:12" x14ac:dyDescent="0.25">
      <c r="A258" s="3">
        <v>45702.387453703705</v>
      </c>
      <c r="B258" t="s">
        <v>104</v>
      </c>
      <c r="C258" s="3">
        <v>45702.387685185182</v>
      </c>
      <c r="D258" t="s">
        <v>104</v>
      </c>
      <c r="E258" s="4">
        <v>7.8514754652976984E-2</v>
      </c>
      <c r="F258" s="4">
        <v>348131.26700134872</v>
      </c>
      <c r="G258" s="4">
        <v>348131.34551610338</v>
      </c>
      <c r="H258" s="5">
        <f t="shared" si="2"/>
        <v>0</v>
      </c>
      <c r="I258" t="s">
        <v>237</v>
      </c>
      <c r="J258" t="s">
        <v>59</v>
      </c>
      <c r="K258" s="5">
        <f>20 / 86400</f>
        <v>2.3148148148148149E-4</v>
      </c>
      <c r="L258" s="5">
        <f>40 / 86400</f>
        <v>4.6296296296296298E-4</v>
      </c>
    </row>
    <row r="259" spans="1:12" x14ac:dyDescent="0.25">
      <c r="A259" s="3">
        <v>45702.388148148151</v>
      </c>
      <c r="B259" t="s">
        <v>104</v>
      </c>
      <c r="C259" s="3">
        <v>45702.390231481477</v>
      </c>
      <c r="D259" t="s">
        <v>111</v>
      </c>
      <c r="E259" s="4">
        <v>1.8918540953397751</v>
      </c>
      <c r="F259" s="4">
        <v>348131.3552183854</v>
      </c>
      <c r="G259" s="4">
        <v>348133.24707248074</v>
      </c>
      <c r="H259" s="5">
        <f t="shared" si="2"/>
        <v>0</v>
      </c>
      <c r="I259" t="s">
        <v>56</v>
      </c>
      <c r="J259" t="s">
        <v>205</v>
      </c>
      <c r="K259" s="5">
        <f>180 / 86400</f>
        <v>2.0833333333333333E-3</v>
      </c>
      <c r="L259" s="5">
        <f>40 / 86400</f>
        <v>4.6296296296296298E-4</v>
      </c>
    </row>
    <row r="260" spans="1:12" x14ac:dyDescent="0.25">
      <c r="A260" s="3">
        <v>45702.390694444446</v>
      </c>
      <c r="B260" t="s">
        <v>111</v>
      </c>
      <c r="C260" s="3">
        <v>45702.391851851848</v>
      </c>
      <c r="D260" t="s">
        <v>111</v>
      </c>
      <c r="E260" s="4">
        <v>0.78952574121952057</v>
      </c>
      <c r="F260" s="4">
        <v>348133.26525607996</v>
      </c>
      <c r="G260" s="4">
        <v>348134.05478182121</v>
      </c>
      <c r="H260" s="5">
        <f t="shared" si="2"/>
        <v>0</v>
      </c>
      <c r="I260" t="s">
        <v>163</v>
      </c>
      <c r="J260" t="s">
        <v>178</v>
      </c>
      <c r="K260" s="5">
        <f>100 / 86400</f>
        <v>1.1574074074074073E-3</v>
      </c>
      <c r="L260" s="5">
        <f>20 / 86400</f>
        <v>2.3148148148148149E-4</v>
      </c>
    </row>
    <row r="261" spans="1:12" x14ac:dyDescent="0.25">
      <c r="A261" s="3">
        <v>45702.392083333332</v>
      </c>
      <c r="B261" t="s">
        <v>111</v>
      </c>
      <c r="C261" s="3">
        <v>45702.393703703703</v>
      </c>
      <c r="D261" t="s">
        <v>185</v>
      </c>
      <c r="E261" s="4">
        <v>0.91255493676662447</v>
      </c>
      <c r="F261" s="4">
        <v>348134.05717465084</v>
      </c>
      <c r="G261" s="4">
        <v>348134.96972958761</v>
      </c>
      <c r="H261" s="5">
        <f t="shared" si="2"/>
        <v>0</v>
      </c>
      <c r="I261" t="s">
        <v>67</v>
      </c>
      <c r="J261" t="s">
        <v>37</v>
      </c>
      <c r="K261" s="5">
        <f>140 / 86400</f>
        <v>1.6203703703703703E-3</v>
      </c>
      <c r="L261" s="5">
        <f>59 / 86400</f>
        <v>6.8287037037037036E-4</v>
      </c>
    </row>
    <row r="262" spans="1:12" x14ac:dyDescent="0.25">
      <c r="A262" s="3">
        <v>45702.394386574073</v>
      </c>
      <c r="B262" t="s">
        <v>185</v>
      </c>
      <c r="C262" s="3">
        <v>45702.39508101852</v>
      </c>
      <c r="D262" t="s">
        <v>111</v>
      </c>
      <c r="E262" s="4">
        <v>0.49470159924030305</v>
      </c>
      <c r="F262" s="4">
        <v>348134.97723471589</v>
      </c>
      <c r="G262" s="4">
        <v>348135.47193631512</v>
      </c>
      <c r="H262" s="5">
        <f t="shared" si="2"/>
        <v>0</v>
      </c>
      <c r="I262" t="s">
        <v>166</v>
      </c>
      <c r="J262" t="s">
        <v>189</v>
      </c>
      <c r="K262" s="5">
        <f>60 / 86400</f>
        <v>6.9444444444444447E-4</v>
      </c>
      <c r="L262" s="5">
        <f>20 / 86400</f>
        <v>2.3148148148148149E-4</v>
      </c>
    </row>
    <row r="263" spans="1:12" x14ac:dyDescent="0.25">
      <c r="A263" s="3">
        <v>45702.395312499997</v>
      </c>
      <c r="B263" t="s">
        <v>111</v>
      </c>
      <c r="C263" s="3">
        <v>45702.396701388891</v>
      </c>
      <c r="D263" t="s">
        <v>69</v>
      </c>
      <c r="E263" s="4">
        <v>1.2624086385965347</v>
      </c>
      <c r="F263" s="4">
        <v>348135.50418398285</v>
      </c>
      <c r="G263" s="4">
        <v>348136.76659262145</v>
      </c>
      <c r="H263" s="5">
        <f t="shared" si="2"/>
        <v>0</v>
      </c>
      <c r="I263" t="s">
        <v>151</v>
      </c>
      <c r="J263" t="s">
        <v>205</v>
      </c>
      <c r="K263" s="5">
        <f>120 / 86400</f>
        <v>1.3888888888888889E-3</v>
      </c>
      <c r="L263" s="5">
        <f>80 / 86400</f>
        <v>9.2592592592592596E-4</v>
      </c>
    </row>
    <row r="264" spans="1:12" x14ac:dyDescent="0.25">
      <c r="A264" s="3">
        <v>45702.397627314815</v>
      </c>
      <c r="B264" t="s">
        <v>69</v>
      </c>
      <c r="C264" s="3">
        <v>45702.399247685185</v>
      </c>
      <c r="D264" t="s">
        <v>69</v>
      </c>
      <c r="E264" s="4">
        <v>0.66957278740406034</v>
      </c>
      <c r="F264" s="4">
        <v>348136.79504578456</v>
      </c>
      <c r="G264" s="4">
        <v>348137.46461857192</v>
      </c>
      <c r="H264" s="5">
        <f t="shared" si="2"/>
        <v>0</v>
      </c>
      <c r="I264" t="s">
        <v>143</v>
      </c>
      <c r="J264" t="s">
        <v>28</v>
      </c>
      <c r="K264" s="5">
        <f>140 / 86400</f>
        <v>1.6203703703703703E-3</v>
      </c>
      <c r="L264" s="5">
        <f>20 / 86400</f>
        <v>2.3148148148148149E-4</v>
      </c>
    </row>
    <row r="265" spans="1:12" x14ac:dyDescent="0.25">
      <c r="A265" s="3">
        <v>45702.399479166663</v>
      </c>
      <c r="B265" t="s">
        <v>69</v>
      </c>
      <c r="C265" s="3">
        <v>45702.400636574079</v>
      </c>
      <c r="D265" t="s">
        <v>69</v>
      </c>
      <c r="E265" s="4">
        <v>0.45627083098888399</v>
      </c>
      <c r="F265" s="4">
        <v>348137.48705302522</v>
      </c>
      <c r="G265" s="4">
        <v>348137.94332385622</v>
      </c>
      <c r="H265" s="5">
        <f t="shared" si="2"/>
        <v>0</v>
      </c>
      <c r="I265" t="s">
        <v>206</v>
      </c>
      <c r="J265" t="s">
        <v>34</v>
      </c>
      <c r="K265" s="5">
        <f>100 / 86400</f>
        <v>1.1574074074074073E-3</v>
      </c>
      <c r="L265" s="5">
        <f>80 / 86400</f>
        <v>9.2592592592592596E-4</v>
      </c>
    </row>
    <row r="266" spans="1:12" x14ac:dyDescent="0.25">
      <c r="A266" s="3">
        <v>45702.401562500003</v>
      </c>
      <c r="B266" t="s">
        <v>238</v>
      </c>
      <c r="C266" s="3">
        <v>45702.40179398148</v>
      </c>
      <c r="D266" t="s">
        <v>238</v>
      </c>
      <c r="E266" s="4">
        <v>6.0008688569068913E-3</v>
      </c>
      <c r="F266" s="4">
        <v>348138.07782163413</v>
      </c>
      <c r="G266" s="4">
        <v>348138.08382250299</v>
      </c>
      <c r="H266" s="5">
        <f t="shared" si="2"/>
        <v>0</v>
      </c>
      <c r="I266" t="s">
        <v>31</v>
      </c>
      <c r="J266" t="s">
        <v>120</v>
      </c>
      <c r="K266" s="5">
        <f>20 / 86400</f>
        <v>2.3148148148148149E-4</v>
      </c>
      <c r="L266" s="5">
        <f>20 / 86400</f>
        <v>2.3148148148148149E-4</v>
      </c>
    </row>
    <row r="267" spans="1:12" x14ac:dyDescent="0.25">
      <c r="A267" s="3">
        <v>45702.402025462958</v>
      </c>
      <c r="B267" t="s">
        <v>238</v>
      </c>
      <c r="C267" s="3">
        <v>45702.402488425927</v>
      </c>
      <c r="D267" t="s">
        <v>69</v>
      </c>
      <c r="E267" s="4">
        <v>0.13905459207296372</v>
      </c>
      <c r="F267" s="4">
        <v>348138.09458752978</v>
      </c>
      <c r="G267" s="4">
        <v>348138.23364212184</v>
      </c>
      <c r="H267" s="5">
        <f t="shared" si="2"/>
        <v>0</v>
      </c>
      <c r="I267" t="s">
        <v>59</v>
      </c>
      <c r="J267" t="s">
        <v>35</v>
      </c>
      <c r="K267" s="5">
        <f>40 / 86400</f>
        <v>4.6296296296296298E-4</v>
      </c>
      <c r="L267" s="5">
        <f>40 / 86400</f>
        <v>4.6296296296296298E-4</v>
      </c>
    </row>
    <row r="268" spans="1:12" x14ac:dyDescent="0.25">
      <c r="A268" s="3">
        <v>45702.402951388889</v>
      </c>
      <c r="B268" t="s">
        <v>239</v>
      </c>
      <c r="C268" s="3">
        <v>45702.403414351851</v>
      </c>
      <c r="D268" t="s">
        <v>113</v>
      </c>
      <c r="E268" s="4">
        <v>0.11724111801385879</v>
      </c>
      <c r="F268" s="4">
        <v>348138.23713170883</v>
      </c>
      <c r="G268" s="4">
        <v>348138.35437282681</v>
      </c>
      <c r="H268" s="5">
        <f t="shared" si="2"/>
        <v>0</v>
      </c>
      <c r="I268" t="s">
        <v>127</v>
      </c>
      <c r="J268" t="s">
        <v>53</v>
      </c>
      <c r="K268" s="5">
        <f>40 / 86400</f>
        <v>4.6296296296296298E-4</v>
      </c>
      <c r="L268" s="5">
        <f>40 / 86400</f>
        <v>4.6296296296296298E-4</v>
      </c>
    </row>
    <row r="269" spans="1:12" x14ac:dyDescent="0.25">
      <c r="A269" s="3">
        <v>45702.403877314813</v>
      </c>
      <c r="B269" t="s">
        <v>113</v>
      </c>
      <c r="C269" s="3">
        <v>45702.405034722222</v>
      </c>
      <c r="D269" t="s">
        <v>240</v>
      </c>
      <c r="E269" s="4">
        <v>0.60294121682643886</v>
      </c>
      <c r="F269" s="4">
        <v>348138.36477820965</v>
      </c>
      <c r="G269" s="4">
        <v>348138.96771942644</v>
      </c>
      <c r="H269" s="5">
        <f t="shared" si="2"/>
        <v>0</v>
      </c>
      <c r="I269" t="s">
        <v>139</v>
      </c>
      <c r="J269" t="s">
        <v>130</v>
      </c>
      <c r="K269" s="5">
        <f>100 / 86400</f>
        <v>1.1574074074074073E-3</v>
      </c>
      <c r="L269" s="5">
        <f>20 / 86400</f>
        <v>2.3148148148148149E-4</v>
      </c>
    </row>
    <row r="270" spans="1:12" x14ac:dyDescent="0.25">
      <c r="A270" s="3">
        <v>45702.405266203699</v>
      </c>
      <c r="B270" t="s">
        <v>240</v>
      </c>
      <c r="C270" s="3">
        <v>45702.405497685184</v>
      </c>
      <c r="D270" t="s">
        <v>240</v>
      </c>
      <c r="E270" s="4">
        <v>1.0400089025497437E-3</v>
      </c>
      <c r="F270" s="4">
        <v>348138.97144317429</v>
      </c>
      <c r="G270" s="4">
        <v>348138.9724831832</v>
      </c>
      <c r="H270" s="5">
        <f t="shared" si="2"/>
        <v>0</v>
      </c>
      <c r="I270" t="s">
        <v>120</v>
      </c>
      <c r="J270" t="s">
        <v>88</v>
      </c>
      <c r="K270" s="5">
        <f>20 / 86400</f>
        <v>2.3148148148148149E-4</v>
      </c>
      <c r="L270" s="5">
        <f>20 / 86400</f>
        <v>2.3148148148148149E-4</v>
      </c>
    </row>
    <row r="271" spans="1:12" x14ac:dyDescent="0.25">
      <c r="A271" s="3">
        <v>45702.405729166669</v>
      </c>
      <c r="B271" t="s">
        <v>240</v>
      </c>
      <c r="C271" s="3">
        <v>45702.406192129631</v>
      </c>
      <c r="D271" t="s">
        <v>241</v>
      </c>
      <c r="E271" s="4">
        <v>0.16709450727701186</v>
      </c>
      <c r="F271" s="4">
        <v>348138.97666061495</v>
      </c>
      <c r="G271" s="4">
        <v>348139.14375512226</v>
      </c>
      <c r="H271" s="5">
        <f t="shared" si="2"/>
        <v>0</v>
      </c>
      <c r="I271" t="s">
        <v>184</v>
      </c>
      <c r="J271" t="s">
        <v>31</v>
      </c>
      <c r="K271" s="5">
        <f>40 / 86400</f>
        <v>4.6296296296296298E-4</v>
      </c>
      <c r="L271" s="5">
        <f>6 / 86400</f>
        <v>6.9444444444444444E-5</v>
      </c>
    </row>
    <row r="272" spans="1:12" x14ac:dyDescent="0.25">
      <c r="A272" s="3">
        <v>45702.40626157407</v>
      </c>
      <c r="B272" t="s">
        <v>241</v>
      </c>
      <c r="C272" s="3">
        <v>45702.40788194444</v>
      </c>
      <c r="D272" t="s">
        <v>188</v>
      </c>
      <c r="E272" s="4">
        <v>0.38460560828447343</v>
      </c>
      <c r="F272" s="4">
        <v>348139.14676666108</v>
      </c>
      <c r="G272" s="4">
        <v>348139.53137226938</v>
      </c>
      <c r="H272" s="5">
        <f t="shared" si="2"/>
        <v>0</v>
      </c>
      <c r="I272" t="s">
        <v>178</v>
      </c>
      <c r="J272" t="s">
        <v>126</v>
      </c>
      <c r="K272" s="5">
        <f>140 / 86400</f>
        <v>1.6203703703703703E-3</v>
      </c>
      <c r="L272" s="5">
        <f>39 / 86400</f>
        <v>4.5138888888888887E-4</v>
      </c>
    </row>
    <row r="273" spans="1:12" x14ac:dyDescent="0.25">
      <c r="A273" s="3">
        <v>45702.408333333333</v>
      </c>
      <c r="B273" t="s">
        <v>188</v>
      </c>
      <c r="C273" s="3">
        <v>45702.409722222219</v>
      </c>
      <c r="D273" t="s">
        <v>188</v>
      </c>
      <c r="E273" s="4">
        <v>1.0734344619512557</v>
      </c>
      <c r="F273" s="4">
        <v>348139.54990916903</v>
      </c>
      <c r="G273" s="4">
        <v>348140.62334363098</v>
      </c>
      <c r="H273" s="5">
        <f t="shared" si="2"/>
        <v>0</v>
      </c>
      <c r="I273" t="s">
        <v>143</v>
      </c>
      <c r="J273" t="s">
        <v>133</v>
      </c>
      <c r="K273" s="5">
        <f>120 / 86400</f>
        <v>1.3888888888888889E-3</v>
      </c>
      <c r="L273" s="5">
        <f>20 / 86400</f>
        <v>2.3148148148148149E-4</v>
      </c>
    </row>
    <row r="274" spans="1:12" x14ac:dyDescent="0.25">
      <c r="A274" s="3">
        <v>45702.409953703704</v>
      </c>
      <c r="B274" t="s">
        <v>194</v>
      </c>
      <c r="C274" s="3">
        <v>45702.410879629635</v>
      </c>
      <c r="D274" t="s">
        <v>188</v>
      </c>
      <c r="E274" s="4">
        <v>0.31858497756719589</v>
      </c>
      <c r="F274" s="4">
        <v>348140.70776269987</v>
      </c>
      <c r="G274" s="4">
        <v>348141.0263476774</v>
      </c>
      <c r="H274" s="5">
        <f t="shared" si="2"/>
        <v>0</v>
      </c>
      <c r="I274" t="s">
        <v>122</v>
      </c>
      <c r="J274" t="s">
        <v>59</v>
      </c>
      <c r="K274" s="5">
        <f>80 / 86400</f>
        <v>9.2592592592592596E-4</v>
      </c>
      <c r="L274" s="5">
        <f>40 / 86400</f>
        <v>4.6296296296296298E-4</v>
      </c>
    </row>
    <row r="275" spans="1:12" x14ac:dyDescent="0.25">
      <c r="A275" s="3">
        <v>45702.41134259259</v>
      </c>
      <c r="B275" t="s">
        <v>188</v>
      </c>
      <c r="C275" s="3">
        <v>45702.414293981477</v>
      </c>
      <c r="D275" t="s">
        <v>192</v>
      </c>
      <c r="E275" s="4">
        <v>1.5452757305502891</v>
      </c>
      <c r="F275" s="4">
        <v>348141.0341328936</v>
      </c>
      <c r="G275" s="4">
        <v>348142.57940862415</v>
      </c>
      <c r="H275" s="5">
        <f t="shared" si="2"/>
        <v>0</v>
      </c>
      <c r="I275" t="s">
        <v>197</v>
      </c>
      <c r="J275" t="s">
        <v>130</v>
      </c>
      <c r="K275" s="5">
        <f>255 / 86400</f>
        <v>2.9513888888888888E-3</v>
      </c>
      <c r="L275" s="5">
        <f>29 / 86400</f>
        <v>3.3564814814814812E-4</v>
      </c>
    </row>
    <row r="276" spans="1:12" x14ac:dyDescent="0.25">
      <c r="A276" s="3">
        <v>45702.414629629631</v>
      </c>
      <c r="B276" t="s">
        <v>192</v>
      </c>
      <c r="C276" s="3">
        <v>45702.415555555555</v>
      </c>
      <c r="D276" t="s">
        <v>242</v>
      </c>
      <c r="E276" s="4">
        <v>0.39741705548763273</v>
      </c>
      <c r="F276" s="4">
        <v>348142.58839369024</v>
      </c>
      <c r="G276" s="4">
        <v>348142.98581074574</v>
      </c>
      <c r="H276" s="5">
        <f t="shared" si="2"/>
        <v>0</v>
      </c>
      <c r="I276" t="s">
        <v>175</v>
      </c>
      <c r="J276" t="s">
        <v>24</v>
      </c>
      <c r="K276" s="5">
        <f>80 / 86400</f>
        <v>9.2592592592592596E-4</v>
      </c>
      <c r="L276" s="5">
        <f>20 / 86400</f>
        <v>2.3148148148148149E-4</v>
      </c>
    </row>
    <row r="277" spans="1:12" x14ac:dyDescent="0.25">
      <c r="A277" s="3">
        <v>45702.41578703704</v>
      </c>
      <c r="B277" t="s">
        <v>243</v>
      </c>
      <c r="C277" s="3">
        <v>45702.418796296297</v>
      </c>
      <c r="D277" t="s">
        <v>244</v>
      </c>
      <c r="E277" s="4">
        <v>1.6832401326298714</v>
      </c>
      <c r="F277" s="4">
        <v>348143.10995487252</v>
      </c>
      <c r="G277" s="4">
        <v>348144.7931950051</v>
      </c>
      <c r="H277" s="5">
        <f t="shared" si="2"/>
        <v>0</v>
      </c>
      <c r="I277" t="s">
        <v>245</v>
      </c>
      <c r="J277" t="s">
        <v>37</v>
      </c>
      <c r="K277" s="5">
        <f>260 / 86400</f>
        <v>3.0092592592592593E-3</v>
      </c>
      <c r="L277" s="5">
        <f>80 / 86400</f>
        <v>9.2592592592592596E-4</v>
      </c>
    </row>
    <row r="278" spans="1:12" x14ac:dyDescent="0.25">
      <c r="A278" s="3">
        <v>45702.419722222221</v>
      </c>
      <c r="B278" t="s">
        <v>244</v>
      </c>
      <c r="C278" s="3">
        <v>45702.420416666668</v>
      </c>
      <c r="D278" t="s">
        <v>246</v>
      </c>
      <c r="E278" s="4">
        <v>9.9617560744285585E-2</v>
      </c>
      <c r="F278" s="4">
        <v>348144.820196193</v>
      </c>
      <c r="G278" s="4">
        <v>348144.91981375375</v>
      </c>
      <c r="H278" s="5">
        <f t="shared" si="2"/>
        <v>0</v>
      </c>
      <c r="I278" t="s">
        <v>62</v>
      </c>
      <c r="J278" t="s">
        <v>132</v>
      </c>
      <c r="K278" s="5">
        <f>60 / 86400</f>
        <v>6.9444444444444447E-4</v>
      </c>
      <c r="L278" s="5">
        <f>20 / 86400</f>
        <v>2.3148148148148149E-4</v>
      </c>
    </row>
    <row r="279" spans="1:12" x14ac:dyDescent="0.25">
      <c r="A279" s="3">
        <v>45702.420648148152</v>
      </c>
      <c r="B279" t="s">
        <v>247</v>
      </c>
      <c r="C279" s="3">
        <v>45702.42087962963</v>
      </c>
      <c r="D279" t="s">
        <v>246</v>
      </c>
      <c r="E279" s="4">
        <v>2.2056124210357666E-3</v>
      </c>
      <c r="F279" s="4">
        <v>348144.92341579136</v>
      </c>
      <c r="G279" s="4">
        <v>348144.92562140373</v>
      </c>
      <c r="H279" s="5">
        <f t="shared" si="2"/>
        <v>0</v>
      </c>
      <c r="I279" t="s">
        <v>120</v>
      </c>
      <c r="J279" t="s">
        <v>88</v>
      </c>
      <c r="K279" s="5">
        <f>20 / 86400</f>
        <v>2.3148148148148149E-4</v>
      </c>
      <c r="L279" s="5">
        <f>40 / 86400</f>
        <v>4.6296296296296298E-4</v>
      </c>
    </row>
    <row r="280" spans="1:12" x14ac:dyDescent="0.25">
      <c r="A280" s="3">
        <v>45702.421342592592</v>
      </c>
      <c r="B280" t="s">
        <v>246</v>
      </c>
      <c r="C280" s="3">
        <v>45702.422037037039</v>
      </c>
      <c r="D280" t="s">
        <v>248</v>
      </c>
      <c r="E280" s="4">
        <v>6.3242331802844998E-2</v>
      </c>
      <c r="F280" s="4">
        <v>348144.93607037741</v>
      </c>
      <c r="G280" s="4">
        <v>348144.9993127092</v>
      </c>
      <c r="H280" s="5">
        <f t="shared" si="2"/>
        <v>0</v>
      </c>
      <c r="I280" t="s">
        <v>123</v>
      </c>
      <c r="J280" t="s">
        <v>156</v>
      </c>
      <c r="K280" s="5">
        <f>60 / 86400</f>
        <v>6.9444444444444447E-4</v>
      </c>
      <c r="L280" s="5">
        <f>60 / 86400</f>
        <v>6.9444444444444447E-4</v>
      </c>
    </row>
    <row r="281" spans="1:12" x14ac:dyDescent="0.25">
      <c r="A281" s="3">
        <v>45702.422731481478</v>
      </c>
      <c r="B281" t="s">
        <v>249</v>
      </c>
      <c r="C281" s="3">
        <v>45702.422962962963</v>
      </c>
      <c r="D281" t="s">
        <v>249</v>
      </c>
      <c r="E281" s="4">
        <v>3.4955557584762575E-3</v>
      </c>
      <c r="F281" s="4">
        <v>348145.02204856457</v>
      </c>
      <c r="G281" s="4">
        <v>348145.02554412029</v>
      </c>
      <c r="H281" s="5">
        <f t="shared" si="2"/>
        <v>0</v>
      </c>
      <c r="I281" t="s">
        <v>140</v>
      </c>
      <c r="J281" t="s">
        <v>120</v>
      </c>
      <c r="K281" s="5">
        <f>20 / 86400</f>
        <v>2.3148148148148149E-4</v>
      </c>
      <c r="L281" s="5">
        <f>35 / 86400</f>
        <v>4.0509259259259258E-4</v>
      </c>
    </row>
    <row r="282" spans="1:12" x14ac:dyDescent="0.25">
      <c r="A282" s="3">
        <v>45702.423368055555</v>
      </c>
      <c r="B282" t="s">
        <v>249</v>
      </c>
      <c r="C282" s="3">
        <v>45702.425451388888</v>
      </c>
      <c r="D282" t="s">
        <v>250</v>
      </c>
      <c r="E282" s="4">
        <v>0.88466323947906489</v>
      </c>
      <c r="F282" s="4">
        <v>348145.03502928786</v>
      </c>
      <c r="G282" s="4">
        <v>348145.91969252733</v>
      </c>
      <c r="H282" s="5">
        <f t="shared" si="2"/>
        <v>0</v>
      </c>
      <c r="I282" t="s">
        <v>175</v>
      </c>
      <c r="J282" t="s">
        <v>24</v>
      </c>
      <c r="K282" s="5">
        <f>180 / 86400</f>
        <v>2.0833333333333333E-3</v>
      </c>
      <c r="L282" s="5">
        <f>126 / 86400</f>
        <v>1.4583333333333334E-3</v>
      </c>
    </row>
    <row r="283" spans="1:12" x14ac:dyDescent="0.25">
      <c r="A283" s="3">
        <v>45702.42690972222</v>
      </c>
      <c r="B283" t="s">
        <v>250</v>
      </c>
      <c r="C283" s="3">
        <v>45702.427372685182</v>
      </c>
      <c r="D283" t="s">
        <v>115</v>
      </c>
      <c r="E283" s="4">
        <v>0.13791403645277023</v>
      </c>
      <c r="F283" s="4">
        <v>348145.97446317819</v>
      </c>
      <c r="G283" s="4">
        <v>348146.11237721465</v>
      </c>
      <c r="H283" s="5">
        <f t="shared" si="2"/>
        <v>0</v>
      </c>
      <c r="I283" t="s">
        <v>184</v>
      </c>
      <c r="J283" t="s">
        <v>62</v>
      </c>
      <c r="K283" s="5">
        <f>40 / 86400</f>
        <v>4.6296296296296298E-4</v>
      </c>
      <c r="L283" s="5">
        <f>80 / 86400</f>
        <v>9.2592592592592596E-4</v>
      </c>
    </row>
    <row r="284" spans="1:12" x14ac:dyDescent="0.25">
      <c r="A284" s="3">
        <v>45702.428298611107</v>
      </c>
      <c r="B284" t="s">
        <v>251</v>
      </c>
      <c r="C284" s="3">
        <v>45702.428530092591</v>
      </c>
      <c r="D284" t="s">
        <v>251</v>
      </c>
      <c r="E284" s="4">
        <v>8.8865251541137696E-3</v>
      </c>
      <c r="F284" s="4">
        <v>348146.19597626332</v>
      </c>
      <c r="G284" s="4">
        <v>348146.20486278849</v>
      </c>
      <c r="H284" s="5">
        <f t="shared" si="2"/>
        <v>0</v>
      </c>
      <c r="I284" t="s">
        <v>120</v>
      </c>
      <c r="J284" t="s">
        <v>140</v>
      </c>
      <c r="K284" s="5">
        <f>20 / 86400</f>
        <v>2.3148148148148149E-4</v>
      </c>
      <c r="L284" s="5">
        <f>15 / 86400</f>
        <v>1.7361111111111112E-4</v>
      </c>
    </row>
    <row r="285" spans="1:12" x14ac:dyDescent="0.25">
      <c r="A285" s="3">
        <v>45702.428703703699</v>
      </c>
      <c r="B285" t="s">
        <v>251</v>
      </c>
      <c r="C285" s="3">
        <v>45702.429629629631</v>
      </c>
      <c r="D285" t="s">
        <v>252</v>
      </c>
      <c r="E285" s="4">
        <v>0.47906402480602267</v>
      </c>
      <c r="F285" s="4">
        <v>348146.21029756946</v>
      </c>
      <c r="G285" s="4">
        <v>348146.68936159427</v>
      </c>
      <c r="H285" s="5">
        <f t="shared" si="2"/>
        <v>0</v>
      </c>
      <c r="I285" t="s">
        <v>173</v>
      </c>
      <c r="J285" t="s">
        <v>130</v>
      </c>
      <c r="K285" s="5">
        <f>80 / 86400</f>
        <v>9.2592592592592596E-4</v>
      </c>
      <c r="L285" s="5">
        <f>20 / 86400</f>
        <v>2.3148148148148149E-4</v>
      </c>
    </row>
    <row r="286" spans="1:12" x14ac:dyDescent="0.25">
      <c r="A286" s="3">
        <v>45702.429861111115</v>
      </c>
      <c r="B286" t="s">
        <v>252</v>
      </c>
      <c r="C286" s="3">
        <v>45702.431250000001</v>
      </c>
      <c r="D286" t="s">
        <v>253</v>
      </c>
      <c r="E286" s="4">
        <v>1.0243369649648666</v>
      </c>
      <c r="F286" s="4">
        <v>348146.73334325879</v>
      </c>
      <c r="G286" s="4">
        <v>348147.75768022379</v>
      </c>
      <c r="H286" s="5">
        <f t="shared" si="2"/>
        <v>0</v>
      </c>
      <c r="I286" t="s">
        <v>254</v>
      </c>
      <c r="J286" t="s">
        <v>155</v>
      </c>
      <c r="K286" s="5">
        <f>120 / 86400</f>
        <v>1.3888888888888889E-3</v>
      </c>
      <c r="L286" s="5">
        <f>20 / 86400</f>
        <v>2.3148148148148149E-4</v>
      </c>
    </row>
    <row r="287" spans="1:12" x14ac:dyDescent="0.25">
      <c r="A287" s="3">
        <v>45702.431481481486</v>
      </c>
      <c r="B287" t="s">
        <v>253</v>
      </c>
      <c r="C287" s="3">
        <v>45702.435300925921</v>
      </c>
      <c r="D287" t="s">
        <v>255</v>
      </c>
      <c r="E287" s="4">
        <v>1.4344476852416992</v>
      </c>
      <c r="F287" s="4">
        <v>348147.76454890653</v>
      </c>
      <c r="G287" s="4">
        <v>348149.19899659173</v>
      </c>
      <c r="H287" s="5">
        <f t="shared" si="2"/>
        <v>0</v>
      </c>
      <c r="I287" t="s">
        <v>139</v>
      </c>
      <c r="J287" t="s">
        <v>34</v>
      </c>
      <c r="K287" s="5">
        <f>330 / 86400</f>
        <v>3.8194444444444443E-3</v>
      </c>
      <c r="L287" s="5">
        <f>20 / 86400</f>
        <v>2.3148148148148149E-4</v>
      </c>
    </row>
    <row r="288" spans="1:12" x14ac:dyDescent="0.25">
      <c r="A288" s="3">
        <v>45702.435532407406</v>
      </c>
      <c r="B288" t="s">
        <v>255</v>
      </c>
      <c r="C288" s="3">
        <v>45702.435995370368</v>
      </c>
      <c r="D288" t="s">
        <v>256</v>
      </c>
      <c r="E288" s="4">
        <v>7.3721193194389342E-2</v>
      </c>
      <c r="F288" s="4">
        <v>348149.20873863919</v>
      </c>
      <c r="G288" s="4">
        <v>348149.28245983238</v>
      </c>
      <c r="H288" s="5">
        <f t="shared" si="2"/>
        <v>0</v>
      </c>
      <c r="I288" t="s">
        <v>57</v>
      </c>
      <c r="J288" t="s">
        <v>138</v>
      </c>
      <c r="K288" s="5">
        <f>40 / 86400</f>
        <v>4.6296296296296298E-4</v>
      </c>
      <c r="L288" s="5">
        <f>20 / 86400</f>
        <v>2.3148148148148149E-4</v>
      </c>
    </row>
    <row r="289" spans="1:12" x14ac:dyDescent="0.25">
      <c r="A289" s="3">
        <v>45702.436226851853</v>
      </c>
      <c r="B289" t="s">
        <v>256</v>
      </c>
      <c r="C289" s="3">
        <v>45702.437152777777</v>
      </c>
      <c r="D289" t="s">
        <v>256</v>
      </c>
      <c r="E289" s="4">
        <v>0.17443010014295579</v>
      </c>
      <c r="F289" s="4">
        <v>348149.32193990255</v>
      </c>
      <c r="G289" s="4">
        <v>348149.49637000269</v>
      </c>
      <c r="H289" s="5">
        <f t="shared" si="2"/>
        <v>0</v>
      </c>
      <c r="I289" t="s">
        <v>35</v>
      </c>
      <c r="J289" t="s">
        <v>123</v>
      </c>
      <c r="K289" s="5">
        <f>80 / 86400</f>
        <v>9.2592592592592596E-4</v>
      </c>
      <c r="L289" s="5">
        <f>140 / 86400</f>
        <v>1.6203703703703703E-3</v>
      </c>
    </row>
    <row r="290" spans="1:12" x14ac:dyDescent="0.25">
      <c r="A290" s="3">
        <v>45702.438773148147</v>
      </c>
      <c r="B290" t="s">
        <v>257</v>
      </c>
      <c r="C290" s="3">
        <v>45702.439467592594</v>
      </c>
      <c r="D290" t="s">
        <v>258</v>
      </c>
      <c r="E290" s="4">
        <v>5.1122701108455661E-2</v>
      </c>
      <c r="F290" s="4">
        <v>348149.57763913879</v>
      </c>
      <c r="G290" s="4">
        <v>348149.62876183994</v>
      </c>
      <c r="H290" s="5">
        <f t="shared" si="2"/>
        <v>0</v>
      </c>
      <c r="I290" t="s">
        <v>138</v>
      </c>
      <c r="J290" t="s">
        <v>152</v>
      </c>
      <c r="K290" s="5">
        <f>60 / 86400</f>
        <v>6.9444444444444447E-4</v>
      </c>
      <c r="L290" s="5">
        <f>20 / 86400</f>
        <v>2.3148148148148149E-4</v>
      </c>
    </row>
    <row r="291" spans="1:12" x14ac:dyDescent="0.25">
      <c r="A291" s="3">
        <v>45702.439699074079</v>
      </c>
      <c r="B291" t="s">
        <v>258</v>
      </c>
      <c r="C291" s="3">
        <v>45702.439930555556</v>
      </c>
      <c r="D291" t="s">
        <v>256</v>
      </c>
      <c r="E291" s="4">
        <v>2.5689067482948302E-2</v>
      </c>
      <c r="F291" s="4">
        <v>348149.64089363068</v>
      </c>
      <c r="G291" s="4">
        <v>348149.66658269818</v>
      </c>
      <c r="H291" s="5">
        <f t="shared" si="2"/>
        <v>0</v>
      </c>
      <c r="I291" t="s">
        <v>127</v>
      </c>
      <c r="J291" t="s">
        <v>127</v>
      </c>
      <c r="K291" s="5">
        <f>20 / 86400</f>
        <v>2.3148148148148149E-4</v>
      </c>
      <c r="L291" s="5">
        <f>20 / 86400</f>
        <v>2.3148148148148149E-4</v>
      </c>
    </row>
    <row r="292" spans="1:12" x14ac:dyDescent="0.25">
      <c r="A292" s="3">
        <v>45702.440162037034</v>
      </c>
      <c r="B292" t="s">
        <v>256</v>
      </c>
      <c r="C292" s="3">
        <v>45702.440393518518</v>
      </c>
      <c r="D292" t="s">
        <v>259</v>
      </c>
      <c r="E292" s="4">
        <v>9.9713178873062133E-3</v>
      </c>
      <c r="F292" s="4">
        <v>348149.68017681676</v>
      </c>
      <c r="G292" s="4">
        <v>348149.69014813466</v>
      </c>
      <c r="H292" s="5">
        <f t="shared" si="2"/>
        <v>0</v>
      </c>
      <c r="I292" t="s">
        <v>127</v>
      </c>
      <c r="J292" t="s">
        <v>140</v>
      </c>
      <c r="K292" s="5">
        <f>20 / 86400</f>
        <v>2.3148148148148149E-4</v>
      </c>
      <c r="L292" s="5">
        <f>18 / 86400</f>
        <v>2.0833333333333335E-4</v>
      </c>
    </row>
    <row r="293" spans="1:12" x14ac:dyDescent="0.25">
      <c r="A293" s="3">
        <v>45702.440601851849</v>
      </c>
      <c r="B293" t="s">
        <v>259</v>
      </c>
      <c r="C293" s="3">
        <v>45702.440879629634</v>
      </c>
      <c r="D293" t="s">
        <v>260</v>
      </c>
      <c r="E293" s="4">
        <v>2.9942398846149444E-2</v>
      </c>
      <c r="F293" s="4">
        <v>348149.69544828066</v>
      </c>
      <c r="G293" s="4">
        <v>348149.72539067949</v>
      </c>
      <c r="H293" s="5">
        <f t="shared" si="2"/>
        <v>0</v>
      </c>
      <c r="I293" t="s">
        <v>132</v>
      </c>
      <c r="J293" t="s">
        <v>156</v>
      </c>
      <c r="K293" s="5">
        <f>24 / 86400</f>
        <v>2.7777777777777778E-4</v>
      </c>
      <c r="L293" s="5">
        <f>8 / 86400</f>
        <v>9.2592592592592588E-5</v>
      </c>
    </row>
    <row r="294" spans="1:12" x14ac:dyDescent="0.25">
      <c r="A294" s="3">
        <v>45702.440972222219</v>
      </c>
      <c r="B294" t="s">
        <v>260</v>
      </c>
      <c r="C294" s="3">
        <v>45702.441666666666</v>
      </c>
      <c r="D294" t="s">
        <v>261</v>
      </c>
      <c r="E294" s="4">
        <v>9.6644290208816527E-2</v>
      </c>
      <c r="F294" s="4">
        <v>348149.73163535545</v>
      </c>
      <c r="G294" s="4">
        <v>348149.82827964571</v>
      </c>
      <c r="H294" s="5">
        <f t="shared" si="2"/>
        <v>0</v>
      </c>
      <c r="I294" t="s">
        <v>127</v>
      </c>
      <c r="J294" t="s">
        <v>132</v>
      </c>
      <c r="K294" s="5">
        <f>60 / 86400</f>
        <v>6.9444444444444447E-4</v>
      </c>
      <c r="L294" s="5">
        <f>26 / 86400</f>
        <v>3.0092592592592595E-4</v>
      </c>
    </row>
    <row r="295" spans="1:12" x14ac:dyDescent="0.25">
      <c r="A295" s="3">
        <v>45702.441967592589</v>
      </c>
      <c r="B295" t="s">
        <v>261</v>
      </c>
      <c r="C295" s="3">
        <v>45702.442662037036</v>
      </c>
      <c r="D295" t="s">
        <v>262</v>
      </c>
      <c r="E295" s="4">
        <v>9.4311893939971927E-2</v>
      </c>
      <c r="F295" s="4">
        <v>348149.83703410794</v>
      </c>
      <c r="G295" s="4">
        <v>348149.93134600186</v>
      </c>
      <c r="H295" s="5">
        <f t="shared" si="2"/>
        <v>0</v>
      </c>
      <c r="I295" t="s">
        <v>127</v>
      </c>
      <c r="J295" t="s">
        <v>132</v>
      </c>
      <c r="K295" s="5">
        <f>60 / 86400</f>
        <v>6.9444444444444447E-4</v>
      </c>
      <c r="L295" s="5">
        <f>20 / 86400</f>
        <v>2.3148148148148149E-4</v>
      </c>
    </row>
    <row r="296" spans="1:12" x14ac:dyDescent="0.25">
      <c r="A296" s="3">
        <v>45702.442893518513</v>
      </c>
      <c r="B296" t="s">
        <v>262</v>
      </c>
      <c r="C296" s="3">
        <v>45702.44358796296</v>
      </c>
      <c r="D296" t="s">
        <v>261</v>
      </c>
      <c r="E296" s="4">
        <v>0.13259358465671539</v>
      </c>
      <c r="F296" s="4">
        <v>348149.95602102997</v>
      </c>
      <c r="G296" s="4">
        <v>348150.08861461462</v>
      </c>
      <c r="H296" s="5">
        <f t="shared" si="2"/>
        <v>0</v>
      </c>
      <c r="I296" t="s">
        <v>123</v>
      </c>
      <c r="J296" t="s">
        <v>123</v>
      </c>
      <c r="K296" s="5">
        <f>60 / 86400</f>
        <v>6.9444444444444447E-4</v>
      </c>
      <c r="L296" s="5">
        <f>20 / 86400</f>
        <v>2.3148148148148149E-4</v>
      </c>
    </row>
    <row r="297" spans="1:12" x14ac:dyDescent="0.25">
      <c r="A297" s="3">
        <v>45702.443819444445</v>
      </c>
      <c r="B297" t="s">
        <v>261</v>
      </c>
      <c r="C297" s="3">
        <v>45702.444282407407</v>
      </c>
      <c r="D297" t="s">
        <v>263</v>
      </c>
      <c r="E297" s="4">
        <v>8.2376660525798798E-2</v>
      </c>
      <c r="F297" s="4">
        <v>348150.09537316742</v>
      </c>
      <c r="G297" s="4">
        <v>348150.17774982791</v>
      </c>
      <c r="H297" s="5">
        <f t="shared" si="2"/>
        <v>0</v>
      </c>
      <c r="I297" t="s">
        <v>138</v>
      </c>
      <c r="J297" t="s">
        <v>138</v>
      </c>
      <c r="K297" s="5">
        <f>40 / 86400</f>
        <v>4.6296296296296298E-4</v>
      </c>
      <c r="L297" s="5">
        <f>20 / 86400</f>
        <v>2.3148148148148149E-4</v>
      </c>
    </row>
    <row r="298" spans="1:12" x14ac:dyDescent="0.25">
      <c r="A298" s="3">
        <v>45702.444513888884</v>
      </c>
      <c r="B298" t="s">
        <v>264</v>
      </c>
      <c r="C298" s="3">
        <v>45702.444745370369</v>
      </c>
      <c r="D298" t="s">
        <v>262</v>
      </c>
      <c r="E298" s="4">
        <v>4.2715242266654969E-2</v>
      </c>
      <c r="F298" s="4">
        <v>348150.19939418725</v>
      </c>
      <c r="G298" s="4">
        <v>348150.24210942956</v>
      </c>
      <c r="H298" s="5">
        <f t="shared" si="2"/>
        <v>0</v>
      </c>
      <c r="I298" t="s">
        <v>35</v>
      </c>
      <c r="J298" t="s">
        <v>123</v>
      </c>
      <c r="K298" s="5">
        <f>20 / 86400</f>
        <v>2.3148148148148149E-4</v>
      </c>
      <c r="L298" s="5">
        <f>3 / 86400</f>
        <v>3.4722222222222222E-5</v>
      </c>
    </row>
    <row r="299" spans="1:12" x14ac:dyDescent="0.25">
      <c r="A299" s="3">
        <v>45702.444780092592</v>
      </c>
      <c r="B299" t="s">
        <v>262</v>
      </c>
      <c r="C299" s="3">
        <v>45702.445011574076</v>
      </c>
      <c r="D299" t="s">
        <v>262</v>
      </c>
      <c r="E299" s="4">
        <v>3.7759624242782591E-2</v>
      </c>
      <c r="F299" s="4">
        <v>348150.24614269054</v>
      </c>
      <c r="G299" s="4">
        <v>348150.28390231478</v>
      </c>
      <c r="H299" s="5">
        <f t="shared" si="2"/>
        <v>0</v>
      </c>
      <c r="I299" t="s">
        <v>132</v>
      </c>
      <c r="J299" t="s">
        <v>138</v>
      </c>
      <c r="K299" s="5">
        <f>20 / 86400</f>
        <v>2.3148148148148149E-4</v>
      </c>
      <c r="L299" s="5">
        <f>3 / 86400</f>
        <v>3.4722222222222222E-5</v>
      </c>
    </row>
    <row r="300" spans="1:12" x14ac:dyDescent="0.25">
      <c r="A300" s="3">
        <v>45702.4450462963</v>
      </c>
      <c r="B300" t="s">
        <v>262</v>
      </c>
      <c r="C300" s="3">
        <v>45702.447395833333</v>
      </c>
      <c r="D300" t="s">
        <v>265</v>
      </c>
      <c r="E300" s="4">
        <v>0.49717927998304368</v>
      </c>
      <c r="F300" s="4">
        <v>348150.28813725174</v>
      </c>
      <c r="G300" s="4">
        <v>348150.78531653172</v>
      </c>
      <c r="H300" s="5">
        <f t="shared" si="2"/>
        <v>0</v>
      </c>
      <c r="I300" t="s">
        <v>99</v>
      </c>
      <c r="J300" t="s">
        <v>57</v>
      </c>
      <c r="K300" s="5">
        <f>203 / 86400</f>
        <v>2.3495370370370371E-3</v>
      </c>
      <c r="L300" s="5">
        <f>9 / 86400</f>
        <v>1.0416666666666667E-4</v>
      </c>
    </row>
    <row r="301" spans="1:12" x14ac:dyDescent="0.25">
      <c r="A301" s="3">
        <v>45702.447499999995</v>
      </c>
      <c r="B301" t="s">
        <v>265</v>
      </c>
      <c r="C301" s="3">
        <v>45702.450590277775</v>
      </c>
      <c r="D301" t="s">
        <v>266</v>
      </c>
      <c r="E301" s="4">
        <v>1.147858325958252</v>
      </c>
      <c r="F301" s="4">
        <v>348150.78623959521</v>
      </c>
      <c r="G301" s="4">
        <v>348151.93409792118</v>
      </c>
      <c r="H301" s="5">
        <f t="shared" si="2"/>
        <v>0</v>
      </c>
      <c r="I301" t="s">
        <v>173</v>
      </c>
      <c r="J301" t="s">
        <v>31</v>
      </c>
      <c r="K301" s="5">
        <f>267 / 86400</f>
        <v>3.0902777777777777E-3</v>
      </c>
      <c r="L301" s="5">
        <f>40 / 86400</f>
        <v>4.6296296296296298E-4</v>
      </c>
    </row>
    <row r="302" spans="1:12" x14ac:dyDescent="0.25">
      <c r="A302" s="3">
        <v>45702.451053240744</v>
      </c>
      <c r="B302" t="s">
        <v>267</v>
      </c>
      <c r="C302" s="3">
        <v>45702.451412037037</v>
      </c>
      <c r="D302" t="s">
        <v>268</v>
      </c>
      <c r="E302" s="4">
        <v>7.3300177216529844E-2</v>
      </c>
      <c r="F302" s="4">
        <v>348152.00628265587</v>
      </c>
      <c r="G302" s="4">
        <v>348152.0795828331</v>
      </c>
      <c r="H302" s="5">
        <f t="shared" si="2"/>
        <v>0</v>
      </c>
      <c r="I302" t="s">
        <v>122</v>
      </c>
      <c r="J302" t="s">
        <v>57</v>
      </c>
      <c r="K302" s="5">
        <f>31 / 86400</f>
        <v>3.5879629629629629E-4</v>
      </c>
      <c r="L302" s="5">
        <f>60 / 86400</f>
        <v>6.9444444444444447E-4</v>
      </c>
    </row>
    <row r="303" spans="1:12" x14ac:dyDescent="0.25">
      <c r="A303" s="3">
        <v>45702.452106481476</v>
      </c>
      <c r="B303" t="s">
        <v>268</v>
      </c>
      <c r="C303" s="3">
        <v>45702.453009259261</v>
      </c>
      <c r="D303" t="s">
        <v>269</v>
      </c>
      <c r="E303" s="4">
        <v>8.5966659545898438E-2</v>
      </c>
      <c r="F303" s="4">
        <v>348152.10376806336</v>
      </c>
      <c r="G303" s="4">
        <v>348152.1897347229</v>
      </c>
      <c r="H303" s="5">
        <f t="shared" si="2"/>
        <v>0</v>
      </c>
      <c r="I303" t="s">
        <v>34</v>
      </c>
      <c r="J303" t="s">
        <v>156</v>
      </c>
      <c r="K303" s="5">
        <f>78 / 86400</f>
        <v>9.0277777777777774E-4</v>
      </c>
      <c r="L303" s="5">
        <f>9 / 86400</f>
        <v>1.0416666666666667E-4</v>
      </c>
    </row>
    <row r="304" spans="1:12" x14ac:dyDescent="0.25">
      <c r="A304" s="3">
        <v>45702.45311342593</v>
      </c>
      <c r="B304" t="s">
        <v>270</v>
      </c>
      <c r="C304" s="3">
        <v>45702.453344907408</v>
      </c>
      <c r="D304" t="s">
        <v>270</v>
      </c>
      <c r="E304" s="4">
        <v>8.0416989326477055E-3</v>
      </c>
      <c r="F304" s="4">
        <v>348152.34174426674</v>
      </c>
      <c r="G304" s="4">
        <v>348152.34978596569</v>
      </c>
      <c r="H304" s="5">
        <f t="shared" si="2"/>
        <v>0</v>
      </c>
      <c r="I304" t="s">
        <v>127</v>
      </c>
      <c r="J304" t="s">
        <v>120</v>
      </c>
      <c r="K304" s="5">
        <f>20 / 86400</f>
        <v>2.3148148148148149E-4</v>
      </c>
      <c r="L304" s="5">
        <f>60 / 86400</f>
        <v>6.9444444444444447E-4</v>
      </c>
    </row>
    <row r="305" spans="1:12" x14ac:dyDescent="0.25">
      <c r="A305" s="3">
        <v>45702.454039351855</v>
      </c>
      <c r="B305" t="s">
        <v>270</v>
      </c>
      <c r="C305" s="3">
        <v>45702.454502314809</v>
      </c>
      <c r="D305" t="s">
        <v>271</v>
      </c>
      <c r="E305" s="4">
        <v>0.29030987924337387</v>
      </c>
      <c r="F305" s="4">
        <v>348152.42338841403</v>
      </c>
      <c r="G305" s="4">
        <v>348152.71369829326</v>
      </c>
      <c r="H305" s="5">
        <f t="shared" si="2"/>
        <v>0</v>
      </c>
      <c r="I305" t="s">
        <v>166</v>
      </c>
      <c r="J305" t="s">
        <v>272</v>
      </c>
      <c r="K305" s="5">
        <f>40 / 86400</f>
        <v>4.6296296296296298E-4</v>
      </c>
      <c r="L305" s="5">
        <f>90 / 86400</f>
        <v>1.0416666666666667E-3</v>
      </c>
    </row>
    <row r="306" spans="1:12" x14ac:dyDescent="0.25">
      <c r="A306" s="3">
        <v>45702.455543981487</v>
      </c>
      <c r="B306" t="s">
        <v>271</v>
      </c>
      <c r="C306" s="3">
        <v>45702.458784722221</v>
      </c>
      <c r="D306" t="s">
        <v>273</v>
      </c>
      <c r="E306" s="4">
        <v>1.9633724884390831</v>
      </c>
      <c r="F306" s="4">
        <v>348152.72667176451</v>
      </c>
      <c r="G306" s="4">
        <v>348154.69004425296</v>
      </c>
      <c r="H306" s="5">
        <f t="shared" si="2"/>
        <v>0</v>
      </c>
      <c r="I306" t="s">
        <v>151</v>
      </c>
      <c r="J306" t="s">
        <v>122</v>
      </c>
      <c r="K306" s="5">
        <f>280 / 86400</f>
        <v>3.2407407407407406E-3</v>
      </c>
      <c r="L306" s="5">
        <f>25 / 86400</f>
        <v>2.8935185185185184E-4</v>
      </c>
    </row>
    <row r="307" spans="1:12" x14ac:dyDescent="0.25">
      <c r="A307" s="3">
        <v>45702.459074074075</v>
      </c>
      <c r="B307" t="s">
        <v>273</v>
      </c>
      <c r="C307" s="3">
        <v>45702.460312499999</v>
      </c>
      <c r="D307" t="s">
        <v>274</v>
      </c>
      <c r="E307" s="4">
        <v>0.65082334607839587</v>
      </c>
      <c r="F307" s="4">
        <v>348154.70626408566</v>
      </c>
      <c r="G307" s="4">
        <v>348155.35708743171</v>
      </c>
      <c r="H307" s="5">
        <f t="shared" si="2"/>
        <v>0</v>
      </c>
      <c r="I307" t="s">
        <v>211</v>
      </c>
      <c r="J307" t="s">
        <v>130</v>
      </c>
      <c r="K307" s="5">
        <f>107 / 86400</f>
        <v>1.238425925925926E-3</v>
      </c>
      <c r="L307" s="5">
        <f>60 / 86400</f>
        <v>6.9444444444444447E-4</v>
      </c>
    </row>
    <row r="308" spans="1:12" x14ac:dyDescent="0.25">
      <c r="A308" s="3">
        <v>45702.461006944446</v>
      </c>
      <c r="B308" t="s">
        <v>274</v>
      </c>
      <c r="C308" s="3">
        <v>45702.461469907408</v>
      </c>
      <c r="D308" t="s">
        <v>275</v>
      </c>
      <c r="E308" s="4">
        <v>9.8689382553100585E-2</v>
      </c>
      <c r="F308" s="4">
        <v>348155.37787291664</v>
      </c>
      <c r="G308" s="4">
        <v>348155.47656229918</v>
      </c>
      <c r="H308" s="5">
        <f t="shared" ref="H308:H371" si="3">0 / 86400</f>
        <v>0</v>
      </c>
      <c r="I308" t="s">
        <v>31</v>
      </c>
      <c r="J308" t="s">
        <v>57</v>
      </c>
      <c r="K308" s="5">
        <f>40 / 86400</f>
        <v>4.6296296296296298E-4</v>
      </c>
      <c r="L308" s="5">
        <f>5 / 86400</f>
        <v>5.7870370370370373E-5</v>
      </c>
    </row>
    <row r="309" spans="1:12" x14ac:dyDescent="0.25">
      <c r="A309" s="3">
        <v>45702.461527777778</v>
      </c>
      <c r="B309" t="s">
        <v>275</v>
      </c>
      <c r="C309" s="3">
        <v>45702.461759259255</v>
      </c>
      <c r="D309" t="s">
        <v>275</v>
      </c>
      <c r="E309" s="4">
        <v>9.4522420763969422E-3</v>
      </c>
      <c r="F309" s="4">
        <v>348155.4792021059</v>
      </c>
      <c r="G309" s="4">
        <v>348155.48865434795</v>
      </c>
      <c r="H309" s="5">
        <f t="shared" si="3"/>
        <v>0</v>
      </c>
      <c r="I309" t="s">
        <v>132</v>
      </c>
      <c r="J309" t="s">
        <v>140</v>
      </c>
      <c r="K309" s="5">
        <f>20 / 86400</f>
        <v>2.3148148148148149E-4</v>
      </c>
      <c r="L309" s="5">
        <f>40 / 86400</f>
        <v>4.6296296296296298E-4</v>
      </c>
    </row>
    <row r="310" spans="1:12" x14ac:dyDescent="0.25">
      <c r="A310" s="3">
        <v>45702.462222222224</v>
      </c>
      <c r="B310" t="s">
        <v>275</v>
      </c>
      <c r="C310" s="3">
        <v>45702.463159722218</v>
      </c>
      <c r="D310" t="s">
        <v>276</v>
      </c>
      <c r="E310" s="4">
        <v>0.26061293339729308</v>
      </c>
      <c r="F310" s="4">
        <v>348155.53879433125</v>
      </c>
      <c r="G310" s="4">
        <v>348155.79940726463</v>
      </c>
      <c r="H310" s="5">
        <f t="shared" si="3"/>
        <v>0</v>
      </c>
      <c r="I310" t="s">
        <v>147</v>
      </c>
      <c r="J310" t="s">
        <v>62</v>
      </c>
      <c r="K310" s="5">
        <f>81 / 86400</f>
        <v>9.3749999999999997E-4</v>
      </c>
      <c r="L310" s="5">
        <f>4 / 86400</f>
        <v>4.6296296296296294E-5</v>
      </c>
    </row>
    <row r="311" spans="1:12" x14ac:dyDescent="0.25">
      <c r="A311" s="3">
        <v>45702.463206018518</v>
      </c>
      <c r="B311" t="s">
        <v>277</v>
      </c>
      <c r="C311" s="3">
        <v>45702.463865740741</v>
      </c>
      <c r="D311" t="s">
        <v>278</v>
      </c>
      <c r="E311" s="4">
        <v>0.22241724681854247</v>
      </c>
      <c r="F311" s="4">
        <v>348155.80286319373</v>
      </c>
      <c r="G311" s="4">
        <v>348156.02528044058</v>
      </c>
      <c r="H311" s="5">
        <f t="shared" si="3"/>
        <v>0</v>
      </c>
      <c r="I311" t="s">
        <v>28</v>
      </c>
      <c r="J311" t="s">
        <v>59</v>
      </c>
      <c r="K311" s="5">
        <f>57 / 86400</f>
        <v>6.5972222222222224E-4</v>
      </c>
      <c r="L311" s="5">
        <f>20 / 86400</f>
        <v>2.3148148148148149E-4</v>
      </c>
    </row>
    <row r="312" spans="1:12" x14ac:dyDescent="0.25">
      <c r="A312" s="3">
        <v>45702.464097222226</v>
      </c>
      <c r="B312" t="s">
        <v>278</v>
      </c>
      <c r="C312" s="3">
        <v>45702.465300925927</v>
      </c>
      <c r="D312" t="s">
        <v>279</v>
      </c>
      <c r="E312" s="4">
        <v>0.55420096391439433</v>
      </c>
      <c r="F312" s="4">
        <v>348156.02625507157</v>
      </c>
      <c r="G312" s="4">
        <v>348156.5804560355</v>
      </c>
      <c r="H312" s="5">
        <f t="shared" si="3"/>
        <v>0</v>
      </c>
      <c r="I312" t="s">
        <v>147</v>
      </c>
      <c r="J312" t="s">
        <v>99</v>
      </c>
      <c r="K312" s="5">
        <f>104 / 86400</f>
        <v>1.2037037037037038E-3</v>
      </c>
      <c r="L312" s="5">
        <f>60 / 86400</f>
        <v>6.9444444444444447E-4</v>
      </c>
    </row>
    <row r="313" spans="1:12" x14ac:dyDescent="0.25">
      <c r="A313" s="3">
        <v>45702.465995370367</v>
      </c>
      <c r="B313" t="s">
        <v>279</v>
      </c>
      <c r="C313" s="3">
        <v>45702.466874999998</v>
      </c>
      <c r="D313" t="s">
        <v>280</v>
      </c>
      <c r="E313" s="4">
        <v>0.12687986123561859</v>
      </c>
      <c r="F313" s="4">
        <v>348156.59159547469</v>
      </c>
      <c r="G313" s="4">
        <v>348156.71847533592</v>
      </c>
      <c r="H313" s="5">
        <f t="shared" si="3"/>
        <v>0</v>
      </c>
      <c r="I313" t="s">
        <v>35</v>
      </c>
      <c r="J313" t="s">
        <v>132</v>
      </c>
      <c r="K313" s="5">
        <f>76 / 86400</f>
        <v>8.7962962962962962E-4</v>
      </c>
      <c r="L313" s="5">
        <f>20 / 86400</f>
        <v>2.3148148148148149E-4</v>
      </c>
    </row>
    <row r="314" spans="1:12" x14ac:dyDescent="0.25">
      <c r="A314" s="3">
        <v>45702.467106481483</v>
      </c>
      <c r="B314" t="s">
        <v>280</v>
      </c>
      <c r="C314" s="3">
        <v>45702.468877314815</v>
      </c>
      <c r="D314" t="s">
        <v>281</v>
      </c>
      <c r="E314" s="4">
        <v>0.91747844707965853</v>
      </c>
      <c r="F314" s="4">
        <v>348156.75031182257</v>
      </c>
      <c r="G314" s="4">
        <v>348157.66779026965</v>
      </c>
      <c r="H314" s="5">
        <f t="shared" si="3"/>
        <v>0</v>
      </c>
      <c r="I314" t="s">
        <v>135</v>
      </c>
      <c r="J314" t="s">
        <v>130</v>
      </c>
      <c r="K314" s="5">
        <f>153 / 86400</f>
        <v>1.7708333333333332E-3</v>
      </c>
      <c r="L314" s="5">
        <f>28 / 86400</f>
        <v>3.2407407407407406E-4</v>
      </c>
    </row>
    <row r="315" spans="1:12" x14ac:dyDescent="0.25">
      <c r="A315" s="3">
        <v>45702.469201388885</v>
      </c>
      <c r="B315" t="s">
        <v>281</v>
      </c>
      <c r="C315" s="3">
        <v>45702.469664351855</v>
      </c>
      <c r="D315" t="s">
        <v>282</v>
      </c>
      <c r="E315" s="4">
        <v>3.3249954938888548E-2</v>
      </c>
      <c r="F315" s="4">
        <v>348157.67598640203</v>
      </c>
      <c r="G315" s="4">
        <v>348157.70923635695</v>
      </c>
      <c r="H315" s="5">
        <f t="shared" si="3"/>
        <v>0</v>
      </c>
      <c r="I315" t="s">
        <v>127</v>
      </c>
      <c r="J315" t="s">
        <v>152</v>
      </c>
      <c r="K315" s="5">
        <f>40 / 86400</f>
        <v>4.6296296296296298E-4</v>
      </c>
      <c r="L315" s="5">
        <f>27 / 86400</f>
        <v>3.1250000000000001E-4</v>
      </c>
    </row>
    <row r="316" spans="1:12" x14ac:dyDescent="0.25">
      <c r="A316" s="3">
        <v>45702.469976851848</v>
      </c>
      <c r="B316" t="s">
        <v>282</v>
      </c>
      <c r="C316" s="3">
        <v>45702.470289351855</v>
      </c>
      <c r="D316" t="s">
        <v>283</v>
      </c>
      <c r="E316" s="4">
        <v>5.0426877796649935E-2</v>
      </c>
      <c r="F316" s="4">
        <v>348157.71377643425</v>
      </c>
      <c r="G316" s="4">
        <v>348157.76420331205</v>
      </c>
      <c r="H316" s="5">
        <f t="shared" si="3"/>
        <v>0</v>
      </c>
      <c r="I316" t="s">
        <v>34</v>
      </c>
      <c r="J316" t="s">
        <v>138</v>
      </c>
      <c r="K316" s="5">
        <f>27 / 86400</f>
        <v>3.1250000000000001E-4</v>
      </c>
      <c r="L316" s="5">
        <f>20 / 86400</f>
        <v>2.3148148148148149E-4</v>
      </c>
    </row>
    <row r="317" spans="1:12" x14ac:dyDescent="0.25">
      <c r="A317" s="3">
        <v>45702.470520833333</v>
      </c>
      <c r="B317" t="s">
        <v>284</v>
      </c>
      <c r="C317" s="3">
        <v>45702.470879629633</v>
      </c>
      <c r="D317" t="s">
        <v>285</v>
      </c>
      <c r="E317" s="4">
        <v>7.018931537866592E-2</v>
      </c>
      <c r="F317" s="4">
        <v>348157.86213037767</v>
      </c>
      <c r="G317" s="4">
        <v>348157.93231969303</v>
      </c>
      <c r="H317" s="5">
        <f t="shared" si="3"/>
        <v>0</v>
      </c>
      <c r="I317" t="s">
        <v>122</v>
      </c>
      <c r="J317" t="s">
        <v>123</v>
      </c>
      <c r="K317" s="5">
        <f>31 / 86400</f>
        <v>3.5879629629629629E-4</v>
      </c>
      <c r="L317" s="5">
        <f>40 / 86400</f>
        <v>4.6296296296296298E-4</v>
      </c>
    </row>
    <row r="318" spans="1:12" x14ac:dyDescent="0.25">
      <c r="A318" s="3">
        <v>45702.471342592587</v>
      </c>
      <c r="B318" t="s">
        <v>286</v>
      </c>
      <c r="C318" s="3">
        <v>45702.471574074079</v>
      </c>
      <c r="D318" t="s">
        <v>158</v>
      </c>
      <c r="E318" s="4">
        <v>4.8902826189994815E-2</v>
      </c>
      <c r="F318" s="4">
        <v>348157.96569500928</v>
      </c>
      <c r="G318" s="4">
        <v>348158.01459783548</v>
      </c>
      <c r="H318" s="5">
        <f t="shared" si="3"/>
        <v>0</v>
      </c>
      <c r="I318" t="s">
        <v>59</v>
      </c>
      <c r="J318" t="s">
        <v>57</v>
      </c>
      <c r="K318" s="5">
        <f>20 / 86400</f>
        <v>2.3148148148148149E-4</v>
      </c>
      <c r="L318" s="5">
        <f>120 / 86400</f>
        <v>1.3888888888888889E-3</v>
      </c>
    </row>
    <row r="319" spans="1:12" x14ac:dyDescent="0.25">
      <c r="A319" s="3">
        <v>45702.472962962958</v>
      </c>
      <c r="B319" t="s">
        <v>158</v>
      </c>
      <c r="C319" s="3">
        <v>45702.473425925928</v>
      </c>
      <c r="D319" t="s">
        <v>158</v>
      </c>
      <c r="E319" s="4">
        <v>3.6925119459629056E-2</v>
      </c>
      <c r="F319" s="4">
        <v>348158.03986277251</v>
      </c>
      <c r="G319" s="4">
        <v>348158.07678789197</v>
      </c>
      <c r="H319" s="5">
        <f t="shared" si="3"/>
        <v>0</v>
      </c>
      <c r="I319" t="s">
        <v>127</v>
      </c>
      <c r="J319" t="s">
        <v>152</v>
      </c>
      <c r="K319" s="5">
        <f>40 / 86400</f>
        <v>4.6296296296296298E-4</v>
      </c>
      <c r="L319" s="5">
        <f>160 / 86400</f>
        <v>1.8518518518518519E-3</v>
      </c>
    </row>
    <row r="320" spans="1:12" x14ac:dyDescent="0.25">
      <c r="A320" s="3">
        <v>45702.475277777776</v>
      </c>
      <c r="B320" t="s">
        <v>287</v>
      </c>
      <c r="C320" s="3">
        <v>45702.47550925926</v>
      </c>
      <c r="D320" t="s">
        <v>287</v>
      </c>
      <c r="E320" s="4">
        <v>5.9279149770736696E-3</v>
      </c>
      <c r="F320" s="4">
        <v>348158.09505738417</v>
      </c>
      <c r="G320" s="4">
        <v>348158.10098529916</v>
      </c>
      <c r="H320" s="5">
        <f t="shared" si="3"/>
        <v>0</v>
      </c>
      <c r="I320" t="s">
        <v>140</v>
      </c>
      <c r="J320" t="s">
        <v>120</v>
      </c>
      <c r="K320" s="5">
        <f>20 / 86400</f>
        <v>2.3148148148148149E-4</v>
      </c>
      <c r="L320" s="5">
        <f>320 / 86400</f>
        <v>3.7037037037037038E-3</v>
      </c>
    </row>
    <row r="321" spans="1:12" x14ac:dyDescent="0.25">
      <c r="A321" s="3">
        <v>45702.479212962964</v>
      </c>
      <c r="B321" t="s">
        <v>288</v>
      </c>
      <c r="C321" s="3">
        <v>45702.479444444441</v>
      </c>
      <c r="D321" t="s">
        <v>288</v>
      </c>
      <c r="E321" s="4">
        <v>1.0020730078220368E-2</v>
      </c>
      <c r="F321" s="4">
        <v>348158.15858638793</v>
      </c>
      <c r="G321" s="4">
        <v>348158.16860711802</v>
      </c>
      <c r="H321" s="5">
        <f t="shared" si="3"/>
        <v>0</v>
      </c>
      <c r="I321" t="s">
        <v>140</v>
      </c>
      <c r="J321" t="s">
        <v>140</v>
      </c>
      <c r="K321" s="5">
        <f>20 / 86400</f>
        <v>2.3148148148148149E-4</v>
      </c>
      <c r="L321" s="5">
        <f>127 / 86400</f>
        <v>1.4699074074074074E-3</v>
      </c>
    </row>
    <row r="322" spans="1:12" x14ac:dyDescent="0.25">
      <c r="A322" s="3">
        <v>45702.480914351851</v>
      </c>
      <c r="B322" t="s">
        <v>288</v>
      </c>
      <c r="C322" s="3">
        <v>45702.481481481482</v>
      </c>
      <c r="D322" t="s">
        <v>283</v>
      </c>
      <c r="E322" s="4">
        <v>0.15279522186517716</v>
      </c>
      <c r="F322" s="4">
        <v>348158.19004639599</v>
      </c>
      <c r="G322" s="4">
        <v>348158.34284161788</v>
      </c>
      <c r="H322" s="5">
        <f t="shared" si="3"/>
        <v>0</v>
      </c>
      <c r="I322" t="s">
        <v>21</v>
      </c>
      <c r="J322" t="s">
        <v>53</v>
      </c>
      <c r="K322" s="5">
        <f>49 / 86400</f>
        <v>5.6712962962962967E-4</v>
      </c>
      <c r="L322" s="5">
        <f>20 / 86400</f>
        <v>2.3148148148148149E-4</v>
      </c>
    </row>
    <row r="323" spans="1:12" x14ac:dyDescent="0.25">
      <c r="A323" s="3">
        <v>45702.481712962966</v>
      </c>
      <c r="B323" t="s">
        <v>289</v>
      </c>
      <c r="C323" s="3">
        <v>45702.484131944446</v>
      </c>
      <c r="D323" t="s">
        <v>290</v>
      </c>
      <c r="E323" s="4">
        <v>0.79705707484483723</v>
      </c>
      <c r="F323" s="4">
        <v>348158.35163450695</v>
      </c>
      <c r="G323" s="4">
        <v>348159.14869158179</v>
      </c>
      <c r="H323" s="5">
        <f t="shared" si="3"/>
        <v>0</v>
      </c>
      <c r="I323" t="s">
        <v>206</v>
      </c>
      <c r="J323" t="s">
        <v>59</v>
      </c>
      <c r="K323" s="5">
        <f>209 / 86400</f>
        <v>2.4189814814814816E-3</v>
      </c>
      <c r="L323" s="5">
        <f>25 / 86400</f>
        <v>2.8935185185185184E-4</v>
      </c>
    </row>
    <row r="324" spans="1:12" x14ac:dyDescent="0.25">
      <c r="A324" s="3">
        <v>45702.484421296293</v>
      </c>
      <c r="B324" t="s">
        <v>290</v>
      </c>
      <c r="C324" s="3">
        <v>45702.485347222224</v>
      </c>
      <c r="D324" t="s">
        <v>291</v>
      </c>
      <c r="E324" s="4">
        <v>0.38429574871063232</v>
      </c>
      <c r="F324" s="4">
        <v>348159.15613621939</v>
      </c>
      <c r="G324" s="4">
        <v>348159.54043196811</v>
      </c>
      <c r="H324" s="5">
        <f t="shared" si="3"/>
        <v>0</v>
      </c>
      <c r="I324" t="s">
        <v>133</v>
      </c>
      <c r="J324" t="s">
        <v>28</v>
      </c>
      <c r="K324" s="5">
        <f>80 / 86400</f>
        <v>9.2592592592592596E-4</v>
      </c>
      <c r="L324" s="5">
        <f>20 / 86400</f>
        <v>2.3148148148148149E-4</v>
      </c>
    </row>
    <row r="325" spans="1:12" x14ac:dyDescent="0.25">
      <c r="A325" s="3">
        <v>45702.485578703709</v>
      </c>
      <c r="B325" t="s">
        <v>291</v>
      </c>
      <c r="C325" s="3">
        <v>45702.486273148148</v>
      </c>
      <c r="D325" t="s">
        <v>292</v>
      </c>
      <c r="E325" s="4">
        <v>0.17646880441904067</v>
      </c>
      <c r="F325" s="4">
        <v>348159.56058272615</v>
      </c>
      <c r="G325" s="4">
        <v>348159.73705153057</v>
      </c>
      <c r="H325" s="5">
        <f t="shared" si="3"/>
        <v>0</v>
      </c>
      <c r="I325" t="s">
        <v>24</v>
      </c>
      <c r="J325" t="s">
        <v>53</v>
      </c>
      <c r="K325" s="5">
        <f>60 / 86400</f>
        <v>6.9444444444444447E-4</v>
      </c>
      <c r="L325" s="5">
        <f>59 / 86400</f>
        <v>6.8287037037037036E-4</v>
      </c>
    </row>
    <row r="326" spans="1:12" x14ac:dyDescent="0.25">
      <c r="A326" s="3">
        <v>45702.486956018518</v>
      </c>
      <c r="B326" t="s">
        <v>292</v>
      </c>
      <c r="C326" s="3">
        <v>45702.488587962958</v>
      </c>
      <c r="D326" t="s">
        <v>275</v>
      </c>
      <c r="E326" s="4">
        <v>0.60693788808584215</v>
      </c>
      <c r="F326" s="4">
        <v>348159.73942031857</v>
      </c>
      <c r="G326" s="4">
        <v>348160.34635820665</v>
      </c>
      <c r="H326" s="5">
        <f t="shared" si="3"/>
        <v>0</v>
      </c>
      <c r="I326" t="s">
        <v>155</v>
      </c>
      <c r="J326" t="s">
        <v>31</v>
      </c>
      <c r="K326" s="5">
        <f>141 / 86400</f>
        <v>1.6319444444444445E-3</v>
      </c>
      <c r="L326" s="5">
        <f>40 / 86400</f>
        <v>4.6296296296296298E-4</v>
      </c>
    </row>
    <row r="327" spans="1:12" x14ac:dyDescent="0.25">
      <c r="A327" s="3">
        <v>45702.489050925928</v>
      </c>
      <c r="B327" t="s">
        <v>293</v>
      </c>
      <c r="C327" s="3">
        <v>45702.489814814813</v>
      </c>
      <c r="D327" t="s">
        <v>294</v>
      </c>
      <c r="E327" s="4">
        <v>0.1165160037279129</v>
      </c>
      <c r="F327" s="4">
        <v>348160.35856262565</v>
      </c>
      <c r="G327" s="4">
        <v>348160.47507862939</v>
      </c>
      <c r="H327" s="5">
        <f t="shared" si="3"/>
        <v>0</v>
      </c>
      <c r="I327" t="s">
        <v>35</v>
      </c>
      <c r="J327" t="s">
        <v>132</v>
      </c>
      <c r="K327" s="5">
        <f>66 / 86400</f>
        <v>7.6388888888888893E-4</v>
      </c>
      <c r="L327" s="5">
        <f>60 / 86400</f>
        <v>6.9444444444444447E-4</v>
      </c>
    </row>
    <row r="328" spans="1:12" x14ac:dyDescent="0.25">
      <c r="A328" s="3">
        <v>45702.49050925926</v>
      </c>
      <c r="B328" t="s">
        <v>295</v>
      </c>
      <c r="C328" s="3">
        <v>45702.490740740745</v>
      </c>
      <c r="D328" t="s">
        <v>295</v>
      </c>
      <c r="E328" s="4">
        <v>1.9722272515296936E-2</v>
      </c>
      <c r="F328" s="4">
        <v>348160.54379064828</v>
      </c>
      <c r="G328" s="4">
        <v>348160.56351292081</v>
      </c>
      <c r="H328" s="5">
        <f t="shared" si="3"/>
        <v>0</v>
      </c>
      <c r="I328" t="s">
        <v>120</v>
      </c>
      <c r="J328" t="s">
        <v>156</v>
      </c>
      <c r="K328" s="5">
        <f>20 / 86400</f>
        <v>2.3148148148148149E-4</v>
      </c>
      <c r="L328" s="5">
        <f>60 / 86400</f>
        <v>6.9444444444444447E-4</v>
      </c>
    </row>
    <row r="329" spans="1:12" x14ac:dyDescent="0.25">
      <c r="A329" s="3">
        <v>45702.491435185184</v>
      </c>
      <c r="B329" t="s">
        <v>295</v>
      </c>
      <c r="C329" s="3">
        <v>45702.491666666669</v>
      </c>
      <c r="D329" t="s">
        <v>295</v>
      </c>
      <c r="E329" s="4">
        <v>1.7486416578292845E-2</v>
      </c>
      <c r="F329" s="4">
        <v>348160.57739502413</v>
      </c>
      <c r="G329" s="4">
        <v>348160.59488144069</v>
      </c>
      <c r="H329" s="5">
        <f t="shared" si="3"/>
        <v>0</v>
      </c>
      <c r="I329" t="s">
        <v>138</v>
      </c>
      <c r="J329" t="s">
        <v>152</v>
      </c>
      <c r="K329" s="5">
        <f>20 / 86400</f>
        <v>2.3148148148148149E-4</v>
      </c>
      <c r="L329" s="5">
        <f>20 / 86400</f>
        <v>2.3148148148148149E-4</v>
      </c>
    </row>
    <row r="330" spans="1:12" x14ac:dyDescent="0.25">
      <c r="A330" s="3">
        <v>45702.491898148146</v>
      </c>
      <c r="B330" t="s">
        <v>296</v>
      </c>
      <c r="C330" s="3">
        <v>45702.492129629631</v>
      </c>
      <c r="D330" t="s">
        <v>296</v>
      </c>
      <c r="E330" s="4">
        <v>3.8496863842010496E-3</v>
      </c>
      <c r="F330" s="4">
        <v>348160.60678107635</v>
      </c>
      <c r="G330" s="4">
        <v>348160.61063076276</v>
      </c>
      <c r="H330" s="5">
        <f t="shared" si="3"/>
        <v>0</v>
      </c>
      <c r="I330" t="s">
        <v>120</v>
      </c>
      <c r="J330" t="s">
        <v>120</v>
      </c>
      <c r="K330" s="5">
        <f>20 / 86400</f>
        <v>2.3148148148148149E-4</v>
      </c>
      <c r="L330" s="5">
        <f>40 / 86400</f>
        <v>4.6296296296296298E-4</v>
      </c>
    </row>
    <row r="331" spans="1:12" x14ac:dyDescent="0.25">
      <c r="A331" s="3">
        <v>45702.492592592593</v>
      </c>
      <c r="B331" t="s">
        <v>296</v>
      </c>
      <c r="C331" s="3">
        <v>45702.493402777778</v>
      </c>
      <c r="D331" t="s">
        <v>297</v>
      </c>
      <c r="E331" s="4">
        <v>0.30352674400806429</v>
      </c>
      <c r="F331" s="4">
        <v>348160.61360689206</v>
      </c>
      <c r="G331" s="4">
        <v>348160.91713363607</v>
      </c>
      <c r="H331" s="5">
        <f t="shared" si="3"/>
        <v>0</v>
      </c>
      <c r="I331" t="s">
        <v>178</v>
      </c>
      <c r="J331" t="s">
        <v>34</v>
      </c>
      <c r="K331" s="5">
        <f>70 / 86400</f>
        <v>8.1018518518518516E-4</v>
      </c>
      <c r="L331" s="5">
        <f>23 / 86400</f>
        <v>2.6620370370370372E-4</v>
      </c>
    </row>
    <row r="332" spans="1:12" x14ac:dyDescent="0.25">
      <c r="A332" s="3">
        <v>45702.493668981479</v>
      </c>
      <c r="B332" t="s">
        <v>297</v>
      </c>
      <c r="C332" s="3">
        <v>45702.493993055556</v>
      </c>
      <c r="D332" t="s">
        <v>274</v>
      </c>
      <c r="E332" s="4">
        <v>7.241844832897186E-2</v>
      </c>
      <c r="F332" s="4">
        <v>348160.92830260046</v>
      </c>
      <c r="G332" s="4">
        <v>348161.0007210488</v>
      </c>
      <c r="H332" s="5">
        <f t="shared" si="3"/>
        <v>0</v>
      </c>
      <c r="I332" t="s">
        <v>57</v>
      </c>
      <c r="J332" t="s">
        <v>57</v>
      </c>
      <c r="K332" s="5">
        <f>28 / 86400</f>
        <v>3.2407407407407406E-4</v>
      </c>
      <c r="L332" s="5">
        <f>20 / 86400</f>
        <v>2.3148148148148149E-4</v>
      </c>
    </row>
    <row r="333" spans="1:12" x14ac:dyDescent="0.25">
      <c r="A333" s="3">
        <v>45702.494224537033</v>
      </c>
      <c r="B333" t="s">
        <v>298</v>
      </c>
      <c r="C333" s="3">
        <v>45702.495821759258</v>
      </c>
      <c r="D333" t="s">
        <v>112</v>
      </c>
      <c r="E333" s="4">
        <v>0.95841618686914443</v>
      </c>
      <c r="F333" s="4">
        <v>348161.03973206034</v>
      </c>
      <c r="G333" s="4">
        <v>348161.99814824719</v>
      </c>
      <c r="H333" s="5">
        <f t="shared" si="3"/>
        <v>0</v>
      </c>
      <c r="I333" t="s">
        <v>245</v>
      </c>
      <c r="J333" t="s">
        <v>122</v>
      </c>
      <c r="K333" s="5">
        <f>138 / 86400</f>
        <v>1.5972222222222223E-3</v>
      </c>
      <c r="L333" s="5">
        <f>17 / 86400</f>
        <v>1.9675925925925926E-4</v>
      </c>
    </row>
    <row r="334" spans="1:12" x14ac:dyDescent="0.25">
      <c r="A334" s="3">
        <v>45702.496018518519</v>
      </c>
      <c r="B334" t="s">
        <v>112</v>
      </c>
      <c r="C334" s="3">
        <v>45702.496944444443</v>
      </c>
      <c r="D334" t="s">
        <v>299</v>
      </c>
      <c r="E334" s="4">
        <v>0.49259434157609938</v>
      </c>
      <c r="F334" s="4">
        <v>348162.01253972691</v>
      </c>
      <c r="G334" s="4">
        <v>348162.50513406849</v>
      </c>
      <c r="H334" s="5">
        <f t="shared" si="3"/>
        <v>0</v>
      </c>
      <c r="I334" t="s">
        <v>163</v>
      </c>
      <c r="J334" t="s">
        <v>130</v>
      </c>
      <c r="K334" s="5">
        <f>80 / 86400</f>
        <v>9.2592592592592596E-4</v>
      </c>
      <c r="L334" s="5">
        <f>40 / 86400</f>
        <v>4.6296296296296298E-4</v>
      </c>
    </row>
    <row r="335" spans="1:12" x14ac:dyDescent="0.25">
      <c r="A335" s="3">
        <v>45702.497407407413</v>
      </c>
      <c r="B335" t="s">
        <v>299</v>
      </c>
      <c r="C335" s="3">
        <v>45702.497673611113</v>
      </c>
      <c r="D335" t="s">
        <v>300</v>
      </c>
      <c r="E335" s="4">
        <v>3.9515906333923337E-2</v>
      </c>
      <c r="F335" s="4">
        <v>348162.50913928502</v>
      </c>
      <c r="G335" s="4">
        <v>348162.54865519138</v>
      </c>
      <c r="H335" s="5">
        <f t="shared" si="3"/>
        <v>0</v>
      </c>
      <c r="I335" t="s">
        <v>59</v>
      </c>
      <c r="J335" t="s">
        <v>132</v>
      </c>
      <c r="K335" s="5">
        <f>23 / 86400</f>
        <v>2.6620370370370372E-4</v>
      </c>
      <c r="L335" s="5">
        <f>20 / 86400</f>
        <v>2.3148148148148149E-4</v>
      </c>
    </row>
    <row r="336" spans="1:12" x14ac:dyDescent="0.25">
      <c r="A336" s="3">
        <v>45702.49790509259</v>
      </c>
      <c r="B336" t="s">
        <v>301</v>
      </c>
      <c r="C336" s="3">
        <v>45702.498449074075</v>
      </c>
      <c r="D336" t="s">
        <v>302</v>
      </c>
      <c r="E336" s="4">
        <v>0.1826350377202034</v>
      </c>
      <c r="F336" s="4">
        <v>348162.70598634088</v>
      </c>
      <c r="G336" s="4">
        <v>348162.88862137857</v>
      </c>
      <c r="H336" s="5">
        <f t="shared" si="3"/>
        <v>0</v>
      </c>
      <c r="I336" t="s">
        <v>163</v>
      </c>
      <c r="J336" t="s">
        <v>59</v>
      </c>
      <c r="K336" s="5">
        <f>47 / 86400</f>
        <v>5.4398148148148144E-4</v>
      </c>
      <c r="L336" s="5">
        <f>40 / 86400</f>
        <v>4.6296296296296298E-4</v>
      </c>
    </row>
    <row r="337" spans="1:12" x14ac:dyDescent="0.25">
      <c r="A337" s="3">
        <v>45702.498912037037</v>
      </c>
      <c r="B337" t="s">
        <v>302</v>
      </c>
      <c r="C337" s="3">
        <v>45702.500162037039</v>
      </c>
      <c r="D337" t="s">
        <v>301</v>
      </c>
      <c r="E337" s="4">
        <v>0.79997734445333479</v>
      </c>
      <c r="F337" s="4">
        <v>348162.98910141556</v>
      </c>
      <c r="G337" s="4">
        <v>348163.78907876002</v>
      </c>
      <c r="H337" s="5">
        <f t="shared" si="3"/>
        <v>0</v>
      </c>
      <c r="I337" t="s">
        <v>139</v>
      </c>
      <c r="J337" t="s">
        <v>135</v>
      </c>
      <c r="K337" s="5">
        <f>108 / 86400</f>
        <v>1.25E-3</v>
      </c>
      <c r="L337" s="5">
        <f>140 / 86400</f>
        <v>1.6203703703703703E-3</v>
      </c>
    </row>
    <row r="338" spans="1:12" x14ac:dyDescent="0.25">
      <c r="A338" s="3">
        <v>45702.501782407402</v>
      </c>
      <c r="B338" t="s">
        <v>270</v>
      </c>
      <c r="C338" s="3">
        <v>45702.502442129626</v>
      </c>
      <c r="D338" t="s">
        <v>303</v>
      </c>
      <c r="E338" s="4">
        <v>0.16014378798007964</v>
      </c>
      <c r="F338" s="4">
        <v>348163.8712181084</v>
      </c>
      <c r="G338" s="4">
        <v>348164.03136189637</v>
      </c>
      <c r="H338" s="5">
        <f t="shared" si="3"/>
        <v>0</v>
      </c>
      <c r="I338" t="s">
        <v>147</v>
      </c>
      <c r="J338" t="s">
        <v>126</v>
      </c>
      <c r="K338" s="5">
        <f>57 / 86400</f>
        <v>6.5972222222222224E-4</v>
      </c>
      <c r="L338" s="5">
        <f>20 / 86400</f>
        <v>2.3148148148148149E-4</v>
      </c>
    </row>
    <row r="339" spans="1:12" x14ac:dyDescent="0.25">
      <c r="A339" s="3">
        <v>45702.50267361111</v>
      </c>
      <c r="B339" t="s">
        <v>303</v>
      </c>
      <c r="C339" s="3">
        <v>45702.502905092595</v>
      </c>
      <c r="D339" t="s">
        <v>303</v>
      </c>
      <c r="E339" s="4">
        <v>4.845951300859451E-2</v>
      </c>
      <c r="F339" s="4">
        <v>348164.09013405046</v>
      </c>
      <c r="G339" s="4">
        <v>348164.13859356352</v>
      </c>
      <c r="H339" s="5">
        <f t="shared" si="3"/>
        <v>0</v>
      </c>
      <c r="I339" t="s">
        <v>62</v>
      </c>
      <c r="J339" t="s">
        <v>57</v>
      </c>
      <c r="K339" s="5">
        <f>20 / 86400</f>
        <v>2.3148148148148149E-4</v>
      </c>
      <c r="L339" s="5">
        <f>21 / 86400</f>
        <v>2.4305555555555555E-4</v>
      </c>
    </row>
    <row r="340" spans="1:12" x14ac:dyDescent="0.25">
      <c r="A340" s="3">
        <v>45702.503148148149</v>
      </c>
      <c r="B340" t="s">
        <v>303</v>
      </c>
      <c r="C340" s="3">
        <v>45702.505740740744</v>
      </c>
      <c r="D340" t="s">
        <v>304</v>
      </c>
      <c r="E340" s="4">
        <v>0.54339103519916532</v>
      </c>
      <c r="F340" s="4">
        <v>348164.14922608779</v>
      </c>
      <c r="G340" s="4">
        <v>348164.69261712302</v>
      </c>
      <c r="H340" s="5">
        <f t="shared" si="3"/>
        <v>0</v>
      </c>
      <c r="I340" t="s">
        <v>147</v>
      </c>
      <c r="J340" t="s">
        <v>57</v>
      </c>
      <c r="K340" s="5">
        <f>224 / 86400</f>
        <v>2.5925925925925925E-3</v>
      </c>
      <c r="L340" s="5">
        <f>40 / 86400</f>
        <v>4.6296296296296298E-4</v>
      </c>
    </row>
    <row r="341" spans="1:12" x14ac:dyDescent="0.25">
      <c r="A341" s="3">
        <v>45702.506203703699</v>
      </c>
      <c r="B341" t="s">
        <v>304</v>
      </c>
      <c r="C341" s="3">
        <v>45702.506666666668</v>
      </c>
      <c r="D341" t="s">
        <v>304</v>
      </c>
      <c r="E341" s="4">
        <v>4.1980611264705661E-2</v>
      </c>
      <c r="F341" s="4">
        <v>348164.72556161904</v>
      </c>
      <c r="G341" s="4">
        <v>348164.76754223031</v>
      </c>
      <c r="H341" s="5">
        <f t="shared" si="3"/>
        <v>0</v>
      </c>
      <c r="I341" t="s">
        <v>35</v>
      </c>
      <c r="J341" t="s">
        <v>156</v>
      </c>
      <c r="K341" s="5">
        <f>40 / 86400</f>
        <v>4.6296296296296298E-4</v>
      </c>
      <c r="L341" s="5">
        <f>60 / 86400</f>
        <v>6.9444444444444447E-4</v>
      </c>
    </row>
    <row r="342" spans="1:12" x14ac:dyDescent="0.25">
      <c r="A342" s="3">
        <v>45702.507361111115</v>
      </c>
      <c r="B342" t="s">
        <v>304</v>
      </c>
      <c r="C342" s="3">
        <v>45702.5080787037</v>
      </c>
      <c r="D342" t="s">
        <v>305</v>
      </c>
      <c r="E342" s="4">
        <v>5.626659935712814E-2</v>
      </c>
      <c r="F342" s="4">
        <v>348164.77936877549</v>
      </c>
      <c r="G342" s="4">
        <v>348164.83563537482</v>
      </c>
      <c r="H342" s="5">
        <f t="shared" si="3"/>
        <v>0</v>
      </c>
      <c r="I342" t="s">
        <v>126</v>
      </c>
      <c r="J342" t="s">
        <v>152</v>
      </c>
      <c r="K342" s="5">
        <f>62 / 86400</f>
        <v>7.1759259259259259E-4</v>
      </c>
      <c r="L342" s="5">
        <f>20 / 86400</f>
        <v>2.3148148148148149E-4</v>
      </c>
    </row>
    <row r="343" spans="1:12" x14ac:dyDescent="0.25">
      <c r="A343" s="3">
        <v>45702.508310185185</v>
      </c>
      <c r="B343" t="s">
        <v>305</v>
      </c>
      <c r="C343" s="3">
        <v>45702.50854166667</v>
      </c>
      <c r="D343" t="s">
        <v>306</v>
      </c>
      <c r="E343" s="4">
        <v>3.2084734976291655E-2</v>
      </c>
      <c r="F343" s="4">
        <v>348164.85153272859</v>
      </c>
      <c r="G343" s="4">
        <v>348164.88361746358</v>
      </c>
      <c r="H343" s="5">
        <f t="shared" si="3"/>
        <v>0</v>
      </c>
      <c r="I343" t="s">
        <v>156</v>
      </c>
      <c r="J343" t="s">
        <v>132</v>
      </c>
      <c r="K343" s="5">
        <f>20 / 86400</f>
        <v>2.3148148148148149E-4</v>
      </c>
      <c r="L343" s="5">
        <f>9 / 86400</f>
        <v>1.0416666666666667E-4</v>
      </c>
    </row>
    <row r="344" spans="1:12" x14ac:dyDescent="0.25">
      <c r="A344" s="3">
        <v>45702.508645833332</v>
      </c>
      <c r="B344" t="s">
        <v>306</v>
      </c>
      <c r="C344" s="3">
        <v>45702.509131944447</v>
      </c>
      <c r="D344" t="s">
        <v>261</v>
      </c>
      <c r="E344" s="4">
        <v>3.6331033647060397E-2</v>
      </c>
      <c r="F344" s="4">
        <v>348164.89793750999</v>
      </c>
      <c r="G344" s="4">
        <v>348164.93426854367</v>
      </c>
      <c r="H344" s="5">
        <f t="shared" si="3"/>
        <v>0</v>
      </c>
      <c r="I344" t="s">
        <v>53</v>
      </c>
      <c r="J344" t="s">
        <v>152</v>
      </c>
      <c r="K344" s="5">
        <f>42 / 86400</f>
        <v>4.861111111111111E-4</v>
      </c>
      <c r="L344" s="5">
        <f>20 / 86400</f>
        <v>2.3148148148148149E-4</v>
      </c>
    </row>
    <row r="345" spans="1:12" x14ac:dyDescent="0.25">
      <c r="A345" s="3">
        <v>45702.509363425925</v>
      </c>
      <c r="B345" t="s">
        <v>262</v>
      </c>
      <c r="C345" s="3">
        <v>45702.510057870371</v>
      </c>
      <c r="D345" t="s">
        <v>264</v>
      </c>
      <c r="E345" s="4">
        <v>7.2458848237991327E-2</v>
      </c>
      <c r="F345" s="4">
        <v>348164.95528479654</v>
      </c>
      <c r="G345" s="4">
        <v>348165.02774364478</v>
      </c>
      <c r="H345" s="5">
        <f t="shared" si="3"/>
        <v>0</v>
      </c>
      <c r="I345" t="s">
        <v>62</v>
      </c>
      <c r="J345" t="s">
        <v>156</v>
      </c>
      <c r="K345" s="5">
        <f>60 / 86400</f>
        <v>6.9444444444444447E-4</v>
      </c>
      <c r="L345" s="5">
        <f>20 / 86400</f>
        <v>2.3148148148148149E-4</v>
      </c>
    </row>
    <row r="346" spans="1:12" x14ac:dyDescent="0.25">
      <c r="A346" s="3">
        <v>45702.510289351849</v>
      </c>
      <c r="B346" t="s">
        <v>264</v>
      </c>
      <c r="C346" s="3">
        <v>45702.510520833333</v>
      </c>
      <c r="D346" t="s">
        <v>264</v>
      </c>
      <c r="E346" s="4">
        <v>3.7309519648551942E-3</v>
      </c>
      <c r="F346" s="4">
        <v>348165.05736325949</v>
      </c>
      <c r="G346" s="4">
        <v>348165.06109421147</v>
      </c>
      <c r="H346" s="5">
        <f t="shared" si="3"/>
        <v>0</v>
      </c>
      <c r="I346" t="s">
        <v>156</v>
      </c>
      <c r="J346" t="s">
        <v>120</v>
      </c>
      <c r="K346" s="5">
        <f>20 / 86400</f>
        <v>2.3148148148148149E-4</v>
      </c>
      <c r="L346" s="5">
        <f>20 / 86400</f>
        <v>2.3148148148148149E-4</v>
      </c>
    </row>
    <row r="347" spans="1:12" x14ac:dyDescent="0.25">
      <c r="A347" s="3">
        <v>45702.510752314818</v>
      </c>
      <c r="B347" t="s">
        <v>264</v>
      </c>
      <c r="C347" s="3">
        <v>45702.511886574073</v>
      </c>
      <c r="D347" t="s">
        <v>262</v>
      </c>
      <c r="E347" s="4">
        <v>0.2921947636604309</v>
      </c>
      <c r="F347" s="4">
        <v>348165.09706194373</v>
      </c>
      <c r="G347" s="4">
        <v>348165.38925670739</v>
      </c>
      <c r="H347" s="5">
        <f t="shared" si="3"/>
        <v>0</v>
      </c>
      <c r="I347" t="s">
        <v>28</v>
      </c>
      <c r="J347" t="s">
        <v>53</v>
      </c>
      <c r="K347" s="5">
        <f>98 / 86400</f>
        <v>1.1342592592592593E-3</v>
      </c>
      <c r="L347" s="5">
        <f>20 / 86400</f>
        <v>2.3148148148148149E-4</v>
      </c>
    </row>
    <row r="348" spans="1:12" x14ac:dyDescent="0.25">
      <c r="A348" s="3">
        <v>45702.512118055558</v>
      </c>
      <c r="B348" t="s">
        <v>261</v>
      </c>
      <c r="C348" s="3">
        <v>45702.515011574069</v>
      </c>
      <c r="D348" t="s">
        <v>307</v>
      </c>
      <c r="E348" s="4">
        <v>1.0828726955652237</v>
      </c>
      <c r="F348" s="4">
        <v>348165.44348282518</v>
      </c>
      <c r="G348" s="4">
        <v>348166.52635552071</v>
      </c>
      <c r="H348" s="5">
        <f t="shared" si="3"/>
        <v>0</v>
      </c>
      <c r="I348" t="s">
        <v>130</v>
      </c>
      <c r="J348" t="s">
        <v>34</v>
      </c>
      <c r="K348" s="5">
        <f>250 / 86400</f>
        <v>2.8935185185185184E-3</v>
      </c>
      <c r="L348" s="5">
        <f>60 / 86400</f>
        <v>6.9444444444444447E-4</v>
      </c>
    </row>
    <row r="349" spans="1:12" x14ac:dyDescent="0.25">
      <c r="A349" s="3">
        <v>45702.515706018516</v>
      </c>
      <c r="B349" t="s">
        <v>307</v>
      </c>
      <c r="C349" s="3">
        <v>45702.5159375</v>
      </c>
      <c r="D349" t="s">
        <v>308</v>
      </c>
      <c r="E349" s="4">
        <v>4.439475417137146E-3</v>
      </c>
      <c r="F349" s="4">
        <v>348166.56069278112</v>
      </c>
      <c r="G349" s="4">
        <v>348166.56513225648</v>
      </c>
      <c r="H349" s="5">
        <f t="shared" si="3"/>
        <v>0</v>
      </c>
      <c r="I349" t="s">
        <v>140</v>
      </c>
      <c r="J349" t="s">
        <v>120</v>
      </c>
      <c r="K349" s="5">
        <f>20 / 86400</f>
        <v>2.3148148148148149E-4</v>
      </c>
      <c r="L349" s="5">
        <f>60 / 86400</f>
        <v>6.9444444444444447E-4</v>
      </c>
    </row>
    <row r="350" spans="1:12" x14ac:dyDescent="0.25">
      <c r="A350" s="3">
        <v>45702.51663194444</v>
      </c>
      <c r="B350" t="s">
        <v>309</v>
      </c>
      <c r="C350" s="3">
        <v>45702.519027777773</v>
      </c>
      <c r="D350" t="s">
        <v>310</v>
      </c>
      <c r="E350" s="4">
        <v>1.1594664523601532</v>
      </c>
      <c r="F350" s="4">
        <v>348166.57071594114</v>
      </c>
      <c r="G350" s="4">
        <v>348167.73018239351</v>
      </c>
      <c r="H350" s="5">
        <f t="shared" si="3"/>
        <v>0</v>
      </c>
      <c r="I350" t="s">
        <v>163</v>
      </c>
      <c r="J350" t="s">
        <v>145</v>
      </c>
      <c r="K350" s="5">
        <f>207 / 86400</f>
        <v>2.3958333333333331E-3</v>
      </c>
      <c r="L350" s="5">
        <f>40 / 86400</f>
        <v>4.6296296296296298E-4</v>
      </c>
    </row>
    <row r="351" spans="1:12" x14ac:dyDescent="0.25">
      <c r="A351" s="3">
        <v>45702.519490740742</v>
      </c>
      <c r="B351" t="s">
        <v>310</v>
      </c>
      <c r="C351" s="3">
        <v>45702.521550925929</v>
      </c>
      <c r="D351" t="s">
        <v>311</v>
      </c>
      <c r="E351" s="4">
        <v>1.4170279712677003</v>
      </c>
      <c r="F351" s="4">
        <v>348167.77131388878</v>
      </c>
      <c r="G351" s="4">
        <v>348169.18834186008</v>
      </c>
      <c r="H351" s="5">
        <f t="shared" si="3"/>
        <v>0</v>
      </c>
      <c r="I351" t="s">
        <v>236</v>
      </c>
      <c r="J351" t="s">
        <v>147</v>
      </c>
      <c r="K351" s="5">
        <f>178 / 86400</f>
        <v>2.0601851851851853E-3</v>
      </c>
      <c r="L351" s="5">
        <f>66 / 86400</f>
        <v>7.6388888888888893E-4</v>
      </c>
    </row>
    <row r="352" spans="1:12" x14ac:dyDescent="0.25">
      <c r="A352" s="3">
        <v>45702.522314814814</v>
      </c>
      <c r="B352" t="s">
        <v>311</v>
      </c>
      <c r="C352" s="3">
        <v>45702.523043981477</v>
      </c>
      <c r="D352" t="s">
        <v>312</v>
      </c>
      <c r="E352" s="4">
        <v>0.35443257337808609</v>
      </c>
      <c r="F352" s="4">
        <v>348169.20837462664</v>
      </c>
      <c r="G352" s="4">
        <v>348169.56280720001</v>
      </c>
      <c r="H352" s="5">
        <f t="shared" si="3"/>
        <v>0</v>
      </c>
      <c r="I352" t="s">
        <v>166</v>
      </c>
      <c r="J352" t="s">
        <v>145</v>
      </c>
      <c r="K352" s="5">
        <f>63 / 86400</f>
        <v>7.291666666666667E-4</v>
      </c>
      <c r="L352" s="5">
        <f>33 / 86400</f>
        <v>3.8194444444444446E-4</v>
      </c>
    </row>
    <row r="353" spans="1:12" x14ac:dyDescent="0.25">
      <c r="A353" s="3">
        <v>45702.52342592593</v>
      </c>
      <c r="B353" t="s">
        <v>313</v>
      </c>
      <c r="C353" s="3">
        <v>45702.523831018523</v>
      </c>
      <c r="D353" t="s">
        <v>115</v>
      </c>
      <c r="E353" s="4">
        <v>0.10429878425598145</v>
      </c>
      <c r="F353" s="4">
        <v>348169.8538653237</v>
      </c>
      <c r="G353" s="4">
        <v>348169.95816410799</v>
      </c>
      <c r="H353" s="5">
        <f t="shared" si="3"/>
        <v>0</v>
      </c>
      <c r="I353" t="s">
        <v>37</v>
      </c>
      <c r="J353" t="s">
        <v>53</v>
      </c>
      <c r="K353" s="5">
        <f>35 / 86400</f>
        <v>4.0509259259259258E-4</v>
      </c>
      <c r="L353" s="5">
        <f>140 / 86400</f>
        <v>1.6203703703703703E-3</v>
      </c>
    </row>
    <row r="354" spans="1:12" x14ac:dyDescent="0.25">
      <c r="A354" s="3">
        <v>45702.525451388894</v>
      </c>
      <c r="B354" t="s">
        <v>115</v>
      </c>
      <c r="C354" s="3">
        <v>45702.527106481481</v>
      </c>
      <c r="D354" t="s">
        <v>314</v>
      </c>
      <c r="E354" s="4">
        <v>0.33349638319015501</v>
      </c>
      <c r="F354" s="4">
        <v>348169.98386958329</v>
      </c>
      <c r="G354" s="4">
        <v>348170.3173659665</v>
      </c>
      <c r="H354" s="5">
        <f t="shared" si="3"/>
        <v>0</v>
      </c>
      <c r="I354" t="s">
        <v>24</v>
      </c>
      <c r="J354" t="s">
        <v>123</v>
      </c>
      <c r="K354" s="5">
        <f>143 / 86400</f>
        <v>1.6550925925925926E-3</v>
      </c>
      <c r="L354" s="5">
        <f>40 / 86400</f>
        <v>4.6296296296296298E-4</v>
      </c>
    </row>
    <row r="355" spans="1:12" x14ac:dyDescent="0.25">
      <c r="A355" s="3">
        <v>45702.527569444443</v>
      </c>
      <c r="B355" t="s">
        <v>249</v>
      </c>
      <c r="C355" s="3">
        <v>45702.528958333336</v>
      </c>
      <c r="D355" t="s">
        <v>249</v>
      </c>
      <c r="E355" s="4">
        <v>0.43050665479898453</v>
      </c>
      <c r="F355" s="4">
        <v>348170.49966715521</v>
      </c>
      <c r="G355" s="4">
        <v>348170.93017380999</v>
      </c>
      <c r="H355" s="5">
        <f t="shared" si="3"/>
        <v>0</v>
      </c>
      <c r="I355" t="s">
        <v>133</v>
      </c>
      <c r="J355" t="s">
        <v>35</v>
      </c>
      <c r="K355" s="5">
        <f>120 / 86400</f>
        <v>1.3888888888888889E-3</v>
      </c>
      <c r="L355" s="5">
        <f>40 / 86400</f>
        <v>4.6296296296296298E-4</v>
      </c>
    </row>
    <row r="356" spans="1:12" x14ac:dyDescent="0.25">
      <c r="A356" s="3">
        <v>45702.529421296298</v>
      </c>
      <c r="B356" t="s">
        <v>249</v>
      </c>
      <c r="C356" s="3">
        <v>45702.529652777783</v>
      </c>
      <c r="D356" t="s">
        <v>249</v>
      </c>
      <c r="E356" s="4">
        <v>1.9098767817020416E-2</v>
      </c>
      <c r="F356" s="4">
        <v>348170.93657146039</v>
      </c>
      <c r="G356" s="4">
        <v>348170.95567022817</v>
      </c>
      <c r="H356" s="5">
        <f t="shared" si="3"/>
        <v>0</v>
      </c>
      <c r="I356" t="s">
        <v>156</v>
      </c>
      <c r="J356" t="s">
        <v>152</v>
      </c>
      <c r="K356" s="5">
        <f>20 / 86400</f>
        <v>2.3148148148148149E-4</v>
      </c>
      <c r="L356" s="5">
        <f>40 / 86400</f>
        <v>4.6296296296296298E-4</v>
      </c>
    </row>
    <row r="357" spans="1:12" x14ac:dyDescent="0.25">
      <c r="A357" s="3">
        <v>45702.530115740738</v>
      </c>
      <c r="B357" t="s">
        <v>315</v>
      </c>
      <c r="C357" s="3">
        <v>45702.530578703707</v>
      </c>
      <c r="D357" t="s">
        <v>315</v>
      </c>
      <c r="E357" s="4">
        <v>8.8111919760704045E-3</v>
      </c>
      <c r="F357" s="4">
        <v>348170.98271543666</v>
      </c>
      <c r="G357" s="4">
        <v>348170.99152662861</v>
      </c>
      <c r="H357" s="5">
        <f t="shared" si="3"/>
        <v>0</v>
      </c>
      <c r="I357" t="s">
        <v>140</v>
      </c>
      <c r="J357" t="s">
        <v>120</v>
      </c>
      <c r="K357" s="5">
        <f>40 / 86400</f>
        <v>4.6296296296296298E-4</v>
      </c>
      <c r="L357" s="5">
        <f>20 / 86400</f>
        <v>2.3148148148148149E-4</v>
      </c>
    </row>
    <row r="358" spans="1:12" x14ac:dyDescent="0.25">
      <c r="A358" s="3">
        <v>45702.530810185184</v>
      </c>
      <c r="B358" t="s">
        <v>315</v>
      </c>
      <c r="C358" s="3">
        <v>45702.534918981481</v>
      </c>
      <c r="D358" t="s">
        <v>316</v>
      </c>
      <c r="E358" s="4">
        <v>1.5652949825525284</v>
      </c>
      <c r="F358" s="4">
        <v>348170.99376806914</v>
      </c>
      <c r="G358" s="4">
        <v>348172.55906305171</v>
      </c>
      <c r="H358" s="5">
        <f t="shared" si="3"/>
        <v>0</v>
      </c>
      <c r="I358" t="s">
        <v>133</v>
      </c>
      <c r="J358" t="s">
        <v>34</v>
      </c>
      <c r="K358" s="5">
        <f>355 / 86400</f>
        <v>4.1087962962962962E-3</v>
      </c>
      <c r="L358" s="5">
        <f>8 / 86400</f>
        <v>9.2592592592592588E-5</v>
      </c>
    </row>
    <row r="359" spans="1:12" x14ac:dyDescent="0.25">
      <c r="A359" s="3">
        <v>45702.535011574073</v>
      </c>
      <c r="B359" t="s">
        <v>316</v>
      </c>
      <c r="C359" s="3">
        <v>45702.535474537042</v>
      </c>
      <c r="D359" t="s">
        <v>243</v>
      </c>
      <c r="E359" s="4">
        <v>0.20008468002080917</v>
      </c>
      <c r="F359" s="4">
        <v>348172.56412869104</v>
      </c>
      <c r="G359" s="4">
        <v>348172.76421337103</v>
      </c>
      <c r="H359" s="5">
        <f t="shared" si="3"/>
        <v>0</v>
      </c>
      <c r="I359" t="s">
        <v>139</v>
      </c>
      <c r="J359" t="s">
        <v>24</v>
      </c>
      <c r="K359" s="5">
        <f>40 / 86400</f>
        <v>4.6296296296296298E-4</v>
      </c>
      <c r="L359" s="5">
        <f>27 / 86400</f>
        <v>3.1250000000000001E-4</v>
      </c>
    </row>
    <row r="360" spans="1:12" x14ac:dyDescent="0.25">
      <c r="A360" s="3">
        <v>45702.535787037035</v>
      </c>
      <c r="B360" t="s">
        <v>243</v>
      </c>
      <c r="C360" s="3">
        <v>45702.536712962959</v>
      </c>
      <c r="D360" t="s">
        <v>193</v>
      </c>
      <c r="E360" s="4">
        <v>0.59723129934072494</v>
      </c>
      <c r="F360" s="4">
        <v>348172.77148624475</v>
      </c>
      <c r="G360" s="4">
        <v>348173.36871754407</v>
      </c>
      <c r="H360" s="5">
        <f t="shared" si="3"/>
        <v>0</v>
      </c>
      <c r="I360" t="s">
        <v>131</v>
      </c>
      <c r="J360" t="s">
        <v>135</v>
      </c>
      <c r="K360" s="5">
        <f>80 / 86400</f>
        <v>9.2592592592592596E-4</v>
      </c>
      <c r="L360" s="5">
        <f>34 / 86400</f>
        <v>3.9351851851851852E-4</v>
      </c>
    </row>
    <row r="361" spans="1:12" x14ac:dyDescent="0.25">
      <c r="A361" s="3">
        <v>45702.537106481483</v>
      </c>
      <c r="B361" t="s">
        <v>193</v>
      </c>
      <c r="C361" s="3">
        <v>45702.538958333331</v>
      </c>
      <c r="D361" t="s">
        <v>188</v>
      </c>
      <c r="E361" s="4">
        <v>1.3859955090284348</v>
      </c>
      <c r="F361" s="4">
        <v>348173.37466528348</v>
      </c>
      <c r="G361" s="4">
        <v>348174.76066079253</v>
      </c>
      <c r="H361" s="5">
        <f t="shared" si="3"/>
        <v>0</v>
      </c>
      <c r="I361" t="s">
        <v>67</v>
      </c>
      <c r="J361" t="s">
        <v>155</v>
      </c>
      <c r="K361" s="5">
        <f>160 / 86400</f>
        <v>1.8518518518518519E-3</v>
      </c>
      <c r="L361" s="5">
        <f>20 / 86400</f>
        <v>2.3148148148148149E-4</v>
      </c>
    </row>
    <row r="362" spans="1:12" x14ac:dyDescent="0.25">
      <c r="A362" s="3">
        <v>45702.539189814815</v>
      </c>
      <c r="B362" t="s">
        <v>317</v>
      </c>
      <c r="C362" s="3">
        <v>45702.539652777778</v>
      </c>
      <c r="D362" t="s">
        <v>194</v>
      </c>
      <c r="E362" s="4">
        <v>0.14512394368648529</v>
      </c>
      <c r="F362" s="4">
        <v>348174.80627402163</v>
      </c>
      <c r="G362" s="4">
        <v>348174.95139796531</v>
      </c>
      <c r="H362" s="5">
        <f t="shared" si="3"/>
        <v>0</v>
      </c>
      <c r="I362" t="s">
        <v>122</v>
      </c>
      <c r="J362" t="s">
        <v>35</v>
      </c>
      <c r="K362" s="5">
        <f>40 / 86400</f>
        <v>4.6296296296296298E-4</v>
      </c>
      <c r="L362" s="5">
        <f>40 / 86400</f>
        <v>4.6296296296296298E-4</v>
      </c>
    </row>
    <row r="363" spans="1:12" x14ac:dyDescent="0.25">
      <c r="A363" s="3">
        <v>45702.54011574074</v>
      </c>
      <c r="B363" t="s">
        <v>317</v>
      </c>
      <c r="C363" s="3">
        <v>45702.540347222224</v>
      </c>
      <c r="D363" t="s">
        <v>317</v>
      </c>
      <c r="E363" s="4">
        <v>0.10771282160282135</v>
      </c>
      <c r="F363" s="4">
        <v>348175.01583472855</v>
      </c>
      <c r="G363" s="4">
        <v>348175.12354755012</v>
      </c>
      <c r="H363" s="5">
        <f t="shared" si="3"/>
        <v>0</v>
      </c>
      <c r="I363" t="s">
        <v>196</v>
      </c>
      <c r="J363" t="s">
        <v>99</v>
      </c>
      <c r="K363" s="5">
        <f>20 / 86400</f>
        <v>2.3148148148148149E-4</v>
      </c>
      <c r="L363" s="5">
        <f>60 / 86400</f>
        <v>6.9444444444444447E-4</v>
      </c>
    </row>
    <row r="364" spans="1:12" x14ac:dyDescent="0.25">
      <c r="A364" s="3">
        <v>45702.541041666671</v>
      </c>
      <c r="B364" t="s">
        <v>317</v>
      </c>
      <c r="C364" s="3">
        <v>45702.543182870373</v>
      </c>
      <c r="D364" t="s">
        <v>172</v>
      </c>
      <c r="E364" s="4">
        <v>1.2306785559654236</v>
      </c>
      <c r="F364" s="4">
        <v>348175.13139045605</v>
      </c>
      <c r="G364" s="4">
        <v>348176.36206901207</v>
      </c>
      <c r="H364" s="5">
        <f t="shared" si="3"/>
        <v>0</v>
      </c>
      <c r="I364" t="s">
        <v>221</v>
      </c>
      <c r="J364" t="s">
        <v>196</v>
      </c>
      <c r="K364" s="5">
        <f>185 / 86400</f>
        <v>2.1412037037037038E-3</v>
      </c>
      <c r="L364" s="5">
        <f>29 / 86400</f>
        <v>3.3564814814814812E-4</v>
      </c>
    </row>
    <row r="365" spans="1:12" x14ac:dyDescent="0.25">
      <c r="A365" s="3">
        <v>45702.54351851852</v>
      </c>
      <c r="B365" t="s">
        <v>194</v>
      </c>
      <c r="C365" s="3">
        <v>45702.545393518521</v>
      </c>
      <c r="D365" t="s">
        <v>318</v>
      </c>
      <c r="E365" s="4">
        <v>0.52263525670766831</v>
      </c>
      <c r="F365" s="4">
        <v>348176.38644787058</v>
      </c>
      <c r="G365" s="4">
        <v>348176.90908312728</v>
      </c>
      <c r="H365" s="5">
        <f t="shared" si="3"/>
        <v>0</v>
      </c>
      <c r="I365" t="s">
        <v>155</v>
      </c>
      <c r="J365" t="s">
        <v>62</v>
      </c>
      <c r="K365" s="5">
        <f>162 / 86400</f>
        <v>1.8749999999999999E-3</v>
      </c>
      <c r="L365" s="5">
        <f>20 / 86400</f>
        <v>2.3148148148148149E-4</v>
      </c>
    </row>
    <row r="366" spans="1:12" x14ac:dyDescent="0.25">
      <c r="A366" s="3">
        <v>45702.545624999999</v>
      </c>
      <c r="B366" t="s">
        <v>198</v>
      </c>
      <c r="C366" s="3">
        <v>45702.546319444446</v>
      </c>
      <c r="D366" t="s">
        <v>319</v>
      </c>
      <c r="E366" s="4">
        <v>0.13741405409574509</v>
      </c>
      <c r="F366" s="4">
        <v>348176.95202922984</v>
      </c>
      <c r="G366" s="4">
        <v>348177.08944328391</v>
      </c>
      <c r="H366" s="5">
        <f t="shared" si="3"/>
        <v>0</v>
      </c>
      <c r="I366" t="s">
        <v>126</v>
      </c>
      <c r="J366" t="s">
        <v>123</v>
      </c>
      <c r="K366" s="5">
        <f>60 / 86400</f>
        <v>6.9444444444444447E-4</v>
      </c>
      <c r="L366" s="5">
        <f>80 / 86400</f>
        <v>9.2592592592592596E-4</v>
      </c>
    </row>
    <row r="367" spans="1:12" x14ac:dyDescent="0.25">
      <c r="A367" s="3">
        <v>45702.54724537037</v>
      </c>
      <c r="B367" t="s">
        <v>200</v>
      </c>
      <c r="C367" s="3">
        <v>45702.551180555558</v>
      </c>
      <c r="D367" t="s">
        <v>69</v>
      </c>
      <c r="E367" s="4">
        <v>1.0956442764997483</v>
      </c>
      <c r="F367" s="4">
        <v>348177.16946413048</v>
      </c>
      <c r="G367" s="4">
        <v>348178.26510840695</v>
      </c>
      <c r="H367" s="5">
        <f t="shared" si="3"/>
        <v>0</v>
      </c>
      <c r="I367" t="s">
        <v>178</v>
      </c>
      <c r="J367" t="s">
        <v>62</v>
      </c>
      <c r="K367" s="5">
        <f>340 / 86400</f>
        <v>3.9351851851851848E-3</v>
      </c>
      <c r="L367" s="5">
        <f>20 / 86400</f>
        <v>2.3148148148148149E-4</v>
      </c>
    </row>
    <row r="368" spans="1:12" x14ac:dyDescent="0.25">
      <c r="A368" s="3">
        <v>45702.551412037035</v>
      </c>
      <c r="B368" t="s">
        <v>69</v>
      </c>
      <c r="C368" s="3">
        <v>45702.552106481482</v>
      </c>
      <c r="D368" t="s">
        <v>69</v>
      </c>
      <c r="E368" s="4">
        <v>5.8862631738185886E-2</v>
      </c>
      <c r="F368" s="4">
        <v>348178.29638189136</v>
      </c>
      <c r="G368" s="4">
        <v>348178.35524452309</v>
      </c>
      <c r="H368" s="5">
        <f t="shared" si="3"/>
        <v>0</v>
      </c>
      <c r="I368" t="s">
        <v>127</v>
      </c>
      <c r="J368" t="s">
        <v>156</v>
      </c>
      <c r="K368" s="5">
        <f>60 / 86400</f>
        <v>6.9444444444444447E-4</v>
      </c>
      <c r="L368" s="5">
        <f>20 / 86400</f>
        <v>2.3148148148148149E-4</v>
      </c>
    </row>
    <row r="369" spans="1:12" x14ac:dyDescent="0.25">
      <c r="A369" s="3">
        <v>45702.552337962959</v>
      </c>
      <c r="B369" t="s">
        <v>69</v>
      </c>
      <c r="C369" s="3">
        <v>45702.552569444444</v>
      </c>
      <c r="D369" t="s">
        <v>69</v>
      </c>
      <c r="E369" s="4">
        <v>1.7777818500995635E-2</v>
      </c>
      <c r="F369" s="4">
        <v>348178.3704428894</v>
      </c>
      <c r="G369" s="4">
        <v>348178.38822070789</v>
      </c>
      <c r="H369" s="5">
        <f t="shared" si="3"/>
        <v>0</v>
      </c>
      <c r="I369" t="s">
        <v>127</v>
      </c>
      <c r="J369" t="s">
        <v>152</v>
      </c>
      <c r="K369" s="5">
        <f>20 / 86400</f>
        <v>2.3148148148148149E-4</v>
      </c>
      <c r="L369" s="5">
        <f>20 / 86400</f>
        <v>2.3148148148148149E-4</v>
      </c>
    </row>
    <row r="370" spans="1:12" x14ac:dyDescent="0.25">
      <c r="A370" s="3">
        <v>45702.552800925929</v>
      </c>
      <c r="B370" t="s">
        <v>69</v>
      </c>
      <c r="C370" s="3">
        <v>45702.5544212963</v>
      </c>
      <c r="D370" t="s">
        <v>69</v>
      </c>
      <c r="E370" s="4">
        <v>0.87451717162132259</v>
      </c>
      <c r="F370" s="4">
        <v>348178.47070391505</v>
      </c>
      <c r="G370" s="4">
        <v>348179.3452210867</v>
      </c>
      <c r="H370" s="5">
        <f t="shared" si="3"/>
        <v>0</v>
      </c>
      <c r="I370" t="s">
        <v>232</v>
      </c>
      <c r="J370" t="s">
        <v>130</v>
      </c>
      <c r="K370" s="5">
        <f>140 / 86400</f>
        <v>1.6203703703703703E-3</v>
      </c>
      <c r="L370" s="5">
        <f>18 / 86400</f>
        <v>2.0833333333333335E-4</v>
      </c>
    </row>
    <row r="371" spans="1:12" x14ac:dyDescent="0.25">
      <c r="A371" s="3">
        <v>45702.554629629631</v>
      </c>
      <c r="B371" t="s">
        <v>69</v>
      </c>
      <c r="C371" s="3">
        <v>45702.555787037039</v>
      </c>
      <c r="D371" t="s">
        <v>111</v>
      </c>
      <c r="E371" s="4">
        <v>0.60744174897670744</v>
      </c>
      <c r="F371" s="4">
        <v>348179.35098719026</v>
      </c>
      <c r="G371" s="4">
        <v>348179.95842893922</v>
      </c>
      <c r="H371" s="5">
        <f t="shared" si="3"/>
        <v>0</v>
      </c>
      <c r="I371" t="s">
        <v>211</v>
      </c>
      <c r="J371" t="s">
        <v>130</v>
      </c>
      <c r="K371" s="5">
        <f>100 / 86400</f>
        <v>1.1574074074074073E-3</v>
      </c>
      <c r="L371" s="5">
        <f>20 / 86400</f>
        <v>2.3148148148148149E-4</v>
      </c>
    </row>
    <row r="372" spans="1:12" x14ac:dyDescent="0.25">
      <c r="A372" s="3">
        <v>45702.556018518517</v>
      </c>
      <c r="B372" t="s">
        <v>111</v>
      </c>
      <c r="C372" s="3">
        <v>45702.55740740741</v>
      </c>
      <c r="D372" t="s">
        <v>320</v>
      </c>
      <c r="E372" s="4">
        <v>0.95464395189285278</v>
      </c>
      <c r="F372" s="4">
        <v>348179.97631894704</v>
      </c>
      <c r="G372" s="4">
        <v>348180.93096289888</v>
      </c>
      <c r="H372" s="5">
        <f t="shared" ref="H372:H435" si="4">0 / 86400</f>
        <v>0</v>
      </c>
      <c r="I372" t="s">
        <v>143</v>
      </c>
      <c r="J372" t="s">
        <v>147</v>
      </c>
      <c r="K372" s="5">
        <f>120 / 86400</f>
        <v>1.3888888888888889E-3</v>
      </c>
      <c r="L372" s="5">
        <f>20 / 86400</f>
        <v>2.3148148148148149E-4</v>
      </c>
    </row>
    <row r="373" spans="1:12" x14ac:dyDescent="0.25">
      <c r="A373" s="3">
        <v>45702.557638888888</v>
      </c>
      <c r="B373" t="s">
        <v>320</v>
      </c>
      <c r="C373" s="3">
        <v>45702.558101851857</v>
      </c>
      <c r="D373" t="s">
        <v>111</v>
      </c>
      <c r="E373" s="4">
        <v>0.12446049994230271</v>
      </c>
      <c r="F373" s="4">
        <v>348180.9407635855</v>
      </c>
      <c r="G373" s="4">
        <v>348181.06522408547</v>
      </c>
      <c r="H373" s="5">
        <f t="shared" si="4"/>
        <v>0</v>
      </c>
      <c r="I373" t="s">
        <v>53</v>
      </c>
      <c r="J373" t="s">
        <v>53</v>
      </c>
      <c r="K373" s="5">
        <f>40 / 86400</f>
        <v>4.6296296296296298E-4</v>
      </c>
      <c r="L373" s="5">
        <f>35 / 86400</f>
        <v>4.0509259259259258E-4</v>
      </c>
    </row>
    <row r="374" spans="1:12" x14ac:dyDescent="0.25">
      <c r="A374" s="3">
        <v>45702.55850694445</v>
      </c>
      <c r="B374" t="s">
        <v>111</v>
      </c>
      <c r="C374" s="3">
        <v>45702.558738425927</v>
      </c>
      <c r="D374" t="s">
        <v>111</v>
      </c>
      <c r="E374" s="4">
        <v>2.6753348767757416E-2</v>
      </c>
      <c r="F374" s="4">
        <v>348181.08146812883</v>
      </c>
      <c r="G374" s="4">
        <v>348181.10822147765</v>
      </c>
      <c r="H374" s="5">
        <f t="shared" si="4"/>
        <v>0</v>
      </c>
      <c r="I374" t="s">
        <v>127</v>
      </c>
      <c r="J374" t="s">
        <v>127</v>
      </c>
      <c r="K374" s="5">
        <f>20 / 86400</f>
        <v>2.3148148148148149E-4</v>
      </c>
      <c r="L374" s="5">
        <f>100 / 86400</f>
        <v>1.1574074074074073E-3</v>
      </c>
    </row>
    <row r="375" spans="1:12" x14ac:dyDescent="0.25">
      <c r="A375" s="3">
        <v>45702.559895833328</v>
      </c>
      <c r="B375" t="s">
        <v>111</v>
      </c>
      <c r="C375" s="3">
        <v>45702.561053240745</v>
      </c>
      <c r="D375" t="s">
        <v>111</v>
      </c>
      <c r="E375" s="4">
        <v>0.88894056040048597</v>
      </c>
      <c r="F375" s="4">
        <v>348181.15994011058</v>
      </c>
      <c r="G375" s="4">
        <v>348182.04888067098</v>
      </c>
      <c r="H375" s="5">
        <f t="shared" si="4"/>
        <v>0</v>
      </c>
      <c r="I375" t="s">
        <v>237</v>
      </c>
      <c r="J375" t="s">
        <v>133</v>
      </c>
      <c r="K375" s="5">
        <f>100 / 86400</f>
        <v>1.1574074074074073E-3</v>
      </c>
      <c r="L375" s="5">
        <f>40 / 86400</f>
        <v>4.6296296296296298E-4</v>
      </c>
    </row>
    <row r="376" spans="1:12" x14ac:dyDescent="0.25">
      <c r="A376" s="3">
        <v>45702.561516203699</v>
      </c>
      <c r="B376" t="s">
        <v>204</v>
      </c>
      <c r="C376" s="3">
        <v>45702.562361111108</v>
      </c>
      <c r="D376" t="s">
        <v>111</v>
      </c>
      <c r="E376" s="4">
        <v>0.74926984184980394</v>
      </c>
      <c r="F376" s="4">
        <v>348182.10115270858</v>
      </c>
      <c r="G376" s="4">
        <v>348182.85042255046</v>
      </c>
      <c r="H376" s="5">
        <f t="shared" si="4"/>
        <v>0</v>
      </c>
      <c r="I376" t="s">
        <v>197</v>
      </c>
      <c r="J376" t="s">
        <v>173</v>
      </c>
      <c r="K376" s="5">
        <f>73 / 86400</f>
        <v>8.4490740740740739E-4</v>
      </c>
      <c r="L376" s="5">
        <f>20 / 86400</f>
        <v>2.3148148148148149E-4</v>
      </c>
    </row>
    <row r="377" spans="1:12" x14ac:dyDescent="0.25">
      <c r="A377" s="3">
        <v>45702.562592592592</v>
      </c>
      <c r="B377" t="s">
        <v>107</v>
      </c>
      <c r="C377" s="3">
        <v>45702.563287037032</v>
      </c>
      <c r="D377" t="s">
        <v>111</v>
      </c>
      <c r="E377" s="4">
        <v>0.64664336037635806</v>
      </c>
      <c r="F377" s="4">
        <v>348182.87756312964</v>
      </c>
      <c r="G377" s="4">
        <v>348183.52420649002</v>
      </c>
      <c r="H377" s="5">
        <f t="shared" si="4"/>
        <v>0</v>
      </c>
      <c r="I377" t="s">
        <v>67</v>
      </c>
      <c r="J377" t="s">
        <v>206</v>
      </c>
      <c r="K377" s="5">
        <f>60 / 86400</f>
        <v>6.9444444444444447E-4</v>
      </c>
      <c r="L377" s="5">
        <f>40 / 86400</f>
        <v>4.6296296296296298E-4</v>
      </c>
    </row>
    <row r="378" spans="1:12" x14ac:dyDescent="0.25">
      <c r="A378" s="3">
        <v>45702.563750000001</v>
      </c>
      <c r="B378" t="s">
        <v>111</v>
      </c>
      <c r="C378" s="3">
        <v>45702.566064814819</v>
      </c>
      <c r="D378" t="s">
        <v>321</v>
      </c>
      <c r="E378" s="4">
        <v>1.993699241399765</v>
      </c>
      <c r="F378" s="4">
        <v>348183.72193354106</v>
      </c>
      <c r="G378" s="4">
        <v>348185.71563278243</v>
      </c>
      <c r="H378" s="5">
        <f t="shared" si="4"/>
        <v>0</v>
      </c>
      <c r="I378" t="s">
        <v>56</v>
      </c>
      <c r="J378" t="s">
        <v>157</v>
      </c>
      <c r="K378" s="5">
        <f>200 / 86400</f>
        <v>2.3148148148148147E-3</v>
      </c>
      <c r="L378" s="5">
        <f>8 / 86400</f>
        <v>9.2592592592592588E-5</v>
      </c>
    </row>
    <row r="379" spans="1:12" x14ac:dyDescent="0.25">
      <c r="A379" s="3">
        <v>45702.566157407404</v>
      </c>
      <c r="B379" t="s">
        <v>321</v>
      </c>
      <c r="C379" s="3">
        <v>45702.567141203705</v>
      </c>
      <c r="D379" t="s">
        <v>322</v>
      </c>
      <c r="E379" s="4">
        <v>0.79613709664344789</v>
      </c>
      <c r="F379" s="4">
        <v>348185.72384705185</v>
      </c>
      <c r="G379" s="4">
        <v>348186.5199841485</v>
      </c>
      <c r="H379" s="5">
        <f t="shared" si="4"/>
        <v>0</v>
      </c>
      <c r="I379" t="s">
        <v>183</v>
      </c>
      <c r="J379" t="s">
        <v>184</v>
      </c>
      <c r="K379" s="5">
        <f>85 / 86400</f>
        <v>9.837962962962962E-4</v>
      </c>
      <c r="L379" s="5">
        <f>30 / 86400</f>
        <v>3.4722222222222224E-4</v>
      </c>
    </row>
    <row r="380" spans="1:12" x14ac:dyDescent="0.25">
      <c r="A380" s="3">
        <v>45702.567488425921</v>
      </c>
      <c r="B380" t="s">
        <v>323</v>
      </c>
      <c r="C380" s="3">
        <v>45702.567719907413</v>
      </c>
      <c r="D380" t="s">
        <v>323</v>
      </c>
      <c r="E380" s="4">
        <v>4.5568033576011656E-2</v>
      </c>
      <c r="F380" s="4">
        <v>348186.52986158489</v>
      </c>
      <c r="G380" s="4">
        <v>348186.57542961848</v>
      </c>
      <c r="H380" s="5">
        <f t="shared" si="4"/>
        <v>0</v>
      </c>
      <c r="I380" t="s">
        <v>138</v>
      </c>
      <c r="J380" t="s">
        <v>123</v>
      </c>
      <c r="K380" s="5">
        <f>20 / 86400</f>
        <v>2.3148148148148149E-4</v>
      </c>
      <c r="L380" s="5">
        <f>20 / 86400</f>
        <v>2.3148148148148149E-4</v>
      </c>
    </row>
    <row r="381" spans="1:12" x14ac:dyDescent="0.25">
      <c r="A381" s="3">
        <v>45702.56795138889</v>
      </c>
      <c r="B381" t="s">
        <v>322</v>
      </c>
      <c r="C381" s="3">
        <v>45702.568645833337</v>
      </c>
      <c r="D381" t="s">
        <v>324</v>
      </c>
      <c r="E381" s="4">
        <v>0.50202000564336779</v>
      </c>
      <c r="F381" s="4">
        <v>348186.58184962079</v>
      </c>
      <c r="G381" s="4">
        <v>348187.08386962645</v>
      </c>
      <c r="H381" s="5">
        <f t="shared" si="4"/>
        <v>0</v>
      </c>
      <c r="I381" t="s">
        <v>170</v>
      </c>
      <c r="J381" t="s">
        <v>189</v>
      </c>
      <c r="K381" s="5">
        <f>60 / 86400</f>
        <v>6.9444444444444447E-4</v>
      </c>
      <c r="L381" s="5">
        <f>20 / 86400</f>
        <v>2.3148148148148149E-4</v>
      </c>
    </row>
    <row r="382" spans="1:12" x14ac:dyDescent="0.25">
      <c r="A382" s="3">
        <v>45702.568877314814</v>
      </c>
      <c r="B382" t="s">
        <v>104</v>
      </c>
      <c r="C382" s="3">
        <v>45702.569108796291</v>
      </c>
      <c r="D382" t="s">
        <v>104</v>
      </c>
      <c r="E382" s="4">
        <v>5.0471548318862913E-2</v>
      </c>
      <c r="F382" s="4">
        <v>348187.10278525733</v>
      </c>
      <c r="G382" s="4">
        <v>348187.15325680567</v>
      </c>
      <c r="H382" s="5">
        <f t="shared" si="4"/>
        <v>0</v>
      </c>
      <c r="I382" t="s">
        <v>130</v>
      </c>
      <c r="J382" t="s">
        <v>57</v>
      </c>
      <c r="K382" s="5">
        <f>20 / 86400</f>
        <v>2.3148148148148149E-4</v>
      </c>
      <c r="L382" s="5">
        <f>20 / 86400</f>
        <v>2.3148148148148149E-4</v>
      </c>
    </row>
    <row r="383" spans="1:12" x14ac:dyDescent="0.25">
      <c r="A383" s="3">
        <v>45702.569340277776</v>
      </c>
      <c r="B383" t="s">
        <v>104</v>
      </c>
      <c r="C383" s="3">
        <v>45702.570266203707</v>
      </c>
      <c r="D383" t="s">
        <v>177</v>
      </c>
      <c r="E383" s="4">
        <v>0.56448336309194569</v>
      </c>
      <c r="F383" s="4">
        <v>348187.25737218105</v>
      </c>
      <c r="G383" s="4">
        <v>348187.82185554417</v>
      </c>
      <c r="H383" s="5">
        <f t="shared" si="4"/>
        <v>0</v>
      </c>
      <c r="I383" t="s">
        <v>208</v>
      </c>
      <c r="J383" t="s">
        <v>122</v>
      </c>
      <c r="K383" s="5">
        <f>80 / 86400</f>
        <v>9.2592592592592596E-4</v>
      </c>
      <c r="L383" s="5">
        <f>20 / 86400</f>
        <v>2.3148148148148149E-4</v>
      </c>
    </row>
    <row r="384" spans="1:12" x14ac:dyDescent="0.25">
      <c r="A384" s="3">
        <v>45702.570497685185</v>
      </c>
      <c r="B384" t="s">
        <v>177</v>
      </c>
      <c r="C384" s="3">
        <v>45702.570729166662</v>
      </c>
      <c r="D384" t="s">
        <v>177</v>
      </c>
      <c r="E384" s="4">
        <v>6.7601850986480708E-2</v>
      </c>
      <c r="F384" s="4">
        <v>348187.87473114149</v>
      </c>
      <c r="G384" s="4">
        <v>348187.9423329925</v>
      </c>
      <c r="H384" s="5">
        <f t="shared" si="4"/>
        <v>0</v>
      </c>
      <c r="I384" t="s">
        <v>99</v>
      </c>
      <c r="J384" t="s">
        <v>62</v>
      </c>
      <c r="K384" s="5">
        <f>20 / 86400</f>
        <v>2.3148148148148149E-4</v>
      </c>
      <c r="L384" s="5">
        <f>32 / 86400</f>
        <v>3.7037037037037035E-4</v>
      </c>
    </row>
    <row r="385" spans="1:12" x14ac:dyDescent="0.25">
      <c r="A385" s="3">
        <v>45702.571099537032</v>
      </c>
      <c r="B385" t="s">
        <v>177</v>
      </c>
      <c r="C385" s="3">
        <v>45702.572719907403</v>
      </c>
      <c r="D385" t="s">
        <v>177</v>
      </c>
      <c r="E385" s="4">
        <v>1.0063860885500908</v>
      </c>
      <c r="F385" s="4">
        <v>348187.94601044775</v>
      </c>
      <c r="G385" s="4">
        <v>348188.9523965363</v>
      </c>
      <c r="H385" s="5">
        <f t="shared" si="4"/>
        <v>0</v>
      </c>
      <c r="I385" t="s">
        <v>232</v>
      </c>
      <c r="J385" t="s">
        <v>272</v>
      </c>
      <c r="K385" s="5">
        <f>140 / 86400</f>
        <v>1.6203703703703703E-3</v>
      </c>
      <c r="L385" s="5">
        <f>60 / 86400</f>
        <v>6.9444444444444447E-4</v>
      </c>
    </row>
    <row r="386" spans="1:12" x14ac:dyDescent="0.25">
      <c r="A386" s="3">
        <v>45702.573414351849</v>
      </c>
      <c r="B386" t="s">
        <v>177</v>
      </c>
      <c r="C386" s="3">
        <v>45702.574340277773</v>
      </c>
      <c r="D386" t="s">
        <v>180</v>
      </c>
      <c r="E386" s="4">
        <v>7.8164512336254113E-2</v>
      </c>
      <c r="F386" s="4">
        <v>348188.97868454078</v>
      </c>
      <c r="G386" s="4">
        <v>348189.05684905313</v>
      </c>
      <c r="H386" s="5">
        <f t="shared" si="4"/>
        <v>0</v>
      </c>
      <c r="I386" t="s">
        <v>126</v>
      </c>
      <c r="J386" t="s">
        <v>156</v>
      </c>
      <c r="K386" s="5">
        <f>80 / 86400</f>
        <v>9.2592592592592596E-4</v>
      </c>
      <c r="L386" s="5">
        <f>40 / 86400</f>
        <v>4.6296296296296298E-4</v>
      </c>
    </row>
    <row r="387" spans="1:12" x14ac:dyDescent="0.25">
      <c r="A387" s="3">
        <v>45702.574803240743</v>
      </c>
      <c r="B387" t="s">
        <v>177</v>
      </c>
      <c r="C387" s="3">
        <v>45702.5778125</v>
      </c>
      <c r="D387" t="s">
        <v>176</v>
      </c>
      <c r="E387" s="4">
        <v>2.380947875916958</v>
      </c>
      <c r="F387" s="4">
        <v>348189.13825772627</v>
      </c>
      <c r="G387" s="4">
        <v>348191.51920560218</v>
      </c>
      <c r="H387" s="5">
        <f t="shared" si="4"/>
        <v>0</v>
      </c>
      <c r="I387" t="s">
        <v>183</v>
      </c>
      <c r="J387" t="s">
        <v>168</v>
      </c>
      <c r="K387" s="5">
        <f>260 / 86400</f>
        <v>3.0092592592592593E-3</v>
      </c>
      <c r="L387" s="5">
        <f>4 / 86400</f>
        <v>4.6296296296296294E-5</v>
      </c>
    </row>
    <row r="388" spans="1:12" x14ac:dyDescent="0.25">
      <c r="A388" s="3">
        <v>45702.5778587963</v>
      </c>
      <c r="B388" t="s">
        <v>176</v>
      </c>
      <c r="C388" s="3">
        <v>45702.579710648148</v>
      </c>
      <c r="D388" t="s">
        <v>38</v>
      </c>
      <c r="E388" s="4">
        <v>1.4514653148055077</v>
      </c>
      <c r="F388" s="4">
        <v>348191.52202453732</v>
      </c>
      <c r="G388" s="4">
        <v>348192.97348985216</v>
      </c>
      <c r="H388" s="5">
        <f t="shared" si="4"/>
        <v>0</v>
      </c>
      <c r="I388" t="s">
        <v>151</v>
      </c>
      <c r="J388" t="s">
        <v>168</v>
      </c>
      <c r="K388" s="5">
        <f>160 / 86400</f>
        <v>1.8518518518518519E-3</v>
      </c>
      <c r="L388" s="5">
        <f>60 / 86400</f>
        <v>6.9444444444444447E-4</v>
      </c>
    </row>
    <row r="389" spans="1:12" x14ac:dyDescent="0.25">
      <c r="A389" s="3">
        <v>45702.580405092594</v>
      </c>
      <c r="B389" t="s">
        <v>176</v>
      </c>
      <c r="C389" s="3">
        <v>45702.583425925928</v>
      </c>
      <c r="D389" t="s">
        <v>325</v>
      </c>
      <c r="E389" s="4">
        <v>1.5759666407108306</v>
      </c>
      <c r="F389" s="4">
        <v>348192.99013781664</v>
      </c>
      <c r="G389" s="4">
        <v>348194.56610445736</v>
      </c>
      <c r="H389" s="5">
        <f t="shared" si="4"/>
        <v>0</v>
      </c>
      <c r="I389" t="s">
        <v>232</v>
      </c>
      <c r="J389" t="s">
        <v>130</v>
      </c>
      <c r="K389" s="5">
        <f>261 / 86400</f>
        <v>3.0208333333333333E-3</v>
      </c>
      <c r="L389" s="5">
        <f>7 / 86400</f>
        <v>8.1018518518518516E-5</v>
      </c>
    </row>
    <row r="390" spans="1:12" x14ac:dyDescent="0.25">
      <c r="A390" s="3">
        <v>45702.583506944444</v>
      </c>
      <c r="B390" t="s">
        <v>325</v>
      </c>
      <c r="C390" s="3">
        <v>45702.586516203708</v>
      </c>
      <c r="D390" t="s">
        <v>217</v>
      </c>
      <c r="E390" s="4">
        <v>2.492534122467041</v>
      </c>
      <c r="F390" s="4">
        <v>348194.56925908057</v>
      </c>
      <c r="G390" s="4">
        <v>348197.06179320306</v>
      </c>
      <c r="H390" s="5">
        <f t="shared" si="4"/>
        <v>0</v>
      </c>
      <c r="I390" t="s">
        <v>67</v>
      </c>
      <c r="J390" t="s">
        <v>139</v>
      </c>
      <c r="K390" s="5">
        <f>260 / 86400</f>
        <v>3.0092592592592593E-3</v>
      </c>
      <c r="L390" s="5">
        <f>20 / 86400</f>
        <v>2.3148148148148149E-4</v>
      </c>
    </row>
    <row r="391" spans="1:12" x14ac:dyDescent="0.25">
      <c r="A391" s="3">
        <v>45702.586747685185</v>
      </c>
      <c r="B391" t="s">
        <v>217</v>
      </c>
      <c r="C391" s="3">
        <v>45702.586979166663</v>
      </c>
      <c r="D391" t="s">
        <v>217</v>
      </c>
      <c r="E391" s="4">
        <v>1.5035440266132355E-2</v>
      </c>
      <c r="F391" s="4">
        <v>348197.18661401607</v>
      </c>
      <c r="G391" s="4">
        <v>348197.20164945634</v>
      </c>
      <c r="H391" s="5">
        <f t="shared" si="4"/>
        <v>0</v>
      </c>
      <c r="I391" t="s">
        <v>272</v>
      </c>
      <c r="J391" t="s">
        <v>152</v>
      </c>
      <c r="K391" s="5">
        <f>20 / 86400</f>
        <v>2.3148148148148149E-4</v>
      </c>
      <c r="L391" s="5">
        <f>20 / 86400</f>
        <v>2.3148148148148149E-4</v>
      </c>
    </row>
    <row r="392" spans="1:12" x14ac:dyDescent="0.25">
      <c r="A392" s="3">
        <v>45702.587210648147</v>
      </c>
      <c r="B392" t="s">
        <v>217</v>
      </c>
      <c r="C392" s="3">
        <v>45702.59075231482</v>
      </c>
      <c r="D392" t="s">
        <v>326</v>
      </c>
      <c r="E392" s="4">
        <v>3.7949519556164741</v>
      </c>
      <c r="F392" s="4">
        <v>348197.31904578232</v>
      </c>
      <c r="G392" s="4">
        <v>348201.11399773794</v>
      </c>
      <c r="H392" s="5">
        <f t="shared" si="4"/>
        <v>0</v>
      </c>
      <c r="I392" t="s">
        <v>197</v>
      </c>
      <c r="J392" t="s">
        <v>211</v>
      </c>
      <c r="K392" s="5">
        <f>306 / 86400</f>
        <v>3.5416666666666665E-3</v>
      </c>
      <c r="L392" s="5">
        <f>20 / 86400</f>
        <v>2.3148148148148149E-4</v>
      </c>
    </row>
    <row r="393" spans="1:12" x14ac:dyDescent="0.25">
      <c r="A393" s="3">
        <v>45702.590983796297</v>
      </c>
      <c r="B393" t="s">
        <v>326</v>
      </c>
      <c r="C393" s="3">
        <v>45702.591215277775</v>
      </c>
      <c r="D393" t="s">
        <v>326</v>
      </c>
      <c r="E393" s="4">
        <v>0.15630786502361296</v>
      </c>
      <c r="F393" s="4">
        <v>348201.24848871597</v>
      </c>
      <c r="G393" s="4">
        <v>348201.40479658096</v>
      </c>
      <c r="H393" s="5">
        <f t="shared" si="4"/>
        <v>0</v>
      </c>
      <c r="I393" t="s">
        <v>173</v>
      </c>
      <c r="J393" t="s">
        <v>178</v>
      </c>
      <c r="K393" s="5">
        <f>20 / 86400</f>
        <v>2.3148148148148149E-4</v>
      </c>
      <c r="L393" s="5">
        <f>20 / 86400</f>
        <v>2.3148148148148149E-4</v>
      </c>
    </row>
    <row r="394" spans="1:12" x14ac:dyDescent="0.25">
      <c r="A394" s="3">
        <v>45702.591446759259</v>
      </c>
      <c r="B394" t="s">
        <v>326</v>
      </c>
      <c r="C394" s="3">
        <v>45702.592604166668</v>
      </c>
      <c r="D394" t="s">
        <v>222</v>
      </c>
      <c r="E394" s="4">
        <v>0.63660926961898801</v>
      </c>
      <c r="F394" s="4">
        <v>348201.47587790299</v>
      </c>
      <c r="G394" s="4">
        <v>348202.11248717259</v>
      </c>
      <c r="H394" s="5">
        <f t="shared" si="4"/>
        <v>0</v>
      </c>
      <c r="I394" t="s">
        <v>133</v>
      </c>
      <c r="J394" t="s">
        <v>37</v>
      </c>
      <c r="K394" s="5">
        <f>100 / 86400</f>
        <v>1.1574074074074073E-3</v>
      </c>
      <c r="L394" s="5">
        <f>40 / 86400</f>
        <v>4.6296296296296298E-4</v>
      </c>
    </row>
    <row r="395" spans="1:12" x14ac:dyDescent="0.25">
      <c r="A395" s="3">
        <v>45702.59306712963</v>
      </c>
      <c r="B395" t="s">
        <v>222</v>
      </c>
      <c r="C395" s="3">
        <v>45702.595312500001</v>
      </c>
      <c r="D395" t="s">
        <v>231</v>
      </c>
      <c r="E395" s="4">
        <v>1.4765018960237504</v>
      </c>
      <c r="F395" s="4">
        <v>348202.1142508359</v>
      </c>
      <c r="G395" s="4">
        <v>348203.59075273189</v>
      </c>
      <c r="H395" s="5">
        <f t="shared" si="4"/>
        <v>0</v>
      </c>
      <c r="I395" t="s">
        <v>206</v>
      </c>
      <c r="J395" t="s">
        <v>135</v>
      </c>
      <c r="K395" s="5">
        <f>194 / 86400</f>
        <v>2.2453703703703702E-3</v>
      </c>
      <c r="L395" s="5">
        <f>20 / 86400</f>
        <v>2.3148148148148149E-4</v>
      </c>
    </row>
    <row r="396" spans="1:12" x14ac:dyDescent="0.25">
      <c r="A396" s="3">
        <v>45702.595543981486</v>
      </c>
      <c r="B396" t="s">
        <v>230</v>
      </c>
      <c r="C396" s="3">
        <v>45702.595775462964</v>
      </c>
      <c r="D396" t="s">
        <v>230</v>
      </c>
      <c r="E396" s="4">
        <v>5.7980552256107327E-2</v>
      </c>
      <c r="F396" s="4">
        <v>348203.70948357874</v>
      </c>
      <c r="G396" s="4">
        <v>348203.767464131</v>
      </c>
      <c r="H396" s="5">
        <f t="shared" si="4"/>
        <v>0</v>
      </c>
      <c r="I396" t="s">
        <v>99</v>
      </c>
      <c r="J396" t="s">
        <v>126</v>
      </c>
      <c r="K396" s="5">
        <f>20 / 86400</f>
        <v>2.3148148148148149E-4</v>
      </c>
      <c r="L396" s="5">
        <f>20 / 86400</f>
        <v>2.3148148148148149E-4</v>
      </c>
    </row>
    <row r="397" spans="1:12" x14ac:dyDescent="0.25">
      <c r="A397" s="3">
        <v>45702.596006944441</v>
      </c>
      <c r="B397" t="s">
        <v>222</v>
      </c>
      <c r="C397" s="3">
        <v>45702.59646990741</v>
      </c>
      <c r="D397" t="s">
        <v>222</v>
      </c>
      <c r="E397" s="4">
        <v>3.3331313729286195E-2</v>
      </c>
      <c r="F397" s="4">
        <v>348203.81865788961</v>
      </c>
      <c r="G397" s="4">
        <v>348203.85198920331</v>
      </c>
      <c r="H397" s="5">
        <f t="shared" si="4"/>
        <v>0</v>
      </c>
      <c r="I397" t="s">
        <v>34</v>
      </c>
      <c r="J397" t="s">
        <v>152</v>
      </c>
      <c r="K397" s="5">
        <f>40 / 86400</f>
        <v>4.6296296296296298E-4</v>
      </c>
      <c r="L397" s="5">
        <f>4 / 86400</f>
        <v>4.6296296296296294E-5</v>
      </c>
    </row>
    <row r="398" spans="1:12" x14ac:dyDescent="0.25">
      <c r="A398" s="3">
        <v>45702.596516203703</v>
      </c>
      <c r="B398" t="s">
        <v>222</v>
      </c>
      <c r="C398" s="3">
        <v>45702.601261574076</v>
      </c>
      <c r="D398" t="s">
        <v>226</v>
      </c>
      <c r="E398" s="4">
        <v>2.447405719459057</v>
      </c>
      <c r="F398" s="4">
        <v>348203.85486455949</v>
      </c>
      <c r="G398" s="4">
        <v>348206.30227027892</v>
      </c>
      <c r="H398" s="5">
        <f t="shared" si="4"/>
        <v>0</v>
      </c>
      <c r="I398" t="s">
        <v>232</v>
      </c>
      <c r="J398" t="s">
        <v>21</v>
      </c>
      <c r="K398" s="5">
        <f>410 / 86400</f>
        <v>4.7453703703703703E-3</v>
      </c>
      <c r="L398" s="5">
        <f>20 / 86400</f>
        <v>2.3148148148148149E-4</v>
      </c>
    </row>
    <row r="399" spans="1:12" x14ac:dyDescent="0.25">
      <c r="A399" s="3">
        <v>45702.601493055554</v>
      </c>
      <c r="B399" t="s">
        <v>226</v>
      </c>
      <c r="C399" s="3">
        <v>45702.602858796294</v>
      </c>
      <c r="D399" t="s">
        <v>114</v>
      </c>
      <c r="E399" s="4">
        <v>0.70662511152029039</v>
      </c>
      <c r="F399" s="4">
        <v>348206.44951569568</v>
      </c>
      <c r="G399" s="4">
        <v>348207.1561408072</v>
      </c>
      <c r="H399" s="5">
        <f t="shared" si="4"/>
        <v>0</v>
      </c>
      <c r="I399" t="s">
        <v>211</v>
      </c>
      <c r="J399" t="s">
        <v>130</v>
      </c>
      <c r="K399" s="5">
        <f>118 / 86400</f>
        <v>1.3657407407407407E-3</v>
      </c>
      <c r="L399" s="5">
        <f>20 / 86400</f>
        <v>2.3148148148148149E-4</v>
      </c>
    </row>
    <row r="400" spans="1:12" x14ac:dyDescent="0.25">
      <c r="A400" s="3">
        <v>45702.603090277778</v>
      </c>
      <c r="B400" t="s">
        <v>114</v>
      </c>
      <c r="C400" s="3">
        <v>45702.605416666665</v>
      </c>
      <c r="D400" t="s">
        <v>137</v>
      </c>
      <c r="E400" s="4">
        <v>1.3614564776420592</v>
      </c>
      <c r="F400" s="4">
        <v>348207.20870192075</v>
      </c>
      <c r="G400" s="4">
        <v>348208.57015839836</v>
      </c>
      <c r="H400" s="5">
        <f t="shared" si="4"/>
        <v>0</v>
      </c>
      <c r="I400" t="s">
        <v>195</v>
      </c>
      <c r="J400" t="s">
        <v>196</v>
      </c>
      <c r="K400" s="5">
        <f>201 / 86400</f>
        <v>2.3263888888888887E-3</v>
      </c>
      <c r="L400" s="5">
        <f>20 / 86400</f>
        <v>2.3148148148148149E-4</v>
      </c>
    </row>
    <row r="401" spans="1:12" x14ac:dyDescent="0.25">
      <c r="A401" s="3">
        <v>45702.60564814815</v>
      </c>
      <c r="B401" t="s">
        <v>327</v>
      </c>
      <c r="C401" s="3">
        <v>45702.607523148152</v>
      </c>
      <c r="D401" t="s">
        <v>328</v>
      </c>
      <c r="E401" s="4">
        <v>0.53893288218975066</v>
      </c>
      <c r="F401" s="4">
        <v>348208.66058150318</v>
      </c>
      <c r="G401" s="4">
        <v>348209.19951438537</v>
      </c>
      <c r="H401" s="5">
        <f t="shared" si="4"/>
        <v>0</v>
      </c>
      <c r="I401" t="s">
        <v>168</v>
      </c>
      <c r="J401" t="s">
        <v>62</v>
      </c>
      <c r="K401" s="5">
        <f>162 / 86400</f>
        <v>1.8749999999999999E-3</v>
      </c>
      <c r="L401" s="5">
        <f>20 / 86400</f>
        <v>2.3148148148148149E-4</v>
      </c>
    </row>
    <row r="402" spans="1:12" x14ac:dyDescent="0.25">
      <c r="A402" s="3">
        <v>45702.607754629629</v>
      </c>
      <c r="B402" t="s">
        <v>328</v>
      </c>
      <c r="C402" s="3">
        <v>45702.60974537037</v>
      </c>
      <c r="D402" t="s">
        <v>82</v>
      </c>
      <c r="E402" s="4">
        <v>0.73129973953962324</v>
      </c>
      <c r="F402" s="4">
        <v>348209.24287570169</v>
      </c>
      <c r="G402" s="4">
        <v>348209.9741754412</v>
      </c>
      <c r="H402" s="5">
        <f t="shared" si="4"/>
        <v>0</v>
      </c>
      <c r="I402" t="s">
        <v>155</v>
      </c>
      <c r="J402" t="s">
        <v>31</v>
      </c>
      <c r="K402" s="5">
        <f>172 / 86400</f>
        <v>1.9907407407407408E-3</v>
      </c>
      <c r="L402" s="5">
        <f>2577 / 86400</f>
        <v>2.9826388888888888E-2</v>
      </c>
    </row>
    <row r="403" spans="1:12" x14ac:dyDescent="0.25">
      <c r="A403" s="3">
        <v>45702.63957175926</v>
      </c>
      <c r="B403" t="s">
        <v>82</v>
      </c>
      <c r="C403" s="3">
        <v>45702.64063657407</v>
      </c>
      <c r="D403" t="s">
        <v>137</v>
      </c>
      <c r="E403" s="4">
        <v>0.33596498745679854</v>
      </c>
      <c r="F403" s="4">
        <v>348209.99142874521</v>
      </c>
      <c r="G403" s="4">
        <v>348210.32739373267</v>
      </c>
      <c r="H403" s="5">
        <f t="shared" si="4"/>
        <v>0</v>
      </c>
      <c r="I403" t="s">
        <v>130</v>
      </c>
      <c r="J403" t="s">
        <v>35</v>
      </c>
      <c r="K403" s="5">
        <f>92 / 86400</f>
        <v>1.0648148148148149E-3</v>
      </c>
      <c r="L403" s="5">
        <f>20 / 86400</f>
        <v>2.3148148148148149E-4</v>
      </c>
    </row>
    <row r="404" spans="1:12" x14ac:dyDescent="0.25">
      <c r="A404" s="3">
        <v>45702.640868055554</v>
      </c>
      <c r="B404" t="s">
        <v>137</v>
      </c>
      <c r="C404" s="3">
        <v>45702.644328703704</v>
      </c>
      <c r="D404" t="s">
        <v>226</v>
      </c>
      <c r="E404" s="4">
        <v>2.2017596960067749</v>
      </c>
      <c r="F404" s="4">
        <v>348210.38756532635</v>
      </c>
      <c r="G404" s="4">
        <v>348212.58932502236</v>
      </c>
      <c r="H404" s="5">
        <f t="shared" si="4"/>
        <v>0</v>
      </c>
      <c r="I404" t="s">
        <v>245</v>
      </c>
      <c r="J404" t="s">
        <v>135</v>
      </c>
      <c r="K404" s="5">
        <f>299 / 86400</f>
        <v>3.460648148148148E-3</v>
      </c>
      <c r="L404" s="5">
        <f>20 / 86400</f>
        <v>2.3148148148148149E-4</v>
      </c>
    </row>
    <row r="405" spans="1:12" x14ac:dyDescent="0.25">
      <c r="A405" s="3">
        <v>45702.644560185188</v>
      </c>
      <c r="B405" t="s">
        <v>226</v>
      </c>
      <c r="C405" s="3">
        <v>45702.645486111112</v>
      </c>
      <c r="D405" t="s">
        <v>226</v>
      </c>
      <c r="E405" s="4">
        <v>0.67082673668861392</v>
      </c>
      <c r="F405" s="4">
        <v>348212.59917190718</v>
      </c>
      <c r="G405" s="4">
        <v>348213.2699986439</v>
      </c>
      <c r="H405" s="5">
        <f t="shared" si="4"/>
        <v>0</v>
      </c>
      <c r="I405" t="s">
        <v>175</v>
      </c>
      <c r="J405" t="s">
        <v>189</v>
      </c>
      <c r="K405" s="5">
        <f>80 / 86400</f>
        <v>9.2592592592592596E-4</v>
      </c>
      <c r="L405" s="5">
        <f>20 / 86400</f>
        <v>2.3148148148148149E-4</v>
      </c>
    </row>
    <row r="406" spans="1:12" x14ac:dyDescent="0.25">
      <c r="A406" s="3">
        <v>45702.64571759259</v>
      </c>
      <c r="B406" t="s">
        <v>226</v>
      </c>
      <c r="C406" s="3">
        <v>45702.646412037036</v>
      </c>
      <c r="D406" t="s">
        <v>226</v>
      </c>
      <c r="E406" s="4">
        <v>0.45653473216295243</v>
      </c>
      <c r="F406" s="4">
        <v>348213.29989529902</v>
      </c>
      <c r="G406" s="4">
        <v>348213.75643003121</v>
      </c>
      <c r="H406" s="5">
        <f t="shared" si="4"/>
        <v>0</v>
      </c>
      <c r="I406" t="s">
        <v>139</v>
      </c>
      <c r="J406" t="s">
        <v>135</v>
      </c>
      <c r="K406" s="5">
        <f>60 / 86400</f>
        <v>6.9444444444444447E-4</v>
      </c>
      <c r="L406" s="5">
        <f>20 / 86400</f>
        <v>2.3148148148148149E-4</v>
      </c>
    </row>
    <row r="407" spans="1:12" x14ac:dyDescent="0.25">
      <c r="A407" s="3">
        <v>45702.646643518514</v>
      </c>
      <c r="B407" t="s">
        <v>226</v>
      </c>
      <c r="C407" s="3">
        <v>45702.647337962961</v>
      </c>
      <c r="D407" t="s">
        <v>329</v>
      </c>
      <c r="E407" s="4">
        <v>0.26360716670751572</v>
      </c>
      <c r="F407" s="4">
        <v>348213.79612239404</v>
      </c>
      <c r="G407" s="4">
        <v>348214.05972956074</v>
      </c>
      <c r="H407" s="5">
        <f t="shared" si="4"/>
        <v>0</v>
      </c>
      <c r="I407" t="s">
        <v>145</v>
      </c>
      <c r="J407" t="s">
        <v>34</v>
      </c>
      <c r="K407" s="5">
        <f>60 / 86400</f>
        <v>6.9444444444444447E-4</v>
      </c>
      <c r="L407" s="5">
        <f>40 / 86400</f>
        <v>4.6296296296296298E-4</v>
      </c>
    </row>
    <row r="408" spans="1:12" x14ac:dyDescent="0.25">
      <c r="A408" s="3">
        <v>45702.64780092593</v>
      </c>
      <c r="B408" t="s">
        <v>329</v>
      </c>
      <c r="C408" s="3">
        <v>45702.64880787037</v>
      </c>
      <c r="D408" t="s">
        <v>330</v>
      </c>
      <c r="E408" s="4">
        <v>0.28967168962955475</v>
      </c>
      <c r="F408" s="4">
        <v>348214.07188441703</v>
      </c>
      <c r="G408" s="4">
        <v>348214.36155610671</v>
      </c>
      <c r="H408" s="5">
        <f t="shared" si="4"/>
        <v>0</v>
      </c>
      <c r="I408" t="s">
        <v>31</v>
      </c>
      <c r="J408" t="s">
        <v>62</v>
      </c>
      <c r="K408" s="5">
        <f>87 / 86400</f>
        <v>1.0069444444444444E-3</v>
      </c>
      <c r="L408" s="5">
        <f>40 / 86400</f>
        <v>4.6296296296296298E-4</v>
      </c>
    </row>
    <row r="409" spans="1:12" x14ac:dyDescent="0.25">
      <c r="A409" s="3">
        <v>45702.649270833332</v>
      </c>
      <c r="B409" t="s">
        <v>330</v>
      </c>
      <c r="C409" s="3">
        <v>45702.649733796294</v>
      </c>
      <c r="D409" t="s">
        <v>331</v>
      </c>
      <c r="E409" s="4">
        <v>0.18254822081327438</v>
      </c>
      <c r="F409" s="4">
        <v>348214.4102954315</v>
      </c>
      <c r="G409" s="4">
        <v>348214.5928436523</v>
      </c>
      <c r="H409" s="5">
        <f t="shared" si="4"/>
        <v>0</v>
      </c>
      <c r="I409" t="s">
        <v>272</v>
      </c>
      <c r="J409" t="s">
        <v>34</v>
      </c>
      <c r="K409" s="5">
        <f>40 / 86400</f>
        <v>4.6296296296296298E-4</v>
      </c>
      <c r="L409" s="5">
        <f>20 / 86400</f>
        <v>2.3148148148148149E-4</v>
      </c>
    </row>
    <row r="410" spans="1:12" x14ac:dyDescent="0.25">
      <c r="A410" s="3">
        <v>45702.649965277778</v>
      </c>
      <c r="B410" t="s">
        <v>331</v>
      </c>
      <c r="C410" s="3">
        <v>45702.650196759263</v>
      </c>
      <c r="D410" t="s">
        <v>332</v>
      </c>
      <c r="E410" s="4">
        <v>3.4270137906074527E-2</v>
      </c>
      <c r="F410" s="4">
        <v>348214.63030692906</v>
      </c>
      <c r="G410" s="4">
        <v>348214.66457706696</v>
      </c>
      <c r="H410" s="5">
        <f t="shared" si="4"/>
        <v>0</v>
      </c>
      <c r="I410" t="s">
        <v>31</v>
      </c>
      <c r="J410" t="s">
        <v>132</v>
      </c>
      <c r="K410" s="5">
        <f>20 / 86400</f>
        <v>2.3148148148148149E-4</v>
      </c>
      <c r="L410" s="5">
        <f>20 / 86400</f>
        <v>2.3148148148148149E-4</v>
      </c>
    </row>
    <row r="411" spans="1:12" x14ac:dyDescent="0.25">
      <c r="A411" s="3">
        <v>45702.65042824074</v>
      </c>
      <c r="B411" t="s">
        <v>332</v>
      </c>
      <c r="C411" s="3">
        <v>45702.650659722218</v>
      </c>
      <c r="D411" t="s">
        <v>332</v>
      </c>
      <c r="E411" s="4">
        <v>5.5959149599075317E-2</v>
      </c>
      <c r="F411" s="4">
        <v>348214.67206052295</v>
      </c>
      <c r="G411" s="4">
        <v>348214.72801967256</v>
      </c>
      <c r="H411" s="5">
        <f t="shared" si="4"/>
        <v>0</v>
      </c>
      <c r="I411" t="s">
        <v>123</v>
      </c>
      <c r="J411" t="s">
        <v>126</v>
      </c>
      <c r="K411" s="5">
        <f>20 / 86400</f>
        <v>2.3148148148148149E-4</v>
      </c>
      <c r="L411" s="5">
        <f>40 / 86400</f>
        <v>4.6296296296296298E-4</v>
      </c>
    </row>
    <row r="412" spans="1:12" x14ac:dyDescent="0.25">
      <c r="A412" s="3">
        <v>45702.651122685187</v>
      </c>
      <c r="B412" t="s">
        <v>332</v>
      </c>
      <c r="C412" s="3">
        <v>45702.652268518519</v>
      </c>
      <c r="D412" t="s">
        <v>230</v>
      </c>
      <c r="E412" s="4">
        <v>0.43601320618391037</v>
      </c>
      <c r="F412" s="4">
        <v>348214.76539364055</v>
      </c>
      <c r="G412" s="4">
        <v>348215.20140684675</v>
      </c>
      <c r="H412" s="5">
        <f t="shared" si="4"/>
        <v>0</v>
      </c>
      <c r="I412" t="s">
        <v>139</v>
      </c>
      <c r="J412" t="s">
        <v>34</v>
      </c>
      <c r="K412" s="5">
        <f>99 / 86400</f>
        <v>1.1458333333333333E-3</v>
      </c>
      <c r="L412" s="5">
        <f>60 / 86400</f>
        <v>6.9444444444444447E-4</v>
      </c>
    </row>
    <row r="413" spans="1:12" x14ac:dyDescent="0.25">
      <c r="A413" s="3">
        <v>45702.652962962966</v>
      </c>
      <c r="B413" t="s">
        <v>230</v>
      </c>
      <c r="C413" s="3">
        <v>45702.654351851852</v>
      </c>
      <c r="D413" t="s">
        <v>222</v>
      </c>
      <c r="E413" s="4">
        <v>0.52703186219930653</v>
      </c>
      <c r="F413" s="4">
        <v>348215.21400303947</v>
      </c>
      <c r="G413" s="4">
        <v>348215.7410349017</v>
      </c>
      <c r="H413" s="5">
        <f t="shared" si="4"/>
        <v>0</v>
      </c>
      <c r="I413" t="s">
        <v>133</v>
      </c>
      <c r="J413" t="s">
        <v>34</v>
      </c>
      <c r="K413" s="5">
        <f>120 / 86400</f>
        <v>1.3888888888888889E-3</v>
      </c>
      <c r="L413" s="5">
        <f t="shared" ref="L413:L418" si="5">20 / 86400</f>
        <v>2.3148148148148149E-4</v>
      </c>
    </row>
    <row r="414" spans="1:12" x14ac:dyDescent="0.25">
      <c r="A414" s="3">
        <v>45702.654583333337</v>
      </c>
      <c r="B414" t="s">
        <v>222</v>
      </c>
      <c r="C414" s="3">
        <v>45702.661250000005</v>
      </c>
      <c r="D414" t="s">
        <v>333</v>
      </c>
      <c r="E414" s="4">
        <v>4.9303730250597004</v>
      </c>
      <c r="F414" s="4">
        <v>348215.82744250936</v>
      </c>
      <c r="G414" s="4">
        <v>348220.75781553442</v>
      </c>
      <c r="H414" s="5">
        <f t="shared" si="4"/>
        <v>0</v>
      </c>
      <c r="I414" t="s">
        <v>163</v>
      </c>
      <c r="J414" t="s">
        <v>155</v>
      </c>
      <c r="K414" s="5">
        <f>576 / 86400</f>
        <v>6.6666666666666671E-3</v>
      </c>
      <c r="L414" s="5">
        <f t="shared" si="5"/>
        <v>2.3148148148148149E-4</v>
      </c>
    </row>
    <row r="415" spans="1:12" x14ac:dyDescent="0.25">
      <c r="A415" s="3">
        <v>45702.661481481482</v>
      </c>
      <c r="B415" t="s">
        <v>333</v>
      </c>
      <c r="C415" s="3">
        <v>45702.662557870368</v>
      </c>
      <c r="D415" t="s">
        <v>217</v>
      </c>
      <c r="E415" s="4">
        <v>0.73955697649717334</v>
      </c>
      <c r="F415" s="4">
        <v>348220.87560370838</v>
      </c>
      <c r="G415" s="4">
        <v>348221.61516068486</v>
      </c>
      <c r="H415" s="5">
        <f t="shared" si="4"/>
        <v>0</v>
      </c>
      <c r="I415" t="s">
        <v>150</v>
      </c>
      <c r="J415" t="s">
        <v>147</v>
      </c>
      <c r="K415" s="5">
        <f>93 / 86400</f>
        <v>1.0763888888888889E-3</v>
      </c>
      <c r="L415" s="5">
        <f t="shared" si="5"/>
        <v>2.3148148148148149E-4</v>
      </c>
    </row>
    <row r="416" spans="1:12" x14ac:dyDescent="0.25">
      <c r="A416" s="3">
        <v>45702.662789351853</v>
      </c>
      <c r="B416" t="s">
        <v>217</v>
      </c>
      <c r="C416" s="3">
        <v>45702.664178240739</v>
      </c>
      <c r="D416" t="s">
        <v>217</v>
      </c>
      <c r="E416" s="4">
        <v>1.3951290796399116</v>
      </c>
      <c r="F416" s="4">
        <v>348221.77505613933</v>
      </c>
      <c r="G416" s="4">
        <v>348223.17018521897</v>
      </c>
      <c r="H416" s="5">
        <f t="shared" si="4"/>
        <v>0</v>
      </c>
      <c r="I416" t="s">
        <v>209</v>
      </c>
      <c r="J416" t="s">
        <v>208</v>
      </c>
      <c r="K416" s="5">
        <f>120 / 86400</f>
        <v>1.3888888888888889E-3</v>
      </c>
      <c r="L416" s="5">
        <f t="shared" si="5"/>
        <v>2.3148148148148149E-4</v>
      </c>
    </row>
    <row r="417" spans="1:12" x14ac:dyDescent="0.25">
      <c r="A417" s="3">
        <v>45702.664409722223</v>
      </c>
      <c r="B417" t="s">
        <v>217</v>
      </c>
      <c r="C417" s="3">
        <v>45702.66578703704</v>
      </c>
      <c r="D417" t="s">
        <v>103</v>
      </c>
      <c r="E417" s="4">
        <v>1.3479858121871948</v>
      </c>
      <c r="F417" s="4">
        <v>348223.18031496776</v>
      </c>
      <c r="G417" s="4">
        <v>348224.52830077993</v>
      </c>
      <c r="H417" s="5">
        <f t="shared" si="4"/>
        <v>0</v>
      </c>
      <c r="I417" t="s">
        <v>334</v>
      </c>
      <c r="J417" t="s">
        <v>131</v>
      </c>
      <c r="K417" s="5">
        <f>119 / 86400</f>
        <v>1.3773148148148147E-3</v>
      </c>
      <c r="L417" s="5">
        <f t="shared" si="5"/>
        <v>2.3148148148148149E-4</v>
      </c>
    </row>
    <row r="418" spans="1:12" x14ac:dyDescent="0.25">
      <c r="A418" s="3">
        <v>45702.666018518517</v>
      </c>
      <c r="B418" t="s">
        <v>103</v>
      </c>
      <c r="C418" s="3">
        <v>45702.667199074072</v>
      </c>
      <c r="D418" t="s">
        <v>217</v>
      </c>
      <c r="E418" s="4">
        <v>0.65550982230901722</v>
      </c>
      <c r="F418" s="4">
        <v>348224.53079903929</v>
      </c>
      <c r="G418" s="4">
        <v>348225.18630886159</v>
      </c>
      <c r="H418" s="5">
        <f t="shared" si="4"/>
        <v>0</v>
      </c>
      <c r="I418" t="s">
        <v>335</v>
      </c>
      <c r="J418" t="s">
        <v>37</v>
      </c>
      <c r="K418" s="5">
        <f>102 / 86400</f>
        <v>1.1805555555555556E-3</v>
      </c>
      <c r="L418" s="5">
        <f t="shared" si="5"/>
        <v>2.3148148148148149E-4</v>
      </c>
    </row>
    <row r="419" spans="1:12" x14ac:dyDescent="0.25">
      <c r="A419" s="3">
        <v>45702.667430555557</v>
      </c>
      <c r="B419" t="s">
        <v>217</v>
      </c>
      <c r="C419" s="3">
        <v>45702.668356481481</v>
      </c>
      <c r="D419" t="s">
        <v>336</v>
      </c>
      <c r="E419" s="4">
        <v>0.66568741726875302</v>
      </c>
      <c r="F419" s="4">
        <v>348225.19553169794</v>
      </c>
      <c r="G419" s="4">
        <v>348225.86121911521</v>
      </c>
      <c r="H419" s="5">
        <f t="shared" si="4"/>
        <v>0</v>
      </c>
      <c r="I419" t="s">
        <v>197</v>
      </c>
      <c r="J419" t="s">
        <v>189</v>
      </c>
      <c r="K419" s="5">
        <f>80 / 86400</f>
        <v>9.2592592592592596E-4</v>
      </c>
      <c r="L419" s="5">
        <f>40 / 86400</f>
        <v>4.6296296296296298E-4</v>
      </c>
    </row>
    <row r="420" spans="1:12" x14ac:dyDescent="0.25">
      <c r="A420" s="3">
        <v>45702.668819444443</v>
      </c>
      <c r="B420" t="s">
        <v>234</v>
      </c>
      <c r="C420" s="3">
        <v>45702.670671296291</v>
      </c>
      <c r="D420" t="s">
        <v>38</v>
      </c>
      <c r="E420" s="4">
        <v>2.464224913597107</v>
      </c>
      <c r="F420" s="4">
        <v>348225.98269692145</v>
      </c>
      <c r="G420" s="4">
        <v>348228.44692183507</v>
      </c>
      <c r="H420" s="5">
        <f t="shared" si="4"/>
        <v>0</v>
      </c>
      <c r="I420" t="s">
        <v>30</v>
      </c>
      <c r="J420" t="s">
        <v>335</v>
      </c>
      <c r="K420" s="5">
        <f>160 / 86400</f>
        <v>1.8518518518518519E-3</v>
      </c>
      <c r="L420" s="5">
        <f>40 / 86400</f>
        <v>4.6296296296296298E-4</v>
      </c>
    </row>
    <row r="421" spans="1:12" x14ac:dyDescent="0.25">
      <c r="A421" s="3">
        <v>45702.671134259261</v>
      </c>
      <c r="B421" t="s">
        <v>38</v>
      </c>
      <c r="C421" s="3">
        <v>45702.672986111109</v>
      </c>
      <c r="D421" t="s">
        <v>176</v>
      </c>
      <c r="E421" s="4">
        <v>1.0164621475338935</v>
      </c>
      <c r="F421" s="4">
        <v>348228.57219398377</v>
      </c>
      <c r="G421" s="4">
        <v>348229.58865613135</v>
      </c>
      <c r="H421" s="5">
        <f t="shared" si="4"/>
        <v>0</v>
      </c>
      <c r="I421" t="s">
        <v>337</v>
      </c>
      <c r="J421" t="s">
        <v>37</v>
      </c>
      <c r="K421" s="5">
        <f>160 / 86400</f>
        <v>1.8518518518518519E-3</v>
      </c>
      <c r="L421" s="5">
        <f>60 / 86400</f>
        <v>6.9444444444444447E-4</v>
      </c>
    </row>
    <row r="422" spans="1:12" x14ac:dyDescent="0.25">
      <c r="A422" s="3">
        <v>45702.673680555556</v>
      </c>
      <c r="B422" t="s">
        <v>176</v>
      </c>
      <c r="C422" s="3">
        <v>45702.67460648148</v>
      </c>
      <c r="D422" t="s">
        <v>177</v>
      </c>
      <c r="E422" s="4">
        <v>7.929022789001465E-2</v>
      </c>
      <c r="F422" s="4">
        <v>348229.63652045949</v>
      </c>
      <c r="G422" s="4">
        <v>348229.71581068734</v>
      </c>
      <c r="H422" s="5">
        <f t="shared" si="4"/>
        <v>0</v>
      </c>
      <c r="I422" t="s">
        <v>123</v>
      </c>
      <c r="J422" t="s">
        <v>156</v>
      </c>
      <c r="K422" s="5">
        <f>80 / 86400</f>
        <v>9.2592592592592596E-4</v>
      </c>
      <c r="L422" s="5">
        <f>20 / 86400</f>
        <v>2.3148148148148149E-4</v>
      </c>
    </row>
    <row r="423" spans="1:12" x14ac:dyDescent="0.25">
      <c r="A423" s="3">
        <v>45702.674837962964</v>
      </c>
      <c r="B423" t="s">
        <v>177</v>
      </c>
      <c r="C423" s="3">
        <v>45702.675069444449</v>
      </c>
      <c r="D423" t="s">
        <v>180</v>
      </c>
      <c r="E423" s="4">
        <v>2.8884488165378572E-2</v>
      </c>
      <c r="F423" s="4">
        <v>348229.71857886494</v>
      </c>
      <c r="G423" s="4">
        <v>348229.74746335309</v>
      </c>
      <c r="H423" s="5">
        <f t="shared" si="4"/>
        <v>0</v>
      </c>
      <c r="I423" t="s">
        <v>127</v>
      </c>
      <c r="J423" t="s">
        <v>127</v>
      </c>
      <c r="K423" s="5">
        <f>20 / 86400</f>
        <v>2.3148148148148149E-4</v>
      </c>
      <c r="L423" s="5">
        <f>100 / 86400</f>
        <v>1.1574074074074073E-3</v>
      </c>
    </row>
    <row r="424" spans="1:12" x14ac:dyDescent="0.25">
      <c r="A424" s="3">
        <v>45702.676226851851</v>
      </c>
      <c r="B424" t="s">
        <v>180</v>
      </c>
      <c r="C424" s="3">
        <v>45702.677453703705</v>
      </c>
      <c r="D424" t="s">
        <v>177</v>
      </c>
      <c r="E424" s="4">
        <v>0.58602313721179966</v>
      </c>
      <c r="F424" s="4">
        <v>348229.76467974886</v>
      </c>
      <c r="G424" s="4">
        <v>348230.35070288606</v>
      </c>
      <c r="H424" s="5">
        <f t="shared" si="4"/>
        <v>0</v>
      </c>
      <c r="I424" t="s">
        <v>166</v>
      </c>
      <c r="J424" t="s">
        <v>145</v>
      </c>
      <c r="K424" s="5">
        <f>106 / 86400</f>
        <v>1.2268518518518518E-3</v>
      </c>
      <c r="L424" s="5">
        <f>20 / 86400</f>
        <v>2.3148148148148149E-4</v>
      </c>
    </row>
    <row r="425" spans="1:12" x14ac:dyDescent="0.25">
      <c r="A425" s="3">
        <v>45702.67768518519</v>
      </c>
      <c r="B425" t="s">
        <v>177</v>
      </c>
      <c r="C425" s="3">
        <v>45702.678148148145</v>
      </c>
      <c r="D425" t="s">
        <v>177</v>
      </c>
      <c r="E425" s="4">
        <v>0.41329066520929336</v>
      </c>
      <c r="F425" s="4">
        <v>348230.49839286786</v>
      </c>
      <c r="G425" s="4">
        <v>348230.91168353305</v>
      </c>
      <c r="H425" s="5">
        <f t="shared" si="4"/>
        <v>0</v>
      </c>
      <c r="I425" t="s">
        <v>195</v>
      </c>
      <c r="J425" t="s">
        <v>173</v>
      </c>
      <c r="K425" s="5">
        <f>40 / 86400</f>
        <v>4.6296296296296298E-4</v>
      </c>
      <c r="L425" s="5">
        <f>20 / 86400</f>
        <v>2.3148148148148149E-4</v>
      </c>
    </row>
    <row r="426" spans="1:12" x14ac:dyDescent="0.25">
      <c r="A426" s="3">
        <v>45702.678379629629</v>
      </c>
      <c r="B426" t="s">
        <v>177</v>
      </c>
      <c r="C426" s="3">
        <v>45702.680011574077</v>
      </c>
      <c r="D426" t="s">
        <v>210</v>
      </c>
      <c r="E426" s="4">
        <v>1.2388292603492737</v>
      </c>
      <c r="F426" s="4">
        <v>348231.05158950237</v>
      </c>
      <c r="G426" s="4">
        <v>348232.29041876277</v>
      </c>
      <c r="H426" s="5">
        <f t="shared" si="4"/>
        <v>0</v>
      </c>
      <c r="I426" t="s">
        <v>183</v>
      </c>
      <c r="J426" t="s">
        <v>133</v>
      </c>
      <c r="K426" s="5">
        <f>141 / 86400</f>
        <v>1.6319444444444445E-3</v>
      </c>
      <c r="L426" s="5">
        <f>40 / 86400</f>
        <v>4.6296296296296298E-4</v>
      </c>
    </row>
    <row r="427" spans="1:12" x14ac:dyDescent="0.25">
      <c r="A427" s="3">
        <v>45702.680474537032</v>
      </c>
      <c r="B427" t="s">
        <v>104</v>
      </c>
      <c r="C427" s="3">
        <v>45702.68069444444</v>
      </c>
      <c r="D427" t="s">
        <v>104</v>
      </c>
      <c r="E427" s="4">
        <v>0.24591860014200212</v>
      </c>
      <c r="F427" s="4">
        <v>348232.44352553145</v>
      </c>
      <c r="G427" s="4">
        <v>348232.68944413163</v>
      </c>
      <c r="H427" s="5">
        <f t="shared" si="4"/>
        <v>0</v>
      </c>
      <c r="I427" t="s">
        <v>237</v>
      </c>
      <c r="J427" t="s">
        <v>143</v>
      </c>
      <c r="K427" s="5">
        <f>19 / 86400</f>
        <v>2.199074074074074E-4</v>
      </c>
      <c r="L427" s="5">
        <f>20 / 86400</f>
        <v>2.3148148148148149E-4</v>
      </c>
    </row>
    <row r="428" spans="1:12" x14ac:dyDescent="0.25">
      <c r="A428" s="3">
        <v>45702.680925925924</v>
      </c>
      <c r="B428" t="s">
        <v>104</v>
      </c>
      <c r="C428" s="3">
        <v>45702.681157407409</v>
      </c>
      <c r="D428" t="s">
        <v>104</v>
      </c>
      <c r="E428" s="4">
        <v>0.21601998203992845</v>
      </c>
      <c r="F428" s="4">
        <v>348232.8543923691</v>
      </c>
      <c r="G428" s="4">
        <v>348233.07041235111</v>
      </c>
      <c r="H428" s="5">
        <f t="shared" si="4"/>
        <v>0</v>
      </c>
      <c r="I428" t="s">
        <v>335</v>
      </c>
      <c r="J428" t="s">
        <v>206</v>
      </c>
      <c r="K428" s="5">
        <f>20 / 86400</f>
        <v>2.3148148148148149E-4</v>
      </c>
      <c r="L428" s="5">
        <f>40 / 86400</f>
        <v>4.6296296296296298E-4</v>
      </c>
    </row>
    <row r="429" spans="1:12" x14ac:dyDescent="0.25">
      <c r="A429" s="3">
        <v>45702.681620370371</v>
      </c>
      <c r="B429" t="s">
        <v>104</v>
      </c>
      <c r="C429" s="3">
        <v>45702.68277777778</v>
      </c>
      <c r="D429" t="s">
        <v>104</v>
      </c>
      <c r="E429" s="4">
        <v>0.94142318314313889</v>
      </c>
      <c r="F429" s="4">
        <v>348233.09723973018</v>
      </c>
      <c r="G429" s="4">
        <v>348234.03866291331</v>
      </c>
      <c r="H429" s="5">
        <f t="shared" si="4"/>
        <v>0</v>
      </c>
      <c r="I429" t="s">
        <v>207</v>
      </c>
      <c r="J429" t="s">
        <v>184</v>
      </c>
      <c r="K429" s="5">
        <f>100 / 86400</f>
        <v>1.1574074074074073E-3</v>
      </c>
      <c r="L429" s="5">
        <f>80 / 86400</f>
        <v>9.2592592592592596E-4</v>
      </c>
    </row>
    <row r="430" spans="1:12" x14ac:dyDescent="0.25">
      <c r="A430" s="3">
        <v>45702.683703703704</v>
      </c>
      <c r="B430" t="s">
        <v>111</v>
      </c>
      <c r="C430" s="3">
        <v>45702.685555555552</v>
      </c>
      <c r="D430" t="s">
        <v>111</v>
      </c>
      <c r="E430" s="4">
        <v>1.7108599193692207</v>
      </c>
      <c r="F430" s="4">
        <v>348234.24120812753</v>
      </c>
      <c r="G430" s="4">
        <v>348235.95206804684</v>
      </c>
      <c r="H430" s="5">
        <f t="shared" si="4"/>
        <v>0</v>
      </c>
      <c r="I430" t="s">
        <v>334</v>
      </c>
      <c r="J430" t="s">
        <v>205</v>
      </c>
      <c r="K430" s="5">
        <f>160 / 86400</f>
        <v>1.8518518518518519E-3</v>
      </c>
      <c r="L430" s="5">
        <f>40 / 86400</f>
        <v>4.6296296296296298E-4</v>
      </c>
    </row>
    <row r="431" spans="1:12" x14ac:dyDescent="0.25">
      <c r="A431" s="3">
        <v>45702.686018518521</v>
      </c>
      <c r="B431" t="s">
        <v>111</v>
      </c>
      <c r="C431" s="3">
        <v>45702.686481481476</v>
      </c>
      <c r="D431" t="s">
        <v>111</v>
      </c>
      <c r="E431" s="4">
        <v>0.4078330247402191</v>
      </c>
      <c r="F431" s="4">
        <v>348236.05706083484</v>
      </c>
      <c r="G431" s="4">
        <v>348236.46489385958</v>
      </c>
      <c r="H431" s="5">
        <f t="shared" si="4"/>
        <v>0</v>
      </c>
      <c r="I431" t="s">
        <v>67</v>
      </c>
      <c r="J431" t="s">
        <v>173</v>
      </c>
      <c r="K431" s="5">
        <f>40 / 86400</f>
        <v>4.6296296296296298E-4</v>
      </c>
      <c r="L431" s="5">
        <f>10 / 86400</f>
        <v>1.1574074074074075E-4</v>
      </c>
    </row>
    <row r="432" spans="1:12" x14ac:dyDescent="0.25">
      <c r="A432" s="3">
        <v>45702.686597222222</v>
      </c>
      <c r="B432" t="s">
        <v>111</v>
      </c>
      <c r="C432" s="3">
        <v>45702.687523148154</v>
      </c>
      <c r="D432" t="s">
        <v>111</v>
      </c>
      <c r="E432" s="4">
        <v>0.70787002283334732</v>
      </c>
      <c r="F432" s="4">
        <v>348236.46645440592</v>
      </c>
      <c r="G432" s="4">
        <v>348237.17432442872</v>
      </c>
      <c r="H432" s="5">
        <f t="shared" si="4"/>
        <v>0</v>
      </c>
      <c r="I432" t="s">
        <v>236</v>
      </c>
      <c r="J432" t="s">
        <v>133</v>
      </c>
      <c r="K432" s="5">
        <f>80 / 86400</f>
        <v>9.2592592592592596E-4</v>
      </c>
      <c r="L432" s="5">
        <f>20 / 86400</f>
        <v>2.3148148148148149E-4</v>
      </c>
    </row>
    <row r="433" spans="1:12" x14ac:dyDescent="0.25">
      <c r="A433" s="3">
        <v>45702.687754629631</v>
      </c>
      <c r="B433" t="s">
        <v>111</v>
      </c>
      <c r="C433" s="3">
        <v>45702.688680555555</v>
      </c>
      <c r="D433" t="s">
        <v>185</v>
      </c>
      <c r="E433" s="4">
        <v>0.44716286683082579</v>
      </c>
      <c r="F433" s="4">
        <v>348237.2070050115</v>
      </c>
      <c r="G433" s="4">
        <v>348237.65416787833</v>
      </c>
      <c r="H433" s="5">
        <f t="shared" si="4"/>
        <v>0</v>
      </c>
      <c r="I433" t="s">
        <v>189</v>
      </c>
      <c r="J433" t="s">
        <v>145</v>
      </c>
      <c r="K433" s="5">
        <f>80 / 86400</f>
        <v>9.2592592592592596E-4</v>
      </c>
      <c r="L433" s="5">
        <f>29 / 86400</f>
        <v>3.3564814814814812E-4</v>
      </c>
    </row>
    <row r="434" spans="1:12" x14ac:dyDescent="0.25">
      <c r="A434" s="3">
        <v>45702.689016203702</v>
      </c>
      <c r="B434" t="s">
        <v>185</v>
      </c>
      <c r="C434" s="3">
        <v>45702.689247685186</v>
      </c>
      <c r="D434" t="s">
        <v>185</v>
      </c>
      <c r="E434" s="4">
        <v>1.6209002077579499E-2</v>
      </c>
      <c r="F434" s="4">
        <v>348237.65768980572</v>
      </c>
      <c r="G434" s="4">
        <v>348237.67389880784</v>
      </c>
      <c r="H434" s="5">
        <f t="shared" si="4"/>
        <v>0</v>
      </c>
      <c r="I434" t="s">
        <v>132</v>
      </c>
      <c r="J434" t="s">
        <v>152</v>
      </c>
      <c r="K434" s="5">
        <f>20 / 86400</f>
        <v>2.3148148148148149E-4</v>
      </c>
      <c r="L434" s="5">
        <f>40 / 86400</f>
        <v>4.6296296296296298E-4</v>
      </c>
    </row>
    <row r="435" spans="1:12" x14ac:dyDescent="0.25">
      <c r="A435" s="3">
        <v>45702.689710648148</v>
      </c>
      <c r="B435" t="s">
        <v>111</v>
      </c>
      <c r="C435" s="3">
        <v>45702.691099537042</v>
      </c>
      <c r="D435" t="s">
        <v>69</v>
      </c>
      <c r="E435" s="4">
        <v>1.7872465429902076</v>
      </c>
      <c r="F435" s="4">
        <v>348237.70030838094</v>
      </c>
      <c r="G435" s="4">
        <v>348239.48755492398</v>
      </c>
      <c r="H435" s="5">
        <f t="shared" si="4"/>
        <v>0</v>
      </c>
      <c r="I435" t="s">
        <v>338</v>
      </c>
      <c r="J435" t="s">
        <v>187</v>
      </c>
      <c r="K435" s="5">
        <f>120 / 86400</f>
        <v>1.3888888888888889E-3</v>
      </c>
      <c r="L435" s="5">
        <f>31 / 86400</f>
        <v>3.5879629629629629E-4</v>
      </c>
    </row>
    <row r="436" spans="1:12" x14ac:dyDescent="0.25">
      <c r="A436" s="3">
        <v>45702.691458333335</v>
      </c>
      <c r="B436" t="s">
        <v>69</v>
      </c>
      <c r="C436" s="3">
        <v>45702.692384259259</v>
      </c>
      <c r="D436" t="s">
        <v>69</v>
      </c>
      <c r="E436" s="4">
        <v>0.60201905047893522</v>
      </c>
      <c r="F436" s="4">
        <v>348239.49487604114</v>
      </c>
      <c r="G436" s="4">
        <v>348240.09689509158</v>
      </c>
      <c r="H436" s="5">
        <f t="shared" ref="H436:H499" si="6">0 / 86400</f>
        <v>0</v>
      </c>
      <c r="I436" t="s">
        <v>131</v>
      </c>
      <c r="J436" t="s">
        <v>135</v>
      </c>
      <c r="K436" s="5">
        <f>80 / 86400</f>
        <v>9.2592592592592596E-4</v>
      </c>
      <c r="L436" s="5">
        <f>20 / 86400</f>
        <v>2.3148148148148149E-4</v>
      </c>
    </row>
    <row r="437" spans="1:12" x14ac:dyDescent="0.25">
      <c r="A437" s="3">
        <v>45702.692615740743</v>
      </c>
      <c r="B437" t="s">
        <v>69</v>
      </c>
      <c r="C437" s="3">
        <v>45702.693773148145</v>
      </c>
      <c r="D437" t="s">
        <v>69</v>
      </c>
      <c r="E437" s="4">
        <v>0.32853554260730744</v>
      </c>
      <c r="F437" s="4">
        <v>348240.10224431765</v>
      </c>
      <c r="G437" s="4">
        <v>348240.43077986024</v>
      </c>
      <c r="H437" s="5">
        <f t="shared" si="6"/>
        <v>0</v>
      </c>
      <c r="I437" t="s">
        <v>145</v>
      </c>
      <c r="J437" t="s">
        <v>62</v>
      </c>
      <c r="K437" s="5">
        <f>100 / 86400</f>
        <v>1.1574074074074073E-3</v>
      </c>
      <c r="L437" s="5">
        <f>50 / 86400</f>
        <v>5.7870370370370367E-4</v>
      </c>
    </row>
    <row r="438" spans="1:12" x14ac:dyDescent="0.25">
      <c r="A438" s="3">
        <v>45702.694351851853</v>
      </c>
      <c r="B438" t="s">
        <v>69</v>
      </c>
      <c r="C438" s="3">
        <v>45702.695428240739</v>
      </c>
      <c r="D438" t="s">
        <v>339</v>
      </c>
      <c r="E438" s="4">
        <v>6.5076285839080816E-2</v>
      </c>
      <c r="F438" s="4">
        <v>348240.45429863088</v>
      </c>
      <c r="G438" s="4">
        <v>348240.51937491674</v>
      </c>
      <c r="H438" s="5">
        <f t="shared" si="6"/>
        <v>0</v>
      </c>
      <c r="I438" t="s">
        <v>126</v>
      </c>
      <c r="J438" t="s">
        <v>152</v>
      </c>
      <c r="K438" s="5">
        <f>93 / 86400</f>
        <v>1.0763888888888889E-3</v>
      </c>
      <c r="L438" s="5">
        <f>13 / 86400</f>
        <v>1.5046296296296297E-4</v>
      </c>
    </row>
    <row r="439" spans="1:12" x14ac:dyDescent="0.25">
      <c r="A439" s="3">
        <v>45702.6955787037</v>
      </c>
      <c r="B439" t="s">
        <v>69</v>
      </c>
      <c r="C439" s="3">
        <v>45702.69604166667</v>
      </c>
      <c r="D439" t="s">
        <v>69</v>
      </c>
      <c r="E439" s="4">
        <v>6.9385490775108333E-2</v>
      </c>
      <c r="F439" s="4">
        <v>348240.5274442776</v>
      </c>
      <c r="G439" s="4">
        <v>348240.59682976839</v>
      </c>
      <c r="H439" s="5">
        <f t="shared" si="6"/>
        <v>0</v>
      </c>
      <c r="I439" t="s">
        <v>53</v>
      </c>
      <c r="J439" t="s">
        <v>132</v>
      </c>
      <c r="K439" s="5">
        <f>40 / 86400</f>
        <v>4.6296296296296298E-4</v>
      </c>
      <c r="L439" s="5">
        <f>20 / 86400</f>
        <v>2.3148148148148149E-4</v>
      </c>
    </row>
    <row r="440" spans="1:12" x14ac:dyDescent="0.25">
      <c r="A440" s="3">
        <v>45702.696273148147</v>
      </c>
      <c r="B440" t="s">
        <v>69</v>
      </c>
      <c r="C440" s="3">
        <v>45702.696967592594</v>
      </c>
      <c r="D440" t="s">
        <v>238</v>
      </c>
      <c r="E440" s="4">
        <v>0.23073123186826705</v>
      </c>
      <c r="F440" s="4">
        <v>348240.63380169537</v>
      </c>
      <c r="G440" s="4">
        <v>348240.86453292723</v>
      </c>
      <c r="H440" s="5">
        <f t="shared" si="6"/>
        <v>0</v>
      </c>
      <c r="I440" t="s">
        <v>37</v>
      </c>
      <c r="J440" t="s">
        <v>59</v>
      </c>
      <c r="K440" s="5">
        <f>60 / 86400</f>
        <v>6.9444444444444447E-4</v>
      </c>
      <c r="L440" s="5">
        <f>40 / 86400</f>
        <v>4.6296296296296298E-4</v>
      </c>
    </row>
    <row r="441" spans="1:12" x14ac:dyDescent="0.25">
      <c r="A441" s="3">
        <v>45702.697430555556</v>
      </c>
      <c r="B441" t="s">
        <v>69</v>
      </c>
      <c r="C441" s="3">
        <v>45702.697662037041</v>
      </c>
      <c r="D441" t="s">
        <v>238</v>
      </c>
      <c r="E441" s="4">
        <v>7.1682401120662695E-2</v>
      </c>
      <c r="F441" s="4">
        <v>348240.88228685432</v>
      </c>
      <c r="G441" s="4">
        <v>348240.95396925544</v>
      </c>
      <c r="H441" s="5">
        <f t="shared" si="6"/>
        <v>0</v>
      </c>
      <c r="I441" t="s">
        <v>53</v>
      </c>
      <c r="J441" t="s">
        <v>35</v>
      </c>
      <c r="K441" s="5">
        <f>20 / 86400</f>
        <v>2.3148148148148149E-4</v>
      </c>
      <c r="L441" s="5">
        <f>80 / 86400</f>
        <v>9.2592592592592596E-4</v>
      </c>
    </row>
    <row r="442" spans="1:12" x14ac:dyDescent="0.25">
      <c r="A442" s="3">
        <v>45702.698587962965</v>
      </c>
      <c r="B442" t="s">
        <v>188</v>
      </c>
      <c r="C442" s="3">
        <v>45702.699282407411</v>
      </c>
      <c r="D442" t="s">
        <v>113</v>
      </c>
      <c r="E442" s="4">
        <v>5.4396522045135495E-2</v>
      </c>
      <c r="F442" s="4">
        <v>348241.06066916237</v>
      </c>
      <c r="G442" s="4">
        <v>348241.11506568443</v>
      </c>
      <c r="H442" s="5">
        <f t="shared" si="6"/>
        <v>0</v>
      </c>
      <c r="I442" t="s">
        <v>156</v>
      </c>
      <c r="J442" t="s">
        <v>152</v>
      </c>
      <c r="K442" s="5">
        <f>60 / 86400</f>
        <v>6.9444444444444447E-4</v>
      </c>
      <c r="L442" s="5">
        <f>20 / 86400</f>
        <v>2.3148148148148149E-4</v>
      </c>
    </row>
    <row r="443" spans="1:12" x14ac:dyDescent="0.25">
      <c r="A443" s="3">
        <v>45702.699513888889</v>
      </c>
      <c r="B443" t="s">
        <v>113</v>
      </c>
      <c r="C443" s="3">
        <v>45702.702499999999</v>
      </c>
      <c r="D443" t="s">
        <v>340</v>
      </c>
      <c r="E443" s="4">
        <v>1.2278765291571616</v>
      </c>
      <c r="F443" s="4">
        <v>348241.12625587464</v>
      </c>
      <c r="G443" s="4">
        <v>348242.35413240379</v>
      </c>
      <c r="H443" s="5">
        <f t="shared" si="6"/>
        <v>0</v>
      </c>
      <c r="I443" t="s">
        <v>155</v>
      </c>
      <c r="J443" t="s">
        <v>28</v>
      </c>
      <c r="K443" s="5">
        <f>258 / 86400</f>
        <v>2.9861111111111113E-3</v>
      </c>
      <c r="L443" s="5">
        <f>20 / 86400</f>
        <v>2.3148148148148149E-4</v>
      </c>
    </row>
    <row r="444" spans="1:12" x14ac:dyDescent="0.25">
      <c r="A444" s="3">
        <v>45702.702731481477</v>
      </c>
      <c r="B444" t="s">
        <v>188</v>
      </c>
      <c r="C444" s="3">
        <v>45702.702962962961</v>
      </c>
      <c r="D444" t="s">
        <v>190</v>
      </c>
      <c r="E444" s="4">
        <v>2.2253140032291414E-2</v>
      </c>
      <c r="F444" s="4">
        <v>348242.38889628969</v>
      </c>
      <c r="G444" s="4">
        <v>348242.41114942974</v>
      </c>
      <c r="H444" s="5">
        <f t="shared" si="6"/>
        <v>0</v>
      </c>
      <c r="I444" t="s">
        <v>34</v>
      </c>
      <c r="J444" t="s">
        <v>156</v>
      </c>
      <c r="K444" s="5">
        <f>20 / 86400</f>
        <v>2.3148148148148149E-4</v>
      </c>
      <c r="L444" s="5">
        <f>100 / 86400</f>
        <v>1.1574074074074073E-3</v>
      </c>
    </row>
    <row r="445" spans="1:12" x14ac:dyDescent="0.25">
      <c r="A445" s="3">
        <v>45702.70412037037</v>
      </c>
      <c r="B445" t="s">
        <v>194</v>
      </c>
      <c r="C445" s="3">
        <v>45702.706018518518</v>
      </c>
      <c r="D445" t="s">
        <v>188</v>
      </c>
      <c r="E445" s="4">
        <v>1.0711324408054352</v>
      </c>
      <c r="F445" s="4">
        <v>348242.46667397994</v>
      </c>
      <c r="G445" s="4">
        <v>348243.53780642076</v>
      </c>
      <c r="H445" s="5">
        <f t="shared" si="6"/>
        <v>0</v>
      </c>
      <c r="I445" t="s">
        <v>106</v>
      </c>
      <c r="J445" t="s">
        <v>196</v>
      </c>
      <c r="K445" s="5">
        <f>164 / 86400</f>
        <v>1.8981481481481482E-3</v>
      </c>
      <c r="L445" s="5">
        <f>20 / 86400</f>
        <v>2.3148148148148149E-4</v>
      </c>
    </row>
    <row r="446" spans="1:12" x14ac:dyDescent="0.25">
      <c r="A446" s="3">
        <v>45702.706250000003</v>
      </c>
      <c r="B446" t="s">
        <v>188</v>
      </c>
      <c r="C446" s="3">
        <v>45702.707175925927</v>
      </c>
      <c r="D446" t="s">
        <v>188</v>
      </c>
      <c r="E446" s="4">
        <v>0.13719525003433228</v>
      </c>
      <c r="F446" s="4">
        <v>348243.54949193448</v>
      </c>
      <c r="G446" s="4">
        <v>348243.6866871845</v>
      </c>
      <c r="H446" s="5">
        <f t="shared" si="6"/>
        <v>0</v>
      </c>
      <c r="I446" t="s">
        <v>35</v>
      </c>
      <c r="J446" t="s">
        <v>132</v>
      </c>
      <c r="K446" s="5">
        <f>80 / 86400</f>
        <v>9.2592592592592596E-4</v>
      </c>
      <c r="L446" s="5">
        <f>60 / 86400</f>
        <v>6.9444444444444447E-4</v>
      </c>
    </row>
    <row r="447" spans="1:12" x14ac:dyDescent="0.25">
      <c r="A447" s="3">
        <v>45702.707870370374</v>
      </c>
      <c r="B447" t="s">
        <v>188</v>
      </c>
      <c r="C447" s="3">
        <v>45702.708101851851</v>
      </c>
      <c r="D447" t="s">
        <v>188</v>
      </c>
      <c r="E447" s="4">
        <v>1.1182782292366028E-2</v>
      </c>
      <c r="F447" s="4">
        <v>348243.69180732261</v>
      </c>
      <c r="G447" s="4">
        <v>348243.70299010491</v>
      </c>
      <c r="H447" s="5">
        <f t="shared" si="6"/>
        <v>0</v>
      </c>
      <c r="I447" t="s">
        <v>152</v>
      </c>
      <c r="J447" t="s">
        <v>140</v>
      </c>
      <c r="K447" s="5">
        <f>20 / 86400</f>
        <v>2.3148148148148149E-4</v>
      </c>
      <c r="L447" s="5">
        <f>124 / 86400</f>
        <v>1.4351851851851852E-3</v>
      </c>
    </row>
    <row r="448" spans="1:12" x14ac:dyDescent="0.25">
      <c r="A448" s="3">
        <v>45702.709537037037</v>
      </c>
      <c r="B448" t="s">
        <v>188</v>
      </c>
      <c r="C448" s="3">
        <v>45702.710694444446</v>
      </c>
      <c r="D448" t="s">
        <v>188</v>
      </c>
      <c r="E448" s="4">
        <v>0.59235820335149769</v>
      </c>
      <c r="F448" s="4">
        <v>348243.73322242167</v>
      </c>
      <c r="G448" s="4">
        <v>348244.32558062498</v>
      </c>
      <c r="H448" s="5">
        <f t="shared" si="6"/>
        <v>0</v>
      </c>
      <c r="I448" t="s">
        <v>205</v>
      </c>
      <c r="J448" t="s">
        <v>21</v>
      </c>
      <c r="K448" s="5">
        <f>100 / 86400</f>
        <v>1.1574074074074073E-3</v>
      </c>
      <c r="L448" s="5">
        <f>5 / 86400</f>
        <v>5.7870370370370373E-5</v>
      </c>
    </row>
    <row r="449" spans="1:12" x14ac:dyDescent="0.25">
      <c r="A449" s="3">
        <v>45702.710752314815</v>
      </c>
      <c r="B449" t="s">
        <v>188</v>
      </c>
      <c r="C449" s="3">
        <v>45702.711446759262</v>
      </c>
      <c r="D449" t="s">
        <v>188</v>
      </c>
      <c r="E449" s="4">
        <v>0.33038136935234069</v>
      </c>
      <c r="F449" s="4">
        <v>348244.32976459176</v>
      </c>
      <c r="G449" s="4">
        <v>348244.6601459611</v>
      </c>
      <c r="H449" s="5">
        <f t="shared" si="6"/>
        <v>0</v>
      </c>
      <c r="I449" t="s">
        <v>131</v>
      </c>
      <c r="J449" t="s">
        <v>145</v>
      </c>
      <c r="K449" s="5">
        <f>60 / 86400</f>
        <v>6.9444444444444447E-4</v>
      </c>
      <c r="L449" s="5">
        <f>40 / 86400</f>
        <v>4.6296296296296298E-4</v>
      </c>
    </row>
    <row r="450" spans="1:12" x14ac:dyDescent="0.25">
      <c r="A450" s="3">
        <v>45702.711909722224</v>
      </c>
      <c r="B450" t="s">
        <v>188</v>
      </c>
      <c r="C450" s="3">
        <v>45702.712835648148</v>
      </c>
      <c r="D450" t="s">
        <v>192</v>
      </c>
      <c r="E450" s="4">
        <v>0.80129702830314631</v>
      </c>
      <c r="F450" s="4">
        <v>348244.68916622153</v>
      </c>
      <c r="G450" s="4">
        <v>348245.49046324985</v>
      </c>
      <c r="H450" s="5">
        <f t="shared" si="6"/>
        <v>0</v>
      </c>
      <c r="I450" t="s">
        <v>163</v>
      </c>
      <c r="J450" t="s">
        <v>157</v>
      </c>
      <c r="K450" s="5">
        <f>80 / 86400</f>
        <v>9.2592592592592596E-4</v>
      </c>
      <c r="L450" s="5">
        <f>20 / 86400</f>
        <v>2.3148148148148149E-4</v>
      </c>
    </row>
    <row r="451" spans="1:12" x14ac:dyDescent="0.25">
      <c r="A451" s="3">
        <v>45702.713067129633</v>
      </c>
      <c r="B451" t="s">
        <v>192</v>
      </c>
      <c r="C451" s="3">
        <v>45702.71329861111</v>
      </c>
      <c r="D451" t="s">
        <v>192</v>
      </c>
      <c r="E451" s="4">
        <v>5.1222443580627446E-4</v>
      </c>
      <c r="F451" s="4">
        <v>348245.49305984227</v>
      </c>
      <c r="G451" s="4">
        <v>348245.49357206671</v>
      </c>
      <c r="H451" s="5">
        <f t="shared" si="6"/>
        <v>0</v>
      </c>
      <c r="I451" t="s">
        <v>120</v>
      </c>
      <c r="J451" t="s">
        <v>88</v>
      </c>
      <c r="K451" s="5">
        <f>20 / 86400</f>
        <v>2.3148148148148149E-4</v>
      </c>
      <c r="L451" s="5">
        <f>25 / 86400</f>
        <v>2.8935185185185184E-4</v>
      </c>
    </row>
    <row r="452" spans="1:12" x14ac:dyDescent="0.25">
      <c r="A452" s="3">
        <v>45702.713587962964</v>
      </c>
      <c r="B452" t="s">
        <v>192</v>
      </c>
      <c r="C452" s="3">
        <v>45702.714282407411</v>
      </c>
      <c r="D452" t="s">
        <v>242</v>
      </c>
      <c r="E452" s="4">
        <v>0.41130579203367235</v>
      </c>
      <c r="F452" s="4">
        <v>348245.50145855395</v>
      </c>
      <c r="G452" s="4">
        <v>348245.91276434599</v>
      </c>
      <c r="H452" s="5">
        <f t="shared" si="6"/>
        <v>0</v>
      </c>
      <c r="I452" t="s">
        <v>195</v>
      </c>
      <c r="J452" t="s">
        <v>122</v>
      </c>
      <c r="K452" s="5">
        <f>60 / 86400</f>
        <v>6.9444444444444447E-4</v>
      </c>
      <c r="L452" s="5">
        <f>20 / 86400</f>
        <v>2.3148148148148149E-4</v>
      </c>
    </row>
    <row r="453" spans="1:12" x14ac:dyDescent="0.25">
      <c r="A453" s="3">
        <v>45702.714513888888</v>
      </c>
      <c r="B453" t="s">
        <v>316</v>
      </c>
      <c r="C453" s="3">
        <v>45702.718680555554</v>
      </c>
      <c r="D453" t="s">
        <v>247</v>
      </c>
      <c r="E453" s="4">
        <v>1.9332435919642448</v>
      </c>
      <c r="F453" s="4">
        <v>348245.92586930323</v>
      </c>
      <c r="G453" s="4">
        <v>348247.85911289521</v>
      </c>
      <c r="H453" s="5">
        <f t="shared" si="6"/>
        <v>0</v>
      </c>
      <c r="I453" t="s">
        <v>211</v>
      </c>
      <c r="J453" t="s">
        <v>99</v>
      </c>
      <c r="K453" s="5">
        <f>360 / 86400</f>
        <v>4.1666666666666666E-3</v>
      </c>
      <c r="L453" s="5">
        <f>40 / 86400</f>
        <v>4.6296296296296298E-4</v>
      </c>
    </row>
    <row r="454" spans="1:12" x14ac:dyDescent="0.25">
      <c r="A454" s="3">
        <v>45702.719143518523</v>
      </c>
      <c r="B454" t="s">
        <v>246</v>
      </c>
      <c r="C454" s="3">
        <v>45702.719594907408</v>
      </c>
      <c r="D454" t="s">
        <v>246</v>
      </c>
      <c r="E454" s="4">
        <v>3.4251221597194674E-2</v>
      </c>
      <c r="F454" s="4">
        <v>348247.88144802058</v>
      </c>
      <c r="G454" s="4">
        <v>348247.91569924215</v>
      </c>
      <c r="H454" s="5">
        <f t="shared" si="6"/>
        <v>0</v>
      </c>
      <c r="I454" t="s">
        <v>132</v>
      </c>
      <c r="J454" t="s">
        <v>152</v>
      </c>
      <c r="K454" s="5">
        <f>39 / 86400</f>
        <v>4.5138888888888887E-4</v>
      </c>
      <c r="L454" s="5">
        <f>40 / 86400</f>
        <v>4.6296296296296298E-4</v>
      </c>
    </row>
    <row r="455" spans="1:12" x14ac:dyDescent="0.25">
      <c r="A455" s="3">
        <v>45702.720057870371</v>
      </c>
      <c r="B455" t="s">
        <v>246</v>
      </c>
      <c r="C455" s="3">
        <v>45702.72075231481</v>
      </c>
      <c r="D455" t="s">
        <v>341</v>
      </c>
      <c r="E455" s="4">
        <v>0.28790048766136167</v>
      </c>
      <c r="F455" s="4">
        <v>348247.9258555657</v>
      </c>
      <c r="G455" s="4">
        <v>348248.21375605336</v>
      </c>
      <c r="H455" s="5">
        <f t="shared" si="6"/>
        <v>0</v>
      </c>
      <c r="I455" t="s">
        <v>37</v>
      </c>
      <c r="J455" t="s">
        <v>28</v>
      </c>
      <c r="K455" s="5">
        <f>60 / 86400</f>
        <v>6.9444444444444447E-4</v>
      </c>
      <c r="L455" s="5">
        <f>60 / 86400</f>
        <v>6.9444444444444447E-4</v>
      </c>
    </row>
    <row r="456" spans="1:12" x14ac:dyDescent="0.25">
      <c r="A456" s="3">
        <v>45702.721446759257</v>
      </c>
      <c r="B456" t="s">
        <v>249</v>
      </c>
      <c r="C456" s="3">
        <v>45702.721909722226</v>
      </c>
      <c r="D456" t="s">
        <v>341</v>
      </c>
      <c r="E456" s="4">
        <v>6.8755258977413178E-2</v>
      </c>
      <c r="F456" s="4">
        <v>348248.24719125504</v>
      </c>
      <c r="G456" s="4">
        <v>348248.31594651402</v>
      </c>
      <c r="H456" s="5">
        <f t="shared" si="6"/>
        <v>0</v>
      </c>
      <c r="I456" t="s">
        <v>140</v>
      </c>
      <c r="J456" t="s">
        <v>132</v>
      </c>
      <c r="K456" s="5">
        <f>40 / 86400</f>
        <v>4.6296296296296298E-4</v>
      </c>
      <c r="L456" s="5">
        <f>59 / 86400</f>
        <v>6.8287037037037036E-4</v>
      </c>
    </row>
    <row r="457" spans="1:12" x14ac:dyDescent="0.25">
      <c r="A457" s="3">
        <v>45702.722592592589</v>
      </c>
      <c r="B457" t="s">
        <v>341</v>
      </c>
      <c r="C457" s="3">
        <v>45702.722824074073</v>
      </c>
      <c r="D457" t="s">
        <v>341</v>
      </c>
      <c r="E457" s="4">
        <v>8.5581457018852232E-3</v>
      </c>
      <c r="F457" s="4">
        <v>348248.32856942643</v>
      </c>
      <c r="G457" s="4">
        <v>348248.3371275721</v>
      </c>
      <c r="H457" s="5">
        <f t="shared" si="6"/>
        <v>0</v>
      </c>
      <c r="I457" t="s">
        <v>127</v>
      </c>
      <c r="J457" t="s">
        <v>140</v>
      </c>
      <c r="K457" s="5">
        <f>20 / 86400</f>
        <v>2.3148148148148149E-4</v>
      </c>
      <c r="L457" s="5">
        <f>20 / 86400</f>
        <v>2.3148148148148149E-4</v>
      </c>
    </row>
    <row r="458" spans="1:12" x14ac:dyDescent="0.25">
      <c r="A458" s="3">
        <v>45702.723055555558</v>
      </c>
      <c r="B458" t="s">
        <v>341</v>
      </c>
      <c r="C458" s="3">
        <v>45702.723750000005</v>
      </c>
      <c r="D458" t="s">
        <v>341</v>
      </c>
      <c r="E458" s="4">
        <v>8.1907161533832554E-2</v>
      </c>
      <c r="F458" s="4">
        <v>348248.33940656728</v>
      </c>
      <c r="G458" s="4">
        <v>348248.42131372879</v>
      </c>
      <c r="H458" s="5">
        <f t="shared" si="6"/>
        <v>0</v>
      </c>
      <c r="I458" t="s">
        <v>140</v>
      </c>
      <c r="J458" t="s">
        <v>127</v>
      </c>
      <c r="K458" s="5">
        <f>60 / 86400</f>
        <v>6.9444444444444447E-4</v>
      </c>
      <c r="L458" s="5">
        <f>61 / 86400</f>
        <v>7.0601851851851847E-4</v>
      </c>
    </row>
    <row r="459" spans="1:12" x14ac:dyDescent="0.25">
      <c r="A459" s="3">
        <v>45702.724456018521</v>
      </c>
      <c r="B459" t="s">
        <v>341</v>
      </c>
      <c r="C459" s="3">
        <v>45702.725601851853</v>
      </c>
      <c r="D459" t="s">
        <v>250</v>
      </c>
      <c r="E459" s="4">
        <v>0.33642896157503127</v>
      </c>
      <c r="F459" s="4">
        <v>348248.46123411111</v>
      </c>
      <c r="G459" s="4">
        <v>348248.79766307271</v>
      </c>
      <c r="H459" s="5">
        <f t="shared" si="6"/>
        <v>0</v>
      </c>
      <c r="I459" t="s">
        <v>196</v>
      </c>
      <c r="J459" t="s">
        <v>62</v>
      </c>
      <c r="K459" s="5">
        <f>99 / 86400</f>
        <v>1.1458333333333333E-3</v>
      </c>
      <c r="L459" s="5">
        <f>100 / 86400</f>
        <v>1.1574074074074073E-3</v>
      </c>
    </row>
    <row r="460" spans="1:12" x14ac:dyDescent="0.25">
      <c r="A460" s="3">
        <v>45702.726759259254</v>
      </c>
      <c r="B460" t="s">
        <v>342</v>
      </c>
      <c r="C460" s="3">
        <v>45702.726990740739</v>
      </c>
      <c r="D460" t="s">
        <v>341</v>
      </c>
      <c r="E460" s="4">
        <v>4.2648280262947086E-3</v>
      </c>
      <c r="F460" s="4">
        <v>348248.85039764148</v>
      </c>
      <c r="G460" s="4">
        <v>348248.85466246953</v>
      </c>
      <c r="H460" s="5">
        <f t="shared" si="6"/>
        <v>0</v>
      </c>
      <c r="I460" t="s">
        <v>120</v>
      </c>
      <c r="J460" t="s">
        <v>120</v>
      </c>
      <c r="K460" s="5">
        <f>20 / 86400</f>
        <v>2.3148148148148149E-4</v>
      </c>
      <c r="L460" s="5">
        <f>80 / 86400</f>
        <v>9.2592592592592596E-4</v>
      </c>
    </row>
    <row r="461" spans="1:12" x14ac:dyDescent="0.25">
      <c r="A461" s="3">
        <v>45702.72791666667</v>
      </c>
      <c r="B461" t="s">
        <v>343</v>
      </c>
      <c r="C461" s="3">
        <v>45702.728148148148</v>
      </c>
      <c r="D461" t="s">
        <v>344</v>
      </c>
      <c r="E461" s="4">
        <v>9.1657916307449332E-3</v>
      </c>
      <c r="F461" s="4">
        <v>348248.89407014294</v>
      </c>
      <c r="G461" s="4">
        <v>348248.90323593456</v>
      </c>
      <c r="H461" s="5">
        <f t="shared" si="6"/>
        <v>0</v>
      </c>
      <c r="I461" t="s">
        <v>140</v>
      </c>
      <c r="J461" t="s">
        <v>140</v>
      </c>
      <c r="K461" s="5">
        <f>20 / 86400</f>
        <v>2.3148148148148149E-4</v>
      </c>
      <c r="L461" s="5">
        <f>39 / 86400</f>
        <v>4.5138888888888887E-4</v>
      </c>
    </row>
    <row r="462" spans="1:12" x14ac:dyDescent="0.25">
      <c r="A462" s="3">
        <v>45702.728599537033</v>
      </c>
      <c r="B462" t="s">
        <v>345</v>
      </c>
      <c r="C462" s="3">
        <v>45702.728969907403</v>
      </c>
      <c r="D462" t="s">
        <v>250</v>
      </c>
      <c r="E462" s="4">
        <v>3.7786168456077573E-2</v>
      </c>
      <c r="F462" s="4">
        <v>348248.92197230906</v>
      </c>
      <c r="G462" s="4">
        <v>348248.95975847752</v>
      </c>
      <c r="H462" s="5">
        <f t="shared" si="6"/>
        <v>0</v>
      </c>
      <c r="I462" t="s">
        <v>28</v>
      </c>
      <c r="J462" t="s">
        <v>156</v>
      </c>
      <c r="K462" s="5">
        <f>32 / 86400</f>
        <v>3.7037037037037035E-4</v>
      </c>
      <c r="L462" s="5">
        <f>20 / 86400</f>
        <v>2.3148148148148149E-4</v>
      </c>
    </row>
    <row r="463" spans="1:12" x14ac:dyDescent="0.25">
      <c r="A463" s="3">
        <v>45702.729201388887</v>
      </c>
      <c r="B463" t="s">
        <v>115</v>
      </c>
      <c r="C463" s="3">
        <v>45702.730347222227</v>
      </c>
      <c r="D463" t="s">
        <v>313</v>
      </c>
      <c r="E463" s="4">
        <v>0.32188666987419129</v>
      </c>
      <c r="F463" s="4">
        <v>348249.2421594669</v>
      </c>
      <c r="G463" s="4">
        <v>348249.5640461368</v>
      </c>
      <c r="H463" s="5">
        <f t="shared" si="6"/>
        <v>0</v>
      </c>
      <c r="I463" t="s">
        <v>59</v>
      </c>
      <c r="J463" t="s">
        <v>62</v>
      </c>
      <c r="K463" s="5">
        <f>99 / 86400</f>
        <v>1.1458333333333333E-3</v>
      </c>
      <c r="L463" s="5">
        <f>40 / 86400</f>
        <v>4.6296296296296298E-4</v>
      </c>
    </row>
    <row r="464" spans="1:12" x14ac:dyDescent="0.25">
      <c r="A464" s="3">
        <v>45702.730810185181</v>
      </c>
      <c r="B464" t="s">
        <v>115</v>
      </c>
      <c r="C464" s="3">
        <v>45702.731041666666</v>
      </c>
      <c r="D464" t="s">
        <v>115</v>
      </c>
      <c r="E464" s="4">
        <v>4.5600316524505614E-3</v>
      </c>
      <c r="F464" s="4">
        <v>348249.57018303935</v>
      </c>
      <c r="G464" s="4">
        <v>348249.57474307105</v>
      </c>
      <c r="H464" s="5">
        <f t="shared" si="6"/>
        <v>0</v>
      </c>
      <c r="I464" t="s">
        <v>140</v>
      </c>
      <c r="J464" t="s">
        <v>120</v>
      </c>
      <c r="K464" s="5">
        <f>20 / 86400</f>
        <v>2.3148148148148149E-4</v>
      </c>
      <c r="L464" s="5">
        <f>220 / 86400</f>
        <v>2.5462962962962965E-3</v>
      </c>
    </row>
    <row r="465" spans="1:12" x14ac:dyDescent="0.25">
      <c r="A465" s="3">
        <v>45702.733587962968</v>
      </c>
      <c r="B465" t="s">
        <v>115</v>
      </c>
      <c r="C465" s="3">
        <v>45702.73474537037</v>
      </c>
      <c r="D465" t="s">
        <v>346</v>
      </c>
      <c r="E465" s="4">
        <v>0.29151310473680497</v>
      </c>
      <c r="F465" s="4">
        <v>348249.59033981193</v>
      </c>
      <c r="G465" s="4">
        <v>348249.88185291667</v>
      </c>
      <c r="H465" s="5">
        <f t="shared" si="6"/>
        <v>0</v>
      </c>
      <c r="I465" t="s">
        <v>145</v>
      </c>
      <c r="J465" t="s">
        <v>126</v>
      </c>
      <c r="K465" s="5">
        <f>100 / 86400</f>
        <v>1.1574074074074073E-3</v>
      </c>
      <c r="L465" s="5">
        <f>40 / 86400</f>
        <v>4.6296296296296298E-4</v>
      </c>
    </row>
    <row r="466" spans="1:12" x14ac:dyDescent="0.25">
      <c r="A466" s="3">
        <v>45702.735208333332</v>
      </c>
      <c r="B466" t="s">
        <v>347</v>
      </c>
      <c r="C466" s="3">
        <v>45702.736134259263</v>
      </c>
      <c r="D466" t="s">
        <v>347</v>
      </c>
      <c r="E466" s="4">
        <v>9.855216193199158E-2</v>
      </c>
      <c r="F466" s="4">
        <v>348249.89912926994</v>
      </c>
      <c r="G466" s="4">
        <v>348249.99768143188</v>
      </c>
      <c r="H466" s="5">
        <f t="shared" si="6"/>
        <v>0</v>
      </c>
      <c r="I466" t="s">
        <v>35</v>
      </c>
      <c r="J466" t="s">
        <v>156</v>
      </c>
      <c r="K466" s="5">
        <f>80 / 86400</f>
        <v>9.2592592592592596E-4</v>
      </c>
      <c r="L466" s="5">
        <f>20 / 86400</f>
        <v>2.3148148148148149E-4</v>
      </c>
    </row>
    <row r="467" spans="1:12" x14ac:dyDescent="0.25">
      <c r="A467" s="3">
        <v>45702.73636574074</v>
      </c>
      <c r="B467" t="s">
        <v>249</v>
      </c>
      <c r="C467" s="3">
        <v>45702.737812499996</v>
      </c>
      <c r="D467" t="s">
        <v>348</v>
      </c>
      <c r="E467" s="4">
        <v>0.48665676426887511</v>
      </c>
      <c r="F467" s="4">
        <v>348250.02800260269</v>
      </c>
      <c r="G467" s="4">
        <v>348250.51465936698</v>
      </c>
      <c r="H467" s="5">
        <f t="shared" si="6"/>
        <v>0</v>
      </c>
      <c r="I467" t="s">
        <v>195</v>
      </c>
      <c r="J467" t="s">
        <v>59</v>
      </c>
      <c r="K467" s="5">
        <f>125 / 86400</f>
        <v>1.4467592592592592E-3</v>
      </c>
      <c r="L467" s="5">
        <f>20 / 86400</f>
        <v>2.3148148148148149E-4</v>
      </c>
    </row>
    <row r="468" spans="1:12" x14ac:dyDescent="0.25">
      <c r="A468" s="3">
        <v>45702.738043981481</v>
      </c>
      <c r="B468" t="s">
        <v>348</v>
      </c>
      <c r="C468" s="3">
        <v>45702.738275462965</v>
      </c>
      <c r="D468" t="s">
        <v>249</v>
      </c>
      <c r="E468" s="4">
        <v>4.2180763423442839E-2</v>
      </c>
      <c r="F468" s="4">
        <v>348250.51815198717</v>
      </c>
      <c r="G468" s="4">
        <v>348250.56033275061</v>
      </c>
      <c r="H468" s="5">
        <f t="shared" si="6"/>
        <v>0</v>
      </c>
      <c r="I468" t="s">
        <v>140</v>
      </c>
      <c r="J468" t="s">
        <v>123</v>
      </c>
      <c r="K468" s="5">
        <f>20 / 86400</f>
        <v>2.3148148148148149E-4</v>
      </c>
      <c r="L468" s="5">
        <f>20 / 86400</f>
        <v>2.3148148148148149E-4</v>
      </c>
    </row>
    <row r="469" spans="1:12" x14ac:dyDescent="0.25">
      <c r="A469" s="3">
        <v>45702.738506944443</v>
      </c>
      <c r="B469" t="s">
        <v>249</v>
      </c>
      <c r="C469" s="3">
        <v>45702.744733796295</v>
      </c>
      <c r="D469" t="s">
        <v>349</v>
      </c>
      <c r="E469" s="4">
        <v>2.4649917629361151</v>
      </c>
      <c r="F469" s="4">
        <v>348250.56155399204</v>
      </c>
      <c r="G469" s="4">
        <v>348253.02654575498</v>
      </c>
      <c r="H469" s="5">
        <f t="shared" si="6"/>
        <v>0</v>
      </c>
      <c r="I469" t="s">
        <v>221</v>
      </c>
      <c r="J469" t="s">
        <v>34</v>
      </c>
      <c r="K469" s="5">
        <f>538 / 86400</f>
        <v>6.2268518518518515E-3</v>
      </c>
      <c r="L469" s="5">
        <f>19 / 86400</f>
        <v>2.199074074074074E-4</v>
      </c>
    </row>
    <row r="470" spans="1:12" x14ac:dyDescent="0.25">
      <c r="A470" s="3">
        <v>45702.744953703703</v>
      </c>
      <c r="B470" t="s">
        <v>349</v>
      </c>
      <c r="C470" s="3">
        <v>45702.74518518518</v>
      </c>
      <c r="D470" t="s">
        <v>193</v>
      </c>
      <c r="E470" s="4">
        <v>3.784814268350601E-2</v>
      </c>
      <c r="F470" s="4">
        <v>348253.03750495106</v>
      </c>
      <c r="G470" s="4">
        <v>348253.07535309374</v>
      </c>
      <c r="H470" s="5">
        <f t="shared" si="6"/>
        <v>0</v>
      </c>
      <c r="I470" t="s">
        <v>138</v>
      </c>
      <c r="J470" t="s">
        <v>138</v>
      </c>
      <c r="K470" s="5">
        <f>20 / 86400</f>
        <v>2.3148148148148149E-4</v>
      </c>
      <c r="L470" s="5">
        <f>4 / 86400</f>
        <v>4.6296296296296294E-5</v>
      </c>
    </row>
    <row r="471" spans="1:12" x14ac:dyDescent="0.25">
      <c r="A471" s="3">
        <v>45702.74523148148</v>
      </c>
      <c r="B471" t="s">
        <v>193</v>
      </c>
      <c r="C471" s="3">
        <v>45702.746157407411</v>
      </c>
      <c r="D471" t="s">
        <v>188</v>
      </c>
      <c r="E471" s="4">
        <v>0.71772247445583348</v>
      </c>
      <c r="F471" s="4">
        <v>348253.07807069994</v>
      </c>
      <c r="G471" s="4">
        <v>348253.79579317436</v>
      </c>
      <c r="H471" s="5">
        <f t="shared" si="6"/>
        <v>0</v>
      </c>
      <c r="I471" t="s">
        <v>237</v>
      </c>
      <c r="J471" t="s">
        <v>133</v>
      </c>
      <c r="K471" s="5">
        <f>80 / 86400</f>
        <v>9.2592592592592596E-4</v>
      </c>
      <c r="L471" s="5">
        <f>28 / 86400</f>
        <v>3.2407407407407406E-4</v>
      </c>
    </row>
    <row r="472" spans="1:12" x14ac:dyDescent="0.25">
      <c r="A472" s="3">
        <v>45702.746481481481</v>
      </c>
      <c r="B472" t="s">
        <v>188</v>
      </c>
      <c r="C472" s="3">
        <v>45702.74763888889</v>
      </c>
      <c r="D472" t="s">
        <v>188</v>
      </c>
      <c r="E472" s="4">
        <v>0.23491113126277924</v>
      </c>
      <c r="F472" s="4">
        <v>348253.80026940227</v>
      </c>
      <c r="G472" s="4">
        <v>348254.03518053354</v>
      </c>
      <c r="H472" s="5">
        <f t="shared" si="6"/>
        <v>0</v>
      </c>
      <c r="I472" t="s">
        <v>28</v>
      </c>
      <c r="J472" t="s">
        <v>123</v>
      </c>
      <c r="K472" s="5">
        <f>100 / 86400</f>
        <v>1.1574074074074073E-3</v>
      </c>
      <c r="L472" s="5">
        <f>20 / 86400</f>
        <v>2.3148148148148149E-4</v>
      </c>
    </row>
    <row r="473" spans="1:12" x14ac:dyDescent="0.25">
      <c r="A473" s="3">
        <v>45702.747870370367</v>
      </c>
      <c r="B473" t="s">
        <v>188</v>
      </c>
      <c r="C473" s="3">
        <v>45702.748101851852</v>
      </c>
      <c r="D473" t="s">
        <v>188</v>
      </c>
      <c r="E473" s="4">
        <v>4.7242973744869229E-2</v>
      </c>
      <c r="F473" s="4">
        <v>348254.15957350231</v>
      </c>
      <c r="G473" s="4">
        <v>348254.20681647607</v>
      </c>
      <c r="H473" s="5">
        <f t="shared" si="6"/>
        <v>0</v>
      </c>
      <c r="I473" t="s">
        <v>184</v>
      </c>
      <c r="J473" t="s">
        <v>57</v>
      </c>
      <c r="K473" s="5">
        <f>20 / 86400</f>
        <v>2.3148148148148149E-4</v>
      </c>
      <c r="L473" s="5">
        <f>20 / 86400</f>
        <v>2.3148148148148149E-4</v>
      </c>
    </row>
    <row r="474" spans="1:12" x14ac:dyDescent="0.25">
      <c r="A474" s="3">
        <v>45702.748333333337</v>
      </c>
      <c r="B474" t="s">
        <v>188</v>
      </c>
      <c r="C474" s="3">
        <v>45702.749259259261</v>
      </c>
      <c r="D474" t="s">
        <v>172</v>
      </c>
      <c r="E474" s="4">
        <v>0.38513256037235261</v>
      </c>
      <c r="F474" s="4">
        <v>348254.24822863995</v>
      </c>
      <c r="G474" s="4">
        <v>348254.63336120034</v>
      </c>
      <c r="H474" s="5">
        <f t="shared" si="6"/>
        <v>0</v>
      </c>
      <c r="I474" t="s">
        <v>122</v>
      </c>
      <c r="J474" t="s">
        <v>28</v>
      </c>
      <c r="K474" s="5">
        <f>80 / 86400</f>
        <v>9.2592592592592596E-4</v>
      </c>
      <c r="L474" s="5">
        <f>40 / 86400</f>
        <v>4.6296296296296298E-4</v>
      </c>
    </row>
    <row r="475" spans="1:12" x14ac:dyDescent="0.25">
      <c r="A475" s="3">
        <v>45702.749722222223</v>
      </c>
      <c r="B475" t="s">
        <v>172</v>
      </c>
      <c r="C475" s="3">
        <v>45702.750416666662</v>
      </c>
      <c r="D475" t="s">
        <v>317</v>
      </c>
      <c r="E475" s="4">
        <v>8.2268081784248354E-2</v>
      </c>
      <c r="F475" s="4">
        <v>348254.63888644101</v>
      </c>
      <c r="G475" s="4">
        <v>348254.72115452279</v>
      </c>
      <c r="H475" s="5">
        <f t="shared" si="6"/>
        <v>0</v>
      </c>
      <c r="I475" t="s">
        <v>140</v>
      </c>
      <c r="J475" t="s">
        <v>127</v>
      </c>
      <c r="K475" s="5">
        <f>60 / 86400</f>
        <v>6.9444444444444447E-4</v>
      </c>
      <c r="L475" s="5">
        <f>60 / 86400</f>
        <v>6.9444444444444447E-4</v>
      </c>
    </row>
    <row r="476" spans="1:12" x14ac:dyDescent="0.25">
      <c r="A476" s="3">
        <v>45702.751111111109</v>
      </c>
      <c r="B476" t="s">
        <v>194</v>
      </c>
      <c r="C476" s="3">
        <v>45702.753194444449</v>
      </c>
      <c r="D476" t="s">
        <v>172</v>
      </c>
      <c r="E476" s="4">
        <v>1.0225196966528893</v>
      </c>
      <c r="F476" s="4">
        <v>348254.73402537359</v>
      </c>
      <c r="G476" s="4">
        <v>348255.75654507021</v>
      </c>
      <c r="H476" s="5">
        <f t="shared" si="6"/>
        <v>0</v>
      </c>
      <c r="I476" t="s">
        <v>197</v>
      </c>
      <c r="J476" t="s">
        <v>145</v>
      </c>
      <c r="K476" s="5">
        <f>180 / 86400</f>
        <v>2.0833333333333333E-3</v>
      </c>
      <c r="L476" s="5">
        <f>40 / 86400</f>
        <v>4.6296296296296298E-4</v>
      </c>
    </row>
    <row r="477" spans="1:12" x14ac:dyDescent="0.25">
      <c r="A477" s="3">
        <v>45702.753657407404</v>
      </c>
      <c r="B477" t="s">
        <v>113</v>
      </c>
      <c r="C477" s="3">
        <v>45702.754583333328</v>
      </c>
      <c r="D477" t="s">
        <v>350</v>
      </c>
      <c r="E477" s="4">
        <v>0.18764189672470094</v>
      </c>
      <c r="F477" s="4">
        <v>348256.24034607603</v>
      </c>
      <c r="G477" s="4">
        <v>348256.42798797274</v>
      </c>
      <c r="H477" s="5">
        <f t="shared" si="6"/>
        <v>0</v>
      </c>
      <c r="I477" t="s">
        <v>135</v>
      </c>
      <c r="J477" t="s">
        <v>123</v>
      </c>
      <c r="K477" s="5">
        <f>80 / 86400</f>
        <v>9.2592592592592596E-4</v>
      </c>
      <c r="L477" s="5">
        <f>20 / 86400</f>
        <v>2.3148148148148149E-4</v>
      </c>
    </row>
    <row r="478" spans="1:12" x14ac:dyDescent="0.25">
      <c r="A478" s="3">
        <v>45702.75481481482</v>
      </c>
      <c r="B478" t="s">
        <v>318</v>
      </c>
      <c r="C478" s="3">
        <v>45702.755046296297</v>
      </c>
      <c r="D478" t="s">
        <v>351</v>
      </c>
      <c r="E478" s="4">
        <v>1.6586182415485384E-2</v>
      </c>
      <c r="F478" s="4">
        <v>348256.45061709348</v>
      </c>
      <c r="G478" s="4">
        <v>348256.46720327594</v>
      </c>
      <c r="H478" s="5">
        <f t="shared" si="6"/>
        <v>0</v>
      </c>
      <c r="I478" t="s">
        <v>138</v>
      </c>
      <c r="J478" t="s">
        <v>152</v>
      </c>
      <c r="K478" s="5">
        <f>20 / 86400</f>
        <v>2.3148148148148149E-4</v>
      </c>
      <c r="L478" s="5">
        <f>8 / 86400</f>
        <v>9.2592592592592588E-5</v>
      </c>
    </row>
    <row r="479" spans="1:12" x14ac:dyDescent="0.25">
      <c r="A479" s="3">
        <v>45702.75513888889</v>
      </c>
      <c r="B479" t="s">
        <v>351</v>
      </c>
      <c r="C479" s="3">
        <v>45702.756562499999</v>
      </c>
      <c r="D479" t="s">
        <v>352</v>
      </c>
      <c r="E479" s="4">
        <v>0.17483234840631484</v>
      </c>
      <c r="F479" s="4">
        <v>348256.47135196743</v>
      </c>
      <c r="G479" s="4">
        <v>348256.64618431585</v>
      </c>
      <c r="H479" s="5">
        <f t="shared" si="6"/>
        <v>0</v>
      </c>
      <c r="I479" t="s">
        <v>53</v>
      </c>
      <c r="J479" t="s">
        <v>127</v>
      </c>
      <c r="K479" s="5">
        <f>123 / 86400</f>
        <v>1.4236111111111112E-3</v>
      </c>
      <c r="L479" s="5">
        <f>60 / 86400</f>
        <v>6.9444444444444447E-4</v>
      </c>
    </row>
    <row r="480" spans="1:12" x14ac:dyDescent="0.25">
      <c r="A480" s="3">
        <v>45702.757256944446</v>
      </c>
      <c r="B480" t="s">
        <v>186</v>
      </c>
      <c r="C480" s="3">
        <v>45702.758645833332</v>
      </c>
      <c r="D480" t="s">
        <v>353</v>
      </c>
      <c r="E480" s="4">
        <v>0.56560391080379491</v>
      </c>
      <c r="F480" s="4">
        <v>348256.80753322283</v>
      </c>
      <c r="G480" s="4">
        <v>348257.37313713366</v>
      </c>
      <c r="H480" s="5">
        <f t="shared" si="6"/>
        <v>0</v>
      </c>
      <c r="I480" t="s">
        <v>205</v>
      </c>
      <c r="J480" t="s">
        <v>28</v>
      </c>
      <c r="K480" s="5">
        <f>120 / 86400</f>
        <v>1.3888888888888889E-3</v>
      </c>
      <c r="L480" s="5">
        <f>40 / 86400</f>
        <v>4.6296296296296298E-4</v>
      </c>
    </row>
    <row r="481" spans="1:12" x14ac:dyDescent="0.25">
      <c r="A481" s="3">
        <v>45702.759108796294</v>
      </c>
      <c r="B481" t="s">
        <v>69</v>
      </c>
      <c r="C481" s="3">
        <v>45702.760034722218</v>
      </c>
      <c r="D481" t="s">
        <v>69</v>
      </c>
      <c r="E481" s="4">
        <v>0.23402243500947953</v>
      </c>
      <c r="F481" s="4">
        <v>348257.48281701835</v>
      </c>
      <c r="G481" s="4">
        <v>348257.71683945332</v>
      </c>
      <c r="H481" s="5">
        <f t="shared" si="6"/>
        <v>0</v>
      </c>
      <c r="I481" t="s">
        <v>133</v>
      </c>
      <c r="J481" t="s">
        <v>53</v>
      </c>
      <c r="K481" s="5">
        <f>80 / 86400</f>
        <v>9.2592592592592596E-4</v>
      </c>
      <c r="L481" s="5">
        <f>20 / 86400</f>
        <v>2.3148148148148149E-4</v>
      </c>
    </row>
    <row r="482" spans="1:12" x14ac:dyDescent="0.25">
      <c r="A482" s="3">
        <v>45702.760266203702</v>
      </c>
      <c r="B482" t="s">
        <v>69</v>
      </c>
      <c r="C482" s="3">
        <v>45702.761655092589</v>
      </c>
      <c r="D482" t="s">
        <v>69</v>
      </c>
      <c r="E482" s="4">
        <v>0.22920368313789369</v>
      </c>
      <c r="F482" s="4">
        <v>348257.74483234488</v>
      </c>
      <c r="G482" s="4">
        <v>348257.97403602803</v>
      </c>
      <c r="H482" s="5">
        <f t="shared" si="6"/>
        <v>0</v>
      </c>
      <c r="I482" t="s">
        <v>53</v>
      </c>
      <c r="J482" t="s">
        <v>138</v>
      </c>
      <c r="K482" s="5">
        <f>120 / 86400</f>
        <v>1.3888888888888889E-3</v>
      </c>
      <c r="L482" s="5">
        <f>20 / 86400</f>
        <v>2.3148148148148149E-4</v>
      </c>
    </row>
    <row r="483" spans="1:12" x14ac:dyDescent="0.25">
      <c r="A483" s="3">
        <v>45702.761886574073</v>
      </c>
      <c r="B483" t="s">
        <v>69</v>
      </c>
      <c r="C483" s="3">
        <v>45702.762349537035</v>
      </c>
      <c r="D483" t="s">
        <v>69</v>
      </c>
      <c r="E483" s="4">
        <v>0.10016285800933838</v>
      </c>
      <c r="F483" s="4">
        <v>348257.98967686226</v>
      </c>
      <c r="G483" s="4">
        <v>348258.08983972023</v>
      </c>
      <c r="H483" s="5">
        <f t="shared" si="6"/>
        <v>0</v>
      </c>
      <c r="I483" t="s">
        <v>31</v>
      </c>
      <c r="J483" t="s">
        <v>57</v>
      </c>
      <c r="K483" s="5">
        <f>40 / 86400</f>
        <v>4.6296296296296298E-4</v>
      </c>
      <c r="L483" s="5">
        <f>20 / 86400</f>
        <v>2.3148148148148149E-4</v>
      </c>
    </row>
    <row r="484" spans="1:12" x14ac:dyDescent="0.25">
      <c r="A484" s="3">
        <v>45702.76258101852</v>
      </c>
      <c r="B484" t="s">
        <v>69</v>
      </c>
      <c r="C484" s="3">
        <v>45702.763969907406</v>
      </c>
      <c r="D484" t="s">
        <v>171</v>
      </c>
      <c r="E484" s="4">
        <v>0.61697732663154603</v>
      </c>
      <c r="F484" s="4">
        <v>348258.15338098403</v>
      </c>
      <c r="G484" s="4">
        <v>348258.77035831066</v>
      </c>
      <c r="H484" s="5">
        <f t="shared" si="6"/>
        <v>0</v>
      </c>
      <c r="I484" t="s">
        <v>232</v>
      </c>
      <c r="J484" t="s">
        <v>99</v>
      </c>
      <c r="K484" s="5">
        <f>120 / 86400</f>
        <v>1.3888888888888889E-3</v>
      </c>
      <c r="L484" s="5">
        <f>40 / 86400</f>
        <v>4.6296296296296298E-4</v>
      </c>
    </row>
    <row r="485" spans="1:12" x14ac:dyDescent="0.25">
      <c r="A485" s="3">
        <v>45702.764432870375</v>
      </c>
      <c r="B485" t="s">
        <v>171</v>
      </c>
      <c r="C485" s="3">
        <v>45702.765590277777</v>
      </c>
      <c r="D485" t="s">
        <v>111</v>
      </c>
      <c r="E485" s="4">
        <v>0.62802377301454548</v>
      </c>
      <c r="F485" s="4">
        <v>348258.83352427959</v>
      </c>
      <c r="G485" s="4">
        <v>348259.46154805261</v>
      </c>
      <c r="H485" s="5">
        <f t="shared" si="6"/>
        <v>0</v>
      </c>
      <c r="I485" t="s">
        <v>254</v>
      </c>
      <c r="J485" t="s">
        <v>37</v>
      </c>
      <c r="K485" s="5">
        <f>100 / 86400</f>
        <v>1.1574074074074073E-3</v>
      </c>
      <c r="L485" s="5">
        <f>3 / 86400</f>
        <v>3.4722222222222222E-5</v>
      </c>
    </row>
    <row r="486" spans="1:12" x14ac:dyDescent="0.25">
      <c r="A486" s="3">
        <v>45702.765625</v>
      </c>
      <c r="B486" t="s">
        <v>111</v>
      </c>
      <c r="C486" s="3">
        <v>45702.7659837963</v>
      </c>
      <c r="D486" t="s">
        <v>111</v>
      </c>
      <c r="E486" s="4">
        <v>5.4934796631336213E-2</v>
      </c>
      <c r="F486" s="4">
        <v>348259.46391825215</v>
      </c>
      <c r="G486" s="4">
        <v>348259.51885304879</v>
      </c>
      <c r="H486" s="5">
        <f t="shared" si="6"/>
        <v>0</v>
      </c>
      <c r="I486" t="s">
        <v>138</v>
      </c>
      <c r="J486" t="s">
        <v>132</v>
      </c>
      <c r="K486" s="5">
        <f>31 / 86400</f>
        <v>3.5879629629629629E-4</v>
      </c>
      <c r="L486" s="5">
        <f>5 / 86400</f>
        <v>5.7870370370370373E-5</v>
      </c>
    </row>
    <row r="487" spans="1:12" x14ac:dyDescent="0.25">
      <c r="A487" s="3">
        <v>45702.766041666662</v>
      </c>
      <c r="B487" t="s">
        <v>111</v>
      </c>
      <c r="C487" s="3">
        <v>45702.767893518518</v>
      </c>
      <c r="D487" t="s">
        <v>111</v>
      </c>
      <c r="E487" s="4">
        <v>0.75875286871194836</v>
      </c>
      <c r="F487" s="4">
        <v>348259.5266542437</v>
      </c>
      <c r="G487" s="4">
        <v>348260.28540711245</v>
      </c>
      <c r="H487" s="5">
        <f t="shared" si="6"/>
        <v>0</v>
      </c>
      <c r="I487" t="s">
        <v>236</v>
      </c>
      <c r="J487" t="s">
        <v>28</v>
      </c>
      <c r="K487" s="5">
        <f>160 / 86400</f>
        <v>1.8518518518518519E-3</v>
      </c>
      <c r="L487" s="5">
        <f>20 / 86400</f>
        <v>2.3148148148148149E-4</v>
      </c>
    </row>
    <row r="488" spans="1:12" x14ac:dyDescent="0.25">
      <c r="A488" s="3">
        <v>45702.768125000002</v>
      </c>
      <c r="B488" t="s">
        <v>111</v>
      </c>
      <c r="C488" s="3">
        <v>45702.76835648148</v>
      </c>
      <c r="D488" t="s">
        <v>111</v>
      </c>
      <c r="E488" s="4">
        <v>2.6041291236877442E-2</v>
      </c>
      <c r="F488" s="4">
        <v>348260.3185878045</v>
      </c>
      <c r="G488" s="4">
        <v>348260.34462909575</v>
      </c>
      <c r="H488" s="5">
        <f t="shared" si="6"/>
        <v>0</v>
      </c>
      <c r="I488" t="s">
        <v>120</v>
      </c>
      <c r="J488" t="s">
        <v>127</v>
      </c>
      <c r="K488" s="5">
        <f>20 / 86400</f>
        <v>2.3148148148148149E-4</v>
      </c>
      <c r="L488" s="5">
        <f>20 / 86400</f>
        <v>2.3148148148148149E-4</v>
      </c>
    </row>
    <row r="489" spans="1:12" x14ac:dyDescent="0.25">
      <c r="A489" s="3">
        <v>45702.768587962964</v>
      </c>
      <c r="B489" t="s">
        <v>111</v>
      </c>
      <c r="C489" s="3">
        <v>45702.769050925926</v>
      </c>
      <c r="D489" t="s">
        <v>320</v>
      </c>
      <c r="E489" s="4">
        <v>0.10435661816596985</v>
      </c>
      <c r="F489" s="4">
        <v>348260.35238880571</v>
      </c>
      <c r="G489" s="4">
        <v>348260.45674542384</v>
      </c>
      <c r="H489" s="5">
        <f t="shared" si="6"/>
        <v>0</v>
      </c>
      <c r="I489" t="s">
        <v>123</v>
      </c>
      <c r="J489" t="s">
        <v>57</v>
      </c>
      <c r="K489" s="5">
        <f>40 / 86400</f>
        <v>4.6296296296296298E-4</v>
      </c>
      <c r="L489" s="5">
        <f>20 / 86400</f>
        <v>2.3148148148148149E-4</v>
      </c>
    </row>
    <row r="490" spans="1:12" x14ac:dyDescent="0.25">
      <c r="A490" s="3">
        <v>45702.769282407404</v>
      </c>
      <c r="B490" t="s">
        <v>320</v>
      </c>
      <c r="C490" s="3">
        <v>45702.769745370373</v>
      </c>
      <c r="D490" t="s">
        <v>111</v>
      </c>
      <c r="E490" s="4">
        <v>3.0457256317138671E-2</v>
      </c>
      <c r="F490" s="4">
        <v>348260.47084548144</v>
      </c>
      <c r="G490" s="4">
        <v>348260.5013027378</v>
      </c>
      <c r="H490" s="5">
        <f t="shared" si="6"/>
        <v>0</v>
      </c>
      <c r="I490" t="s">
        <v>120</v>
      </c>
      <c r="J490" t="s">
        <v>152</v>
      </c>
      <c r="K490" s="5">
        <f>40 / 86400</f>
        <v>4.6296296296296298E-4</v>
      </c>
      <c r="L490" s="5">
        <f>20 / 86400</f>
        <v>2.3148148148148149E-4</v>
      </c>
    </row>
    <row r="491" spans="1:12" x14ac:dyDescent="0.25">
      <c r="A491" s="3">
        <v>45702.769976851851</v>
      </c>
      <c r="B491" t="s">
        <v>111</v>
      </c>
      <c r="C491" s="3">
        <v>45702.770925925928</v>
      </c>
      <c r="D491" t="s">
        <v>111</v>
      </c>
      <c r="E491" s="4">
        <v>0.17178924185037614</v>
      </c>
      <c r="F491" s="4">
        <v>348260.50514601235</v>
      </c>
      <c r="G491" s="4">
        <v>348260.67693525419</v>
      </c>
      <c r="H491" s="5">
        <f t="shared" si="6"/>
        <v>0</v>
      </c>
      <c r="I491" t="s">
        <v>62</v>
      </c>
      <c r="J491" t="s">
        <v>123</v>
      </c>
      <c r="K491" s="5">
        <f>82 / 86400</f>
        <v>9.4907407407407408E-4</v>
      </c>
      <c r="L491" s="5">
        <f>31 / 86400</f>
        <v>3.5879629629629629E-4</v>
      </c>
    </row>
    <row r="492" spans="1:12" x14ac:dyDescent="0.25">
      <c r="A492" s="3">
        <v>45702.771284722221</v>
      </c>
      <c r="B492" t="s">
        <v>111</v>
      </c>
      <c r="C492" s="3">
        <v>45702.772210648152</v>
      </c>
      <c r="D492" t="s">
        <v>111</v>
      </c>
      <c r="E492" s="4">
        <v>0.48635902506113055</v>
      </c>
      <c r="F492" s="4">
        <v>348260.68258412252</v>
      </c>
      <c r="G492" s="4">
        <v>348261.16894314758</v>
      </c>
      <c r="H492" s="5">
        <f t="shared" si="6"/>
        <v>0</v>
      </c>
      <c r="I492" t="s">
        <v>189</v>
      </c>
      <c r="J492" t="s">
        <v>130</v>
      </c>
      <c r="K492" s="5">
        <f>80 / 86400</f>
        <v>9.2592592592592596E-4</v>
      </c>
      <c r="L492" s="5">
        <f>3 / 86400</f>
        <v>3.4722222222222222E-5</v>
      </c>
    </row>
    <row r="493" spans="1:12" x14ac:dyDescent="0.25">
      <c r="A493" s="3">
        <v>45702.772245370375</v>
      </c>
      <c r="B493" t="s">
        <v>111</v>
      </c>
      <c r="C493" s="3">
        <v>45702.7731712963</v>
      </c>
      <c r="D493" t="s">
        <v>111</v>
      </c>
      <c r="E493" s="4">
        <v>0.43121056526899337</v>
      </c>
      <c r="F493" s="4">
        <v>348261.17269564909</v>
      </c>
      <c r="G493" s="4">
        <v>348261.60390621435</v>
      </c>
      <c r="H493" s="5">
        <f t="shared" si="6"/>
        <v>0</v>
      </c>
      <c r="I493" t="s">
        <v>131</v>
      </c>
      <c r="J493" t="s">
        <v>99</v>
      </c>
      <c r="K493" s="5">
        <f>80 / 86400</f>
        <v>9.2592592592592596E-4</v>
      </c>
      <c r="L493" s="5">
        <f>11 / 86400</f>
        <v>1.273148148148148E-4</v>
      </c>
    </row>
    <row r="494" spans="1:12" x14ac:dyDescent="0.25">
      <c r="A494" s="3">
        <v>45702.773298611108</v>
      </c>
      <c r="B494" t="s">
        <v>111</v>
      </c>
      <c r="C494" s="3">
        <v>45702.774918981479</v>
      </c>
      <c r="D494" t="s">
        <v>107</v>
      </c>
      <c r="E494" s="4">
        <v>0.82626469236612321</v>
      </c>
      <c r="F494" s="4">
        <v>348261.6057800455</v>
      </c>
      <c r="G494" s="4">
        <v>348262.43204473786</v>
      </c>
      <c r="H494" s="5">
        <f t="shared" si="6"/>
        <v>0</v>
      </c>
      <c r="I494" t="s">
        <v>131</v>
      </c>
      <c r="J494" t="s">
        <v>21</v>
      </c>
      <c r="K494" s="5">
        <f>140 / 86400</f>
        <v>1.6203703703703703E-3</v>
      </c>
      <c r="L494" s="5">
        <f>42 / 86400</f>
        <v>4.861111111111111E-4</v>
      </c>
    </row>
    <row r="495" spans="1:12" x14ac:dyDescent="0.25">
      <c r="A495" s="3">
        <v>45702.775405092594</v>
      </c>
      <c r="B495" t="s">
        <v>107</v>
      </c>
      <c r="C495" s="3">
        <v>45702.777488425927</v>
      </c>
      <c r="D495" t="s">
        <v>111</v>
      </c>
      <c r="E495" s="4">
        <v>1.7436715079545975</v>
      </c>
      <c r="F495" s="4">
        <v>348262.44072102406</v>
      </c>
      <c r="G495" s="4">
        <v>348264.18439253198</v>
      </c>
      <c r="H495" s="5">
        <f t="shared" si="6"/>
        <v>0</v>
      </c>
      <c r="I495" t="s">
        <v>254</v>
      </c>
      <c r="J495" t="s">
        <v>139</v>
      </c>
      <c r="K495" s="5">
        <f>180 / 86400</f>
        <v>2.0833333333333333E-3</v>
      </c>
      <c r="L495" s="5">
        <f>20 / 86400</f>
        <v>2.3148148148148149E-4</v>
      </c>
    </row>
    <row r="496" spans="1:12" x14ac:dyDescent="0.25">
      <c r="A496" s="3">
        <v>45702.777719907404</v>
      </c>
      <c r="B496" t="s">
        <v>111</v>
      </c>
      <c r="C496" s="3">
        <v>45702.777951388889</v>
      </c>
      <c r="D496" t="s">
        <v>111</v>
      </c>
      <c r="E496" s="4">
        <v>3.1105240523815154E-2</v>
      </c>
      <c r="F496" s="4">
        <v>348264.22870273137</v>
      </c>
      <c r="G496" s="4">
        <v>348264.25980797189</v>
      </c>
      <c r="H496" s="5">
        <f t="shared" si="6"/>
        <v>0</v>
      </c>
      <c r="I496" t="s">
        <v>57</v>
      </c>
      <c r="J496" t="s">
        <v>132</v>
      </c>
      <c r="K496" s="5">
        <f>20 / 86400</f>
        <v>2.3148148148148149E-4</v>
      </c>
      <c r="L496" s="5">
        <f>30 / 86400</f>
        <v>3.4722222222222224E-4</v>
      </c>
    </row>
    <row r="497" spans="1:12" x14ac:dyDescent="0.25">
      <c r="A497" s="3">
        <v>45702.778298611112</v>
      </c>
      <c r="B497" t="s">
        <v>111</v>
      </c>
      <c r="C497" s="3">
        <v>45702.779756944445</v>
      </c>
      <c r="D497" t="s">
        <v>354</v>
      </c>
      <c r="E497" s="4">
        <v>0.95377952069044114</v>
      </c>
      <c r="F497" s="4">
        <v>348264.26878425159</v>
      </c>
      <c r="G497" s="4">
        <v>348265.22256377229</v>
      </c>
      <c r="H497" s="5">
        <f t="shared" si="6"/>
        <v>0</v>
      </c>
      <c r="I497" t="s">
        <v>211</v>
      </c>
      <c r="J497" t="s">
        <v>135</v>
      </c>
      <c r="K497" s="5">
        <f>126 / 86400</f>
        <v>1.4583333333333334E-3</v>
      </c>
      <c r="L497" s="5">
        <f>60 / 86400</f>
        <v>6.9444444444444447E-4</v>
      </c>
    </row>
    <row r="498" spans="1:12" x14ac:dyDescent="0.25">
      <c r="A498" s="3">
        <v>45702.780451388884</v>
      </c>
      <c r="B498" t="s">
        <v>321</v>
      </c>
      <c r="C498" s="3">
        <v>45702.780914351853</v>
      </c>
      <c r="D498" t="s">
        <v>321</v>
      </c>
      <c r="E498" s="4">
        <v>3.0147884607315063E-2</v>
      </c>
      <c r="F498" s="4">
        <v>348265.25519557169</v>
      </c>
      <c r="G498" s="4">
        <v>348265.28534345631</v>
      </c>
      <c r="H498" s="5">
        <f t="shared" si="6"/>
        <v>0</v>
      </c>
      <c r="I498" t="s">
        <v>34</v>
      </c>
      <c r="J498" t="s">
        <v>152</v>
      </c>
      <c r="K498" s="5">
        <f>40 / 86400</f>
        <v>4.6296296296296298E-4</v>
      </c>
      <c r="L498" s="5">
        <f>25 / 86400</f>
        <v>2.8935185185185184E-4</v>
      </c>
    </row>
    <row r="499" spans="1:12" x14ac:dyDescent="0.25">
      <c r="A499" s="3">
        <v>45702.781203703707</v>
      </c>
      <c r="B499" t="s">
        <v>355</v>
      </c>
      <c r="C499" s="3">
        <v>45702.782129629632</v>
      </c>
      <c r="D499" t="s">
        <v>80</v>
      </c>
      <c r="E499" s="4">
        <v>0.76433948153257369</v>
      </c>
      <c r="F499" s="4">
        <v>348265.29224712128</v>
      </c>
      <c r="G499" s="4">
        <v>348266.05658660282</v>
      </c>
      <c r="H499" s="5">
        <f t="shared" si="6"/>
        <v>0</v>
      </c>
      <c r="I499" t="s">
        <v>151</v>
      </c>
      <c r="J499" t="s">
        <v>184</v>
      </c>
      <c r="K499" s="5">
        <f>80 / 86400</f>
        <v>9.2592592592592596E-4</v>
      </c>
      <c r="L499" s="5">
        <f>20 / 86400</f>
        <v>2.3148148148148149E-4</v>
      </c>
    </row>
    <row r="500" spans="1:12" x14ac:dyDescent="0.25">
      <c r="A500" s="3">
        <v>45702.782361111109</v>
      </c>
      <c r="B500" t="s">
        <v>80</v>
      </c>
      <c r="C500" s="3">
        <v>45702.782812500001</v>
      </c>
      <c r="D500" t="s">
        <v>322</v>
      </c>
      <c r="E500" s="4">
        <v>3.4406383514404296E-2</v>
      </c>
      <c r="F500" s="4">
        <v>348266.06373623456</v>
      </c>
      <c r="G500" s="4">
        <v>348266.09814261808</v>
      </c>
      <c r="H500" s="5">
        <f t="shared" ref="H500:H508" si="7">0 / 86400</f>
        <v>0</v>
      </c>
      <c r="I500" t="s">
        <v>127</v>
      </c>
      <c r="J500" t="s">
        <v>152</v>
      </c>
      <c r="K500" s="5">
        <f>39 / 86400</f>
        <v>4.5138888888888887E-4</v>
      </c>
      <c r="L500" s="5">
        <f>20 / 86400</f>
        <v>2.3148148148148149E-4</v>
      </c>
    </row>
    <row r="501" spans="1:12" x14ac:dyDescent="0.25">
      <c r="A501" s="3">
        <v>45702.783043981486</v>
      </c>
      <c r="B501" t="s">
        <v>322</v>
      </c>
      <c r="C501" s="3">
        <v>45702.783738425926</v>
      </c>
      <c r="D501" t="s">
        <v>322</v>
      </c>
      <c r="E501" s="4">
        <v>1.6705891013145447E-2</v>
      </c>
      <c r="F501" s="4">
        <v>348266.10816931236</v>
      </c>
      <c r="G501" s="4">
        <v>348266.12487520336</v>
      </c>
      <c r="H501" s="5">
        <f t="shared" si="7"/>
        <v>0</v>
      </c>
      <c r="I501" t="s">
        <v>120</v>
      </c>
      <c r="J501" t="s">
        <v>120</v>
      </c>
      <c r="K501" s="5">
        <f>60 / 86400</f>
        <v>6.9444444444444447E-4</v>
      </c>
      <c r="L501" s="5">
        <f>5 / 86400</f>
        <v>5.7870370370370373E-5</v>
      </c>
    </row>
    <row r="502" spans="1:12" x14ac:dyDescent="0.25">
      <c r="A502" s="3">
        <v>45702.783796296295</v>
      </c>
      <c r="B502" t="s">
        <v>323</v>
      </c>
      <c r="C502" s="3">
        <v>45702.787499999999</v>
      </c>
      <c r="D502" t="s">
        <v>180</v>
      </c>
      <c r="E502" s="4">
        <v>2.5133303335905075</v>
      </c>
      <c r="F502" s="4">
        <v>348266.13212730607</v>
      </c>
      <c r="G502" s="4">
        <v>348268.64545763971</v>
      </c>
      <c r="H502" s="5">
        <f t="shared" si="7"/>
        <v>0</v>
      </c>
      <c r="I502" t="s">
        <v>212</v>
      </c>
      <c r="J502" t="s">
        <v>178</v>
      </c>
      <c r="K502" s="5">
        <f>320 / 86400</f>
        <v>3.7037037037037038E-3</v>
      </c>
      <c r="L502" s="5">
        <f>40 / 86400</f>
        <v>4.6296296296296298E-4</v>
      </c>
    </row>
    <row r="503" spans="1:12" x14ac:dyDescent="0.25">
      <c r="A503" s="3">
        <v>45702.787962962961</v>
      </c>
      <c r="B503" t="s">
        <v>177</v>
      </c>
      <c r="C503" s="3">
        <v>45702.788657407407</v>
      </c>
      <c r="D503" t="s">
        <v>176</v>
      </c>
      <c r="E503" s="4">
        <v>0.33359158140420914</v>
      </c>
      <c r="F503" s="4">
        <v>348268.72559110826</v>
      </c>
      <c r="G503" s="4">
        <v>348269.05918268964</v>
      </c>
      <c r="H503" s="5">
        <f t="shared" si="7"/>
        <v>0</v>
      </c>
      <c r="I503" t="s">
        <v>147</v>
      </c>
      <c r="J503" t="s">
        <v>145</v>
      </c>
      <c r="K503" s="5">
        <f>60 / 86400</f>
        <v>6.9444444444444447E-4</v>
      </c>
      <c r="L503" s="5">
        <f>11 / 86400</f>
        <v>1.273148148148148E-4</v>
      </c>
    </row>
    <row r="504" spans="1:12" x14ac:dyDescent="0.25">
      <c r="A504" s="3">
        <v>45702.788784722223</v>
      </c>
      <c r="B504" t="s">
        <v>176</v>
      </c>
      <c r="C504" s="3">
        <v>45702.789537037039</v>
      </c>
      <c r="D504" t="s">
        <v>177</v>
      </c>
      <c r="E504" s="4">
        <v>0.34217214918136596</v>
      </c>
      <c r="F504" s="4">
        <v>348269.06259155547</v>
      </c>
      <c r="G504" s="4">
        <v>348269.40476370463</v>
      </c>
      <c r="H504" s="5">
        <f t="shared" si="7"/>
        <v>0</v>
      </c>
      <c r="I504" t="s">
        <v>206</v>
      </c>
      <c r="J504" t="s">
        <v>99</v>
      </c>
      <c r="K504" s="5">
        <f>65 / 86400</f>
        <v>7.5231481481481482E-4</v>
      </c>
      <c r="L504" s="5">
        <f>60 / 86400</f>
        <v>6.9444444444444447E-4</v>
      </c>
    </row>
    <row r="505" spans="1:12" x14ac:dyDescent="0.25">
      <c r="A505" s="3">
        <v>45702.790231481486</v>
      </c>
      <c r="B505" t="s">
        <v>180</v>
      </c>
      <c r="C505" s="3">
        <v>45702.79241898148</v>
      </c>
      <c r="D505" t="s">
        <v>80</v>
      </c>
      <c r="E505" s="4">
        <v>2.0029473061561585</v>
      </c>
      <c r="F505" s="4">
        <v>348269.42147152364</v>
      </c>
      <c r="G505" s="4">
        <v>348271.42441882979</v>
      </c>
      <c r="H505" s="5">
        <f t="shared" si="7"/>
        <v>0</v>
      </c>
      <c r="I505" t="s">
        <v>183</v>
      </c>
      <c r="J505" t="s">
        <v>205</v>
      </c>
      <c r="K505" s="5">
        <f>189 / 86400</f>
        <v>2.1875000000000002E-3</v>
      </c>
      <c r="L505" s="5">
        <f>1760 / 86400</f>
        <v>2.0370370370370372E-2</v>
      </c>
    </row>
    <row r="506" spans="1:12" x14ac:dyDescent="0.25">
      <c r="A506" s="3">
        <v>45702.812789351854</v>
      </c>
      <c r="B506" t="s">
        <v>80</v>
      </c>
      <c r="C506" s="3">
        <v>45702.813067129631</v>
      </c>
      <c r="D506" t="s">
        <v>104</v>
      </c>
      <c r="E506" s="4">
        <v>1.7272363960742949E-2</v>
      </c>
      <c r="F506" s="4">
        <v>348271.43525501055</v>
      </c>
      <c r="G506" s="4">
        <v>348271.45252737449</v>
      </c>
      <c r="H506" s="5">
        <f t="shared" si="7"/>
        <v>0</v>
      </c>
      <c r="I506" t="s">
        <v>132</v>
      </c>
      <c r="J506" t="s">
        <v>152</v>
      </c>
      <c r="K506" s="5">
        <f>24 / 86400</f>
        <v>2.7777777777777778E-4</v>
      </c>
      <c r="L506" s="5">
        <f>4 / 86400</f>
        <v>4.6296296296296294E-5</v>
      </c>
    </row>
    <row r="507" spans="1:12" x14ac:dyDescent="0.25">
      <c r="A507" s="3">
        <v>45702.813113425931</v>
      </c>
      <c r="B507" t="s">
        <v>104</v>
      </c>
      <c r="C507" s="3">
        <v>45702.815000000002</v>
      </c>
      <c r="D507" t="s">
        <v>104</v>
      </c>
      <c r="E507" s="4">
        <v>2.263210791170597</v>
      </c>
      <c r="F507" s="4">
        <v>348271.45421475591</v>
      </c>
      <c r="G507" s="4">
        <v>348273.71742554707</v>
      </c>
      <c r="H507" s="5">
        <f t="shared" si="7"/>
        <v>0</v>
      </c>
      <c r="I507" t="s">
        <v>56</v>
      </c>
      <c r="J507" t="s">
        <v>163</v>
      </c>
      <c r="K507" s="5">
        <f>163 / 86400</f>
        <v>1.8865740740740742E-3</v>
      </c>
      <c r="L507" s="5">
        <f>20 / 86400</f>
        <v>2.3148148148148149E-4</v>
      </c>
    </row>
    <row r="508" spans="1:12" x14ac:dyDescent="0.25">
      <c r="A508" s="3">
        <v>45702.81523148148</v>
      </c>
      <c r="B508" t="s">
        <v>104</v>
      </c>
      <c r="C508" s="3">
        <v>45702.817962962959</v>
      </c>
      <c r="D508" t="s">
        <v>29</v>
      </c>
      <c r="E508" s="4">
        <v>0.88181728154420858</v>
      </c>
      <c r="F508" s="4">
        <v>348273.80205511476</v>
      </c>
      <c r="G508" s="4">
        <v>348274.6838723963</v>
      </c>
      <c r="H508" s="5">
        <f t="shared" si="7"/>
        <v>0</v>
      </c>
      <c r="I508" t="s">
        <v>196</v>
      </c>
      <c r="J508" t="s">
        <v>35</v>
      </c>
      <c r="K508" s="5">
        <f>236 / 86400</f>
        <v>2.7314814814814814E-3</v>
      </c>
      <c r="L508" s="5">
        <f>15727 / 86400</f>
        <v>0.18202546296296296</v>
      </c>
    </row>
    <row r="509" spans="1:1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2" s="10" customFormat="1" ht="20.100000000000001" customHeight="1" x14ac:dyDescent="0.35">
      <c r="A511" s="15" t="s">
        <v>426</v>
      </c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2" ht="30" x14ac:dyDescent="0.25">
      <c r="A513" s="2" t="s">
        <v>6</v>
      </c>
      <c r="B513" s="2" t="s">
        <v>7</v>
      </c>
      <c r="C513" s="2" t="s">
        <v>8</v>
      </c>
      <c r="D513" s="2" t="s">
        <v>9</v>
      </c>
      <c r="E513" s="2" t="s">
        <v>10</v>
      </c>
      <c r="F513" s="2" t="s">
        <v>11</v>
      </c>
      <c r="G513" s="2" t="s">
        <v>12</v>
      </c>
      <c r="H513" s="2" t="s">
        <v>13</v>
      </c>
      <c r="I513" s="2" t="s">
        <v>14</v>
      </c>
      <c r="J513" s="2" t="s">
        <v>15</v>
      </c>
      <c r="K513" s="2" t="s">
        <v>16</v>
      </c>
      <c r="L513" s="2" t="s">
        <v>17</v>
      </c>
    </row>
    <row r="514" spans="1:12" x14ac:dyDescent="0.25">
      <c r="A514" s="3">
        <v>45702.169594907406</v>
      </c>
      <c r="B514" t="s">
        <v>38</v>
      </c>
      <c r="C514" s="3">
        <v>45702.417604166665</v>
      </c>
      <c r="D514" t="s">
        <v>124</v>
      </c>
      <c r="E514" s="4">
        <v>83.843000000000004</v>
      </c>
      <c r="F514" s="4">
        <v>484197.77100000001</v>
      </c>
      <c r="G514" s="4">
        <v>484281.614</v>
      </c>
      <c r="H514" s="5">
        <f>8904 / 86400</f>
        <v>0.10305555555555555</v>
      </c>
      <c r="I514" t="s">
        <v>235</v>
      </c>
      <c r="J514" t="s">
        <v>59</v>
      </c>
      <c r="K514" s="5">
        <f>21427 / 86400</f>
        <v>0.2479976851851852</v>
      </c>
      <c r="L514" s="5">
        <f>17728 / 86400</f>
        <v>0.20518518518518519</v>
      </c>
    </row>
    <row r="515" spans="1:12" x14ac:dyDescent="0.25">
      <c r="A515" s="3">
        <v>45702.453194444446</v>
      </c>
      <c r="B515" t="s">
        <v>124</v>
      </c>
      <c r="C515" s="3">
        <v>45702.644108796296</v>
      </c>
      <c r="D515" t="s">
        <v>38</v>
      </c>
      <c r="E515" s="4">
        <v>77.334999999999994</v>
      </c>
      <c r="F515" s="4">
        <v>484281.614</v>
      </c>
      <c r="G515" s="4">
        <v>484358.94900000002</v>
      </c>
      <c r="H515" s="5">
        <f>5358 / 86400</f>
        <v>6.2013888888888889E-2</v>
      </c>
      <c r="I515" t="s">
        <v>39</v>
      </c>
      <c r="J515" t="s">
        <v>28</v>
      </c>
      <c r="K515" s="5">
        <f>16494 / 86400</f>
        <v>0.19090277777777778</v>
      </c>
      <c r="L515" s="5">
        <f>30748 / 86400</f>
        <v>0.35587962962962966</v>
      </c>
    </row>
    <row r="516" spans="1:1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2" s="10" customFormat="1" ht="20.100000000000001" customHeight="1" x14ac:dyDescent="0.35">
      <c r="A518" s="15" t="s">
        <v>427</v>
      </c>
      <c r="B518" s="15"/>
      <c r="C518" s="15"/>
      <c r="D518" s="15"/>
      <c r="E518" s="15"/>
      <c r="F518" s="15"/>
      <c r="G518" s="15"/>
      <c r="H518" s="15"/>
      <c r="I518" s="15"/>
      <c r="J518" s="15"/>
    </row>
    <row r="519" spans="1:1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2" ht="30" x14ac:dyDescent="0.25">
      <c r="A520" s="2" t="s">
        <v>6</v>
      </c>
      <c r="B520" s="2" t="s">
        <v>7</v>
      </c>
      <c r="C520" s="2" t="s">
        <v>8</v>
      </c>
      <c r="D520" s="2" t="s">
        <v>9</v>
      </c>
      <c r="E520" s="2" t="s">
        <v>10</v>
      </c>
      <c r="F520" s="2" t="s">
        <v>11</v>
      </c>
      <c r="G520" s="2" t="s">
        <v>12</v>
      </c>
      <c r="H520" s="2" t="s">
        <v>13</v>
      </c>
      <c r="I520" s="2" t="s">
        <v>14</v>
      </c>
      <c r="J520" s="2" t="s">
        <v>15</v>
      </c>
      <c r="K520" s="2" t="s">
        <v>16</v>
      </c>
      <c r="L520" s="2" t="s">
        <v>17</v>
      </c>
    </row>
    <row r="521" spans="1:12" x14ac:dyDescent="0.25">
      <c r="A521" s="3">
        <v>45702.130879629629</v>
      </c>
      <c r="B521" t="s">
        <v>40</v>
      </c>
      <c r="C521" s="3">
        <v>45702.325879629629</v>
      </c>
      <c r="D521" t="s">
        <v>124</v>
      </c>
      <c r="E521" s="4">
        <v>106.77800000000001</v>
      </c>
      <c r="F521" s="4">
        <v>508324.33500000002</v>
      </c>
      <c r="G521" s="4">
        <v>508431.11300000001</v>
      </c>
      <c r="H521" s="5">
        <f>3639 / 86400</f>
        <v>4.2118055555555554E-2</v>
      </c>
      <c r="I521" t="s">
        <v>42</v>
      </c>
      <c r="J521" t="s">
        <v>37</v>
      </c>
      <c r="K521" s="5">
        <f>16847 / 86400</f>
        <v>0.19498842592592591</v>
      </c>
      <c r="L521" s="5">
        <f>12651 / 86400</f>
        <v>0.1464236111111111</v>
      </c>
    </row>
    <row r="522" spans="1:12" x14ac:dyDescent="0.25">
      <c r="A522" s="3">
        <v>45702.341423611113</v>
      </c>
      <c r="B522" t="s">
        <v>124</v>
      </c>
      <c r="C522" s="3">
        <v>45702.346516203703</v>
      </c>
      <c r="D522" t="s">
        <v>356</v>
      </c>
      <c r="E522" s="4">
        <v>1.6120000000000001</v>
      </c>
      <c r="F522" s="4">
        <v>508431.11300000001</v>
      </c>
      <c r="G522" s="4">
        <v>508432.72499999998</v>
      </c>
      <c r="H522" s="5">
        <f>20 / 86400</f>
        <v>2.3148148148148149E-4</v>
      </c>
      <c r="I522" t="s">
        <v>178</v>
      </c>
      <c r="J522" t="s">
        <v>35</v>
      </c>
      <c r="K522" s="5">
        <f>440 / 86400</f>
        <v>5.092592592592593E-3</v>
      </c>
      <c r="L522" s="5">
        <f>385 / 86400</f>
        <v>4.4560185185185189E-3</v>
      </c>
    </row>
    <row r="523" spans="1:12" x14ac:dyDescent="0.25">
      <c r="A523" s="3">
        <v>45702.350972222222</v>
      </c>
      <c r="B523" t="s">
        <v>356</v>
      </c>
      <c r="C523" s="3">
        <v>45702.355532407411</v>
      </c>
      <c r="D523" t="s">
        <v>48</v>
      </c>
      <c r="E523" s="4">
        <v>1.286</v>
      </c>
      <c r="F523" s="4">
        <v>508432.72499999998</v>
      </c>
      <c r="G523" s="4">
        <v>508434.011</v>
      </c>
      <c r="H523" s="5">
        <f>40 / 86400</f>
        <v>4.6296296296296298E-4</v>
      </c>
      <c r="I523" t="s">
        <v>122</v>
      </c>
      <c r="J523" t="s">
        <v>62</v>
      </c>
      <c r="K523" s="5">
        <f>394 / 86400</f>
        <v>4.5601851851851853E-3</v>
      </c>
      <c r="L523" s="5">
        <f>761 / 86400</f>
        <v>8.8078703703703704E-3</v>
      </c>
    </row>
    <row r="524" spans="1:12" x14ac:dyDescent="0.25">
      <c r="A524" s="3">
        <v>45702.364340277782</v>
      </c>
      <c r="B524" t="s">
        <v>48</v>
      </c>
      <c r="C524" s="3">
        <v>45702.365150462967</v>
      </c>
      <c r="D524" t="s">
        <v>48</v>
      </c>
      <c r="E524" s="4">
        <v>0.11</v>
      </c>
      <c r="F524" s="4">
        <v>508434.011</v>
      </c>
      <c r="G524" s="4">
        <v>508434.12099999998</v>
      </c>
      <c r="H524" s="5">
        <f>0 / 86400</f>
        <v>0</v>
      </c>
      <c r="I524" t="s">
        <v>123</v>
      </c>
      <c r="J524" t="s">
        <v>132</v>
      </c>
      <c r="K524" s="5">
        <f>70 / 86400</f>
        <v>8.1018518518518516E-4</v>
      </c>
      <c r="L524" s="5">
        <f>14209 / 86400</f>
        <v>0.16445601851851852</v>
      </c>
    </row>
    <row r="525" spans="1:12" x14ac:dyDescent="0.25">
      <c r="A525" s="3">
        <v>45702.529606481483</v>
      </c>
      <c r="B525" t="s">
        <v>48</v>
      </c>
      <c r="C525" s="3">
        <v>45702.682129629626</v>
      </c>
      <c r="D525" t="s">
        <v>357</v>
      </c>
      <c r="E525" s="4">
        <v>51.517000000000003</v>
      </c>
      <c r="F525" s="4">
        <v>508434.12099999998</v>
      </c>
      <c r="G525" s="4">
        <v>508485.63799999998</v>
      </c>
      <c r="H525" s="5">
        <f>5298 / 86400</f>
        <v>6.1319444444444447E-2</v>
      </c>
      <c r="I525" t="s">
        <v>44</v>
      </c>
      <c r="J525" t="s">
        <v>59</v>
      </c>
      <c r="K525" s="5">
        <f>13177 / 86400</f>
        <v>0.15251157407407406</v>
      </c>
      <c r="L525" s="5">
        <f>720 / 86400</f>
        <v>8.3333333333333332E-3</v>
      </c>
    </row>
    <row r="526" spans="1:12" x14ac:dyDescent="0.25">
      <c r="A526" s="3">
        <v>45702.690462962964</v>
      </c>
      <c r="B526" t="s">
        <v>357</v>
      </c>
      <c r="C526" s="3">
        <v>45702.843784722223</v>
      </c>
      <c r="D526" t="s">
        <v>128</v>
      </c>
      <c r="E526" s="4">
        <v>50.298000000000002</v>
      </c>
      <c r="F526" s="4">
        <v>508485.63799999998</v>
      </c>
      <c r="G526" s="4">
        <v>508535.93599999999</v>
      </c>
      <c r="H526" s="5">
        <f>4701 / 86400</f>
        <v>5.440972222222222E-2</v>
      </c>
      <c r="I526" t="s">
        <v>67</v>
      </c>
      <c r="J526" t="s">
        <v>59</v>
      </c>
      <c r="K526" s="5">
        <f>13247 / 86400</f>
        <v>0.15332175925925925</v>
      </c>
      <c r="L526" s="5">
        <f>515 / 86400</f>
        <v>5.9606481481481481E-3</v>
      </c>
    </row>
    <row r="527" spans="1:12" x14ac:dyDescent="0.25">
      <c r="A527" s="3">
        <v>45702.849745370375</v>
      </c>
      <c r="B527" t="s">
        <v>128</v>
      </c>
      <c r="C527" s="3">
        <v>45702.853113425925</v>
      </c>
      <c r="D527" t="s">
        <v>48</v>
      </c>
      <c r="E527" s="4">
        <v>0.90600000000000003</v>
      </c>
      <c r="F527" s="4">
        <v>508535.93599999999</v>
      </c>
      <c r="G527" s="4">
        <v>508536.842</v>
      </c>
      <c r="H527" s="5">
        <f>60 / 86400</f>
        <v>6.9444444444444447E-4</v>
      </c>
      <c r="I527" t="s">
        <v>184</v>
      </c>
      <c r="J527" t="s">
        <v>53</v>
      </c>
      <c r="K527" s="5">
        <f>291 / 86400</f>
        <v>3.3680555555555556E-3</v>
      </c>
      <c r="L527" s="5">
        <f>359 / 86400</f>
        <v>4.1550925925925922E-3</v>
      </c>
    </row>
    <row r="528" spans="1:12" x14ac:dyDescent="0.25">
      <c r="A528" s="3">
        <v>45702.857268518521</v>
      </c>
      <c r="B528" t="s">
        <v>48</v>
      </c>
      <c r="C528" s="3">
        <v>45702.863136574073</v>
      </c>
      <c r="D528" t="s">
        <v>41</v>
      </c>
      <c r="E528" s="4">
        <v>0.86099999999999999</v>
      </c>
      <c r="F528" s="4">
        <v>508536.842</v>
      </c>
      <c r="G528" s="4">
        <v>508537.70299999998</v>
      </c>
      <c r="H528" s="5">
        <f>200 / 86400</f>
        <v>2.3148148148148147E-3</v>
      </c>
      <c r="I528" t="s">
        <v>145</v>
      </c>
      <c r="J528" t="s">
        <v>132</v>
      </c>
      <c r="K528" s="5">
        <f>507 / 86400</f>
        <v>5.8680555555555552E-3</v>
      </c>
      <c r="L528" s="5">
        <f>11824 / 86400</f>
        <v>0.13685185185185186</v>
      </c>
    </row>
    <row r="529" spans="1:1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 spans="1:12" s="10" customFormat="1" ht="20.100000000000001" customHeight="1" x14ac:dyDescent="0.35">
      <c r="A531" s="15" t="s">
        <v>428</v>
      </c>
      <c r="B531" s="15"/>
      <c r="C531" s="15"/>
      <c r="D531" s="15"/>
      <c r="E531" s="15"/>
      <c r="F531" s="15"/>
      <c r="G531" s="15"/>
      <c r="H531" s="15"/>
      <c r="I531" s="15"/>
      <c r="J531" s="15"/>
    </row>
    <row r="532" spans="1:1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2" ht="30" x14ac:dyDescent="0.25">
      <c r="A533" s="2" t="s">
        <v>6</v>
      </c>
      <c r="B533" s="2" t="s">
        <v>7</v>
      </c>
      <c r="C533" s="2" t="s">
        <v>8</v>
      </c>
      <c r="D533" s="2" t="s">
        <v>9</v>
      </c>
      <c r="E533" s="2" t="s">
        <v>10</v>
      </c>
      <c r="F533" s="2" t="s">
        <v>11</v>
      </c>
      <c r="G533" s="2" t="s">
        <v>12</v>
      </c>
      <c r="H533" s="2" t="s">
        <v>13</v>
      </c>
      <c r="I533" s="2" t="s">
        <v>14</v>
      </c>
      <c r="J533" s="2" t="s">
        <v>15</v>
      </c>
      <c r="K533" s="2" t="s">
        <v>16</v>
      </c>
      <c r="L533" s="2" t="s">
        <v>17</v>
      </c>
    </row>
    <row r="534" spans="1:12" x14ac:dyDescent="0.25">
      <c r="A534" s="3">
        <v>45702.243530092594</v>
      </c>
      <c r="B534" t="s">
        <v>43</v>
      </c>
      <c r="C534" s="3">
        <v>45702.245671296296</v>
      </c>
      <c r="D534" t="s">
        <v>358</v>
      </c>
      <c r="E534" s="4">
        <v>0.32500000000000001</v>
      </c>
      <c r="F534" s="4">
        <v>407968.97399999999</v>
      </c>
      <c r="G534" s="4">
        <v>407969.299</v>
      </c>
      <c r="H534" s="5">
        <f>59 / 86400</f>
        <v>6.8287037037037036E-4</v>
      </c>
      <c r="I534" t="s">
        <v>21</v>
      </c>
      <c r="J534" t="s">
        <v>132</v>
      </c>
      <c r="K534" s="5">
        <f>184 / 86400</f>
        <v>2.1296296296296298E-3</v>
      </c>
      <c r="L534" s="5">
        <f>21042 / 86400</f>
        <v>0.24354166666666666</v>
      </c>
    </row>
    <row r="535" spans="1:12" x14ac:dyDescent="0.25">
      <c r="A535" s="3">
        <v>45702.245682870373</v>
      </c>
      <c r="B535" t="s">
        <v>358</v>
      </c>
      <c r="C535" s="3">
        <v>45702.249490740738</v>
      </c>
      <c r="D535" t="s">
        <v>125</v>
      </c>
      <c r="E535" s="4">
        <v>1.3009999999999999</v>
      </c>
      <c r="F535" s="4">
        <v>407969.30499999999</v>
      </c>
      <c r="G535" s="4">
        <v>407970.60600000003</v>
      </c>
      <c r="H535" s="5">
        <f>0 / 86400</f>
        <v>0</v>
      </c>
      <c r="I535" t="s">
        <v>37</v>
      </c>
      <c r="J535" t="s">
        <v>59</v>
      </c>
      <c r="K535" s="5">
        <f>329 / 86400</f>
        <v>3.8078703703703703E-3</v>
      </c>
      <c r="L535" s="5">
        <f>635 / 86400</f>
        <v>7.3495370370370372E-3</v>
      </c>
    </row>
    <row r="536" spans="1:12" x14ac:dyDescent="0.25">
      <c r="A536" s="3">
        <v>45702.256840277776</v>
      </c>
      <c r="B536" t="s">
        <v>125</v>
      </c>
      <c r="C536" s="3">
        <v>45702.260324074072</v>
      </c>
      <c r="D536" t="s">
        <v>82</v>
      </c>
      <c r="E536" s="4">
        <v>0.67</v>
      </c>
      <c r="F536" s="4">
        <v>407970.60600000003</v>
      </c>
      <c r="G536" s="4">
        <v>407971.27600000001</v>
      </c>
      <c r="H536" s="5">
        <f>140 / 86400</f>
        <v>1.6203703703703703E-3</v>
      </c>
      <c r="I536" t="s">
        <v>145</v>
      </c>
      <c r="J536" t="s">
        <v>123</v>
      </c>
      <c r="K536" s="5">
        <f>301 / 86400</f>
        <v>3.4837962962962965E-3</v>
      </c>
      <c r="L536" s="5">
        <f>1020 / 86400</f>
        <v>1.1805555555555555E-2</v>
      </c>
    </row>
    <row r="537" spans="1:12" x14ac:dyDescent="0.25">
      <c r="A537" s="3">
        <v>45702.272129629629</v>
      </c>
      <c r="B537" t="s">
        <v>82</v>
      </c>
      <c r="C537" s="3">
        <v>45702.273657407408</v>
      </c>
      <c r="D537" t="s">
        <v>137</v>
      </c>
      <c r="E537" s="4">
        <v>0.47699999999999998</v>
      </c>
      <c r="F537" s="4">
        <v>407971.27600000001</v>
      </c>
      <c r="G537" s="4">
        <v>407971.75300000003</v>
      </c>
      <c r="H537" s="5">
        <f>0 / 86400</f>
        <v>0</v>
      </c>
      <c r="I537" t="s">
        <v>145</v>
      </c>
      <c r="J537" t="s">
        <v>35</v>
      </c>
      <c r="K537" s="5">
        <f>132 / 86400</f>
        <v>1.5277777777777779E-3</v>
      </c>
      <c r="L537" s="5">
        <f>151 / 86400</f>
        <v>1.7476851851851852E-3</v>
      </c>
    </row>
    <row r="538" spans="1:12" x14ac:dyDescent="0.25">
      <c r="A538" s="3">
        <v>45702.275405092594</v>
      </c>
      <c r="B538" t="s">
        <v>137</v>
      </c>
      <c r="C538" s="3">
        <v>45702.27652777778</v>
      </c>
      <c r="D538" t="s">
        <v>137</v>
      </c>
      <c r="E538" s="4">
        <v>0.16700000000000001</v>
      </c>
      <c r="F538" s="4">
        <v>407971.75300000003</v>
      </c>
      <c r="G538" s="4">
        <v>407971.92</v>
      </c>
      <c r="H538" s="5">
        <f>40 / 86400</f>
        <v>4.6296296296296298E-4</v>
      </c>
      <c r="I538" t="s">
        <v>24</v>
      </c>
      <c r="J538" t="s">
        <v>132</v>
      </c>
      <c r="K538" s="5">
        <f>97 / 86400</f>
        <v>1.1226851851851851E-3</v>
      </c>
      <c r="L538" s="5">
        <f>668 / 86400</f>
        <v>7.7314814814814815E-3</v>
      </c>
    </row>
    <row r="539" spans="1:12" x14ac:dyDescent="0.25">
      <c r="A539" s="3">
        <v>45702.284259259264</v>
      </c>
      <c r="B539" t="s">
        <v>137</v>
      </c>
      <c r="C539" s="3">
        <v>45702.28429398148</v>
      </c>
      <c r="D539" t="s">
        <v>137</v>
      </c>
      <c r="E539" s="4">
        <v>0</v>
      </c>
      <c r="F539" s="4">
        <v>407971.92</v>
      </c>
      <c r="G539" s="4">
        <v>407971.92</v>
      </c>
      <c r="H539" s="5">
        <f>0 / 86400</f>
        <v>0</v>
      </c>
      <c r="I539" t="s">
        <v>88</v>
      </c>
      <c r="J539" t="s">
        <v>88</v>
      </c>
      <c r="K539" s="5">
        <f>2 / 86400</f>
        <v>2.3148148148148147E-5</v>
      </c>
      <c r="L539" s="5">
        <f>2 / 86400</f>
        <v>2.3148148148148147E-5</v>
      </c>
    </row>
    <row r="540" spans="1:12" x14ac:dyDescent="0.25">
      <c r="A540" s="3">
        <v>45702.284317129626</v>
      </c>
      <c r="B540" t="s">
        <v>137</v>
      </c>
      <c r="C540" s="3">
        <v>45702.286747685182</v>
      </c>
      <c r="D540" t="s">
        <v>137</v>
      </c>
      <c r="E540" s="4">
        <v>3.3000000000000002E-2</v>
      </c>
      <c r="F540" s="4">
        <v>407971.92</v>
      </c>
      <c r="G540" s="4">
        <v>407971.95299999998</v>
      </c>
      <c r="H540" s="5">
        <f>194 / 86400</f>
        <v>2.2453703703703702E-3</v>
      </c>
      <c r="I540" t="s">
        <v>123</v>
      </c>
      <c r="J540" t="s">
        <v>120</v>
      </c>
      <c r="K540" s="5">
        <f>210 / 86400</f>
        <v>2.4305555555555556E-3</v>
      </c>
      <c r="L540" s="5">
        <f>48 / 86400</f>
        <v>5.5555555555555556E-4</v>
      </c>
    </row>
    <row r="541" spans="1:12" x14ac:dyDescent="0.25">
      <c r="A541" s="3">
        <v>45702.287303240737</v>
      </c>
      <c r="B541" t="s">
        <v>137</v>
      </c>
      <c r="C541" s="3">
        <v>45702.287499999999</v>
      </c>
      <c r="D541" t="s">
        <v>137</v>
      </c>
      <c r="E541" s="4">
        <v>0</v>
      </c>
      <c r="F541" s="4">
        <v>407971.95299999998</v>
      </c>
      <c r="G541" s="4">
        <v>407971.95299999998</v>
      </c>
      <c r="H541" s="5">
        <f>0 / 86400</f>
        <v>0</v>
      </c>
      <c r="I541" t="s">
        <v>88</v>
      </c>
      <c r="J541" t="s">
        <v>88</v>
      </c>
      <c r="K541" s="5">
        <f>16 / 86400</f>
        <v>1.8518518518518518E-4</v>
      </c>
      <c r="L541" s="5">
        <f>1895 / 86400</f>
        <v>2.193287037037037E-2</v>
      </c>
    </row>
    <row r="542" spans="1:12" x14ac:dyDescent="0.25">
      <c r="A542" s="3">
        <v>45702.309432870374</v>
      </c>
      <c r="B542" t="s">
        <v>137</v>
      </c>
      <c r="C542" s="3">
        <v>45702.310543981483</v>
      </c>
      <c r="D542" t="s">
        <v>144</v>
      </c>
      <c r="E542" s="4">
        <v>0.23300000000000001</v>
      </c>
      <c r="F542" s="4">
        <v>407971.95299999998</v>
      </c>
      <c r="G542" s="4">
        <v>407972.18599999999</v>
      </c>
      <c r="H542" s="5">
        <f>19 / 86400</f>
        <v>2.199074074074074E-4</v>
      </c>
      <c r="I542" t="s">
        <v>35</v>
      </c>
      <c r="J542" t="s">
        <v>57</v>
      </c>
      <c r="K542" s="5">
        <f>95 / 86400</f>
        <v>1.0995370370370371E-3</v>
      </c>
      <c r="L542" s="5">
        <f>5582 / 86400</f>
        <v>6.4606481481481487E-2</v>
      </c>
    </row>
    <row r="543" spans="1:12" x14ac:dyDescent="0.25">
      <c r="A543" s="3">
        <v>45702.375150462962</v>
      </c>
      <c r="B543" t="s">
        <v>144</v>
      </c>
      <c r="C543" s="3">
        <v>45702.51357638889</v>
      </c>
      <c r="D543" t="s">
        <v>359</v>
      </c>
      <c r="E543" s="4">
        <v>49.828000000000003</v>
      </c>
      <c r="F543" s="4">
        <v>407972.18599999999</v>
      </c>
      <c r="G543" s="4">
        <v>408022.01400000002</v>
      </c>
      <c r="H543" s="5">
        <f>4256 / 86400</f>
        <v>4.925925925925926E-2</v>
      </c>
      <c r="I543" t="s">
        <v>44</v>
      </c>
      <c r="J543" t="s">
        <v>31</v>
      </c>
      <c r="K543" s="5">
        <f>11959 / 86400</f>
        <v>0.13841435185185186</v>
      </c>
      <c r="L543" s="5">
        <f>2422 / 86400</f>
        <v>2.8032407407407409E-2</v>
      </c>
    </row>
    <row r="544" spans="1:12" x14ac:dyDescent="0.25">
      <c r="A544" s="3">
        <v>45702.541608796295</v>
      </c>
      <c r="B544" t="s">
        <v>359</v>
      </c>
      <c r="C544" s="3">
        <v>45702.545173611114</v>
      </c>
      <c r="D544" t="s">
        <v>360</v>
      </c>
      <c r="E544" s="4">
        <v>0.495</v>
      </c>
      <c r="F544" s="4">
        <v>408022.01400000002</v>
      </c>
      <c r="G544" s="4">
        <v>408022.50900000002</v>
      </c>
      <c r="H544" s="5">
        <f>140 / 86400</f>
        <v>1.6203703703703703E-3</v>
      </c>
      <c r="I544" t="s">
        <v>145</v>
      </c>
      <c r="J544" t="s">
        <v>132</v>
      </c>
      <c r="K544" s="5">
        <f>308 / 86400</f>
        <v>3.5648148148148149E-3</v>
      </c>
      <c r="L544" s="5">
        <f>1613 / 86400</f>
        <v>1.8668981481481481E-2</v>
      </c>
    </row>
    <row r="545" spans="1:12" x14ac:dyDescent="0.25">
      <c r="A545" s="3">
        <v>45702.563842592594</v>
      </c>
      <c r="B545" t="s">
        <v>360</v>
      </c>
      <c r="C545" s="3">
        <v>45702.715821759259</v>
      </c>
      <c r="D545" t="s">
        <v>361</v>
      </c>
      <c r="E545" s="4">
        <v>50.503999999999998</v>
      </c>
      <c r="F545" s="4">
        <v>408022.50900000002</v>
      </c>
      <c r="G545" s="4">
        <v>408073.01299999998</v>
      </c>
      <c r="H545" s="5">
        <f>4660 / 86400</f>
        <v>5.3935185185185183E-2</v>
      </c>
      <c r="I545" t="s">
        <v>254</v>
      </c>
      <c r="J545" t="s">
        <v>59</v>
      </c>
      <c r="K545" s="5">
        <f>13131 / 86400</f>
        <v>0.15197916666666667</v>
      </c>
      <c r="L545" s="5">
        <f>46 / 86400</f>
        <v>5.3240740740740744E-4</v>
      </c>
    </row>
    <row r="546" spans="1:12" x14ac:dyDescent="0.25">
      <c r="A546" s="3">
        <v>45702.716354166667</v>
      </c>
      <c r="B546" t="s">
        <v>361</v>
      </c>
      <c r="C546" s="3">
        <v>45702.716620370367</v>
      </c>
      <c r="D546" t="s">
        <v>361</v>
      </c>
      <c r="E546" s="4">
        <v>1E-3</v>
      </c>
      <c r="F546" s="4">
        <v>408073.01299999998</v>
      </c>
      <c r="G546" s="4">
        <v>408073.01400000002</v>
      </c>
      <c r="H546" s="5">
        <f>19 / 86400</f>
        <v>2.199074074074074E-4</v>
      </c>
      <c r="I546" t="s">
        <v>88</v>
      </c>
      <c r="J546" t="s">
        <v>88</v>
      </c>
      <c r="K546" s="5">
        <f>22 / 86400</f>
        <v>2.5462962962962961E-4</v>
      </c>
      <c r="L546" s="5">
        <f>475 / 86400</f>
        <v>5.4976851851851853E-3</v>
      </c>
    </row>
    <row r="547" spans="1:12" x14ac:dyDescent="0.25">
      <c r="A547" s="3">
        <v>45702.722118055557</v>
      </c>
      <c r="B547" t="s">
        <v>361</v>
      </c>
      <c r="C547" s="3">
        <v>45702.727708333332</v>
      </c>
      <c r="D547" t="s">
        <v>361</v>
      </c>
      <c r="E547" s="4">
        <v>0</v>
      </c>
      <c r="F547" s="4">
        <v>408073.01400000002</v>
      </c>
      <c r="G547" s="4">
        <v>408073.01400000002</v>
      </c>
      <c r="H547" s="5">
        <f>479 / 86400</f>
        <v>5.5439814814814813E-3</v>
      </c>
      <c r="I547" t="s">
        <v>88</v>
      </c>
      <c r="J547" t="s">
        <v>88</v>
      </c>
      <c r="K547" s="5">
        <f>482 / 86400</f>
        <v>5.5787037037037038E-3</v>
      </c>
      <c r="L547" s="5">
        <f>1743 / 86400</f>
        <v>2.0173611111111111E-2</v>
      </c>
    </row>
    <row r="548" spans="1:12" x14ac:dyDescent="0.25">
      <c r="A548" s="3">
        <v>45702.747881944444</v>
      </c>
      <c r="B548" t="s">
        <v>361</v>
      </c>
      <c r="C548" s="3">
        <v>45702.762511574074</v>
      </c>
      <c r="D548" t="s">
        <v>128</v>
      </c>
      <c r="E548" s="4">
        <v>0.13</v>
      </c>
      <c r="F548" s="4">
        <v>408073.01400000002</v>
      </c>
      <c r="G548" s="4">
        <v>408073.14399999997</v>
      </c>
      <c r="H548" s="5">
        <f>1139 / 86400</f>
        <v>1.3182870370370371E-2</v>
      </c>
      <c r="I548" t="s">
        <v>138</v>
      </c>
      <c r="J548" t="s">
        <v>88</v>
      </c>
      <c r="K548" s="5">
        <f>1263 / 86400</f>
        <v>1.4618055555555556E-2</v>
      </c>
      <c r="L548" s="5">
        <f>415 / 86400</f>
        <v>4.8032407407407407E-3</v>
      </c>
    </row>
    <row r="549" spans="1:12" x14ac:dyDescent="0.25">
      <c r="A549" s="3">
        <v>45702.767314814817</v>
      </c>
      <c r="B549" t="s">
        <v>128</v>
      </c>
      <c r="C549" s="3">
        <v>45702.768414351856</v>
      </c>
      <c r="D549" t="s">
        <v>137</v>
      </c>
      <c r="E549" s="4">
        <v>0.13900000000000001</v>
      </c>
      <c r="F549" s="4">
        <v>408073.14399999997</v>
      </c>
      <c r="G549" s="4">
        <v>408073.283</v>
      </c>
      <c r="H549" s="5">
        <f>20 / 86400</f>
        <v>2.3148148148148149E-4</v>
      </c>
      <c r="I549" t="s">
        <v>28</v>
      </c>
      <c r="J549" t="s">
        <v>127</v>
      </c>
      <c r="K549" s="5">
        <f>94 / 86400</f>
        <v>1.0879629629629629E-3</v>
      </c>
      <c r="L549" s="5">
        <f>242 / 86400</f>
        <v>2.8009259259259259E-3</v>
      </c>
    </row>
    <row r="550" spans="1:12" x14ac:dyDescent="0.25">
      <c r="A550" s="3">
        <v>45702.771215277782</v>
      </c>
      <c r="B550" t="s">
        <v>128</v>
      </c>
      <c r="C550" s="3">
        <v>45702.771643518514</v>
      </c>
      <c r="D550" t="s">
        <v>128</v>
      </c>
      <c r="E550" s="4">
        <v>0.05</v>
      </c>
      <c r="F550" s="4">
        <v>408073.283</v>
      </c>
      <c r="G550" s="4">
        <v>408073.33299999998</v>
      </c>
      <c r="H550" s="5">
        <f>0 / 86400</f>
        <v>0</v>
      </c>
      <c r="I550" t="s">
        <v>126</v>
      </c>
      <c r="J550" t="s">
        <v>127</v>
      </c>
      <c r="K550" s="5">
        <f>37 / 86400</f>
        <v>4.2824074074074075E-4</v>
      </c>
      <c r="L550" s="5">
        <f>310 / 86400</f>
        <v>3.5879629629629629E-3</v>
      </c>
    </row>
    <row r="551" spans="1:12" x14ac:dyDescent="0.25">
      <c r="A551" s="3">
        <v>45702.775231481486</v>
      </c>
      <c r="B551" t="s">
        <v>128</v>
      </c>
      <c r="C551" s="3">
        <v>45702.775624999995</v>
      </c>
      <c r="D551" t="s">
        <v>144</v>
      </c>
      <c r="E551" s="4">
        <v>6.0000000000000001E-3</v>
      </c>
      <c r="F551" s="4">
        <v>408073.33299999998</v>
      </c>
      <c r="G551" s="4">
        <v>408073.33899999998</v>
      </c>
      <c r="H551" s="5">
        <f>19 / 86400</f>
        <v>2.199074074074074E-4</v>
      </c>
      <c r="I551" t="s">
        <v>88</v>
      </c>
      <c r="J551" t="s">
        <v>120</v>
      </c>
      <c r="K551" s="5">
        <f>33 / 86400</f>
        <v>3.8194444444444446E-4</v>
      </c>
      <c r="L551" s="5">
        <f>27 / 86400</f>
        <v>3.1250000000000001E-4</v>
      </c>
    </row>
    <row r="552" spans="1:12" x14ac:dyDescent="0.25">
      <c r="A552" s="3">
        <v>45702.775937500002</v>
      </c>
      <c r="B552" t="s">
        <v>144</v>
      </c>
      <c r="C552" s="3">
        <v>45702.77725694445</v>
      </c>
      <c r="D552" t="s">
        <v>82</v>
      </c>
      <c r="E552" s="4">
        <v>0.41399999999999998</v>
      </c>
      <c r="F552" s="4">
        <v>408073.33899999998</v>
      </c>
      <c r="G552" s="4">
        <v>408073.75300000003</v>
      </c>
      <c r="H552" s="5">
        <f>0 / 86400</f>
        <v>0</v>
      </c>
      <c r="I552" t="s">
        <v>135</v>
      </c>
      <c r="J552" t="s">
        <v>35</v>
      </c>
      <c r="K552" s="5">
        <f>114 / 86400</f>
        <v>1.3194444444444445E-3</v>
      </c>
      <c r="L552" s="5">
        <f>854 / 86400</f>
        <v>9.8842592592592593E-3</v>
      </c>
    </row>
    <row r="553" spans="1:12" x14ac:dyDescent="0.25">
      <c r="A553" s="3">
        <v>45702.787141203706</v>
      </c>
      <c r="B553" t="s">
        <v>82</v>
      </c>
      <c r="C553" s="3">
        <v>45702.795381944445</v>
      </c>
      <c r="D553" t="s">
        <v>43</v>
      </c>
      <c r="E553" s="4">
        <v>1.2030000000000001</v>
      </c>
      <c r="F553" s="4">
        <v>408073.75300000003</v>
      </c>
      <c r="G553" s="4">
        <v>408074.95600000001</v>
      </c>
      <c r="H553" s="5">
        <f>320 / 86400</f>
        <v>3.7037037037037038E-3</v>
      </c>
      <c r="I553" t="s">
        <v>145</v>
      </c>
      <c r="J553" t="s">
        <v>132</v>
      </c>
      <c r="K553" s="5">
        <f>711 / 86400</f>
        <v>8.2291666666666659E-3</v>
      </c>
      <c r="L553" s="5">
        <f>17678 / 86400</f>
        <v>0.20460648148148147</v>
      </c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2" s="10" customFormat="1" ht="20.100000000000001" customHeight="1" x14ac:dyDescent="0.35">
      <c r="A556" s="15" t="s">
        <v>429</v>
      </c>
      <c r="B556" s="15"/>
      <c r="C556" s="15"/>
      <c r="D556" s="15"/>
      <c r="E556" s="15"/>
      <c r="F556" s="15"/>
      <c r="G556" s="15"/>
      <c r="H556" s="15"/>
      <c r="I556" s="15"/>
      <c r="J556" s="15"/>
    </row>
    <row r="557" spans="1:1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2" ht="30" x14ac:dyDescent="0.25">
      <c r="A558" s="2" t="s">
        <v>6</v>
      </c>
      <c r="B558" s="2" t="s">
        <v>7</v>
      </c>
      <c r="C558" s="2" t="s">
        <v>8</v>
      </c>
      <c r="D558" s="2" t="s">
        <v>9</v>
      </c>
      <c r="E558" s="2" t="s">
        <v>10</v>
      </c>
      <c r="F558" s="2" t="s">
        <v>11</v>
      </c>
      <c r="G558" s="2" t="s">
        <v>12</v>
      </c>
      <c r="H558" s="2" t="s">
        <v>13</v>
      </c>
      <c r="I558" s="2" t="s">
        <v>14</v>
      </c>
      <c r="J558" s="2" t="s">
        <v>15</v>
      </c>
      <c r="K558" s="2" t="s">
        <v>16</v>
      </c>
      <c r="L558" s="2" t="s">
        <v>17</v>
      </c>
    </row>
    <row r="559" spans="1:12" x14ac:dyDescent="0.25">
      <c r="A559" s="3">
        <v>45702.278078703705</v>
      </c>
      <c r="B559" t="s">
        <v>45</v>
      </c>
      <c r="C559" s="3">
        <v>45702.297997685186</v>
      </c>
      <c r="D559" t="s">
        <v>362</v>
      </c>
      <c r="E559" s="4">
        <v>0.79100000000000004</v>
      </c>
      <c r="F559" s="4">
        <v>437601.22100000002</v>
      </c>
      <c r="G559" s="4">
        <v>437602.01199999999</v>
      </c>
      <c r="H559" s="5">
        <f>1559 / 86400</f>
        <v>1.804398148148148E-2</v>
      </c>
      <c r="I559" t="s">
        <v>205</v>
      </c>
      <c r="J559" t="s">
        <v>140</v>
      </c>
      <c r="K559" s="5">
        <f>1721 / 86400</f>
        <v>1.9918981481481482E-2</v>
      </c>
      <c r="L559" s="5">
        <f>24586 / 86400</f>
        <v>0.28456018518518517</v>
      </c>
    </row>
    <row r="560" spans="1:12" x14ac:dyDescent="0.25">
      <c r="A560" s="3">
        <v>45702.304479166662</v>
      </c>
      <c r="B560" t="s">
        <v>153</v>
      </c>
      <c r="C560" s="3">
        <v>45702.304745370369</v>
      </c>
      <c r="D560" t="s">
        <v>153</v>
      </c>
      <c r="E560" s="4">
        <v>1.0999999999999999E-2</v>
      </c>
      <c r="F560" s="4">
        <v>437602.01199999999</v>
      </c>
      <c r="G560" s="4">
        <v>437602.02299999999</v>
      </c>
      <c r="H560" s="5">
        <f>0 / 86400</f>
        <v>0</v>
      </c>
      <c r="I560" t="s">
        <v>127</v>
      </c>
      <c r="J560" t="s">
        <v>140</v>
      </c>
      <c r="K560" s="5">
        <f>23 / 86400</f>
        <v>2.6620370370370372E-4</v>
      </c>
      <c r="L560" s="5">
        <f>2917 / 86400</f>
        <v>3.3761574074074076E-2</v>
      </c>
    </row>
    <row r="561" spans="1:12" x14ac:dyDescent="0.25">
      <c r="A561" s="3">
        <v>45702.338506944448</v>
      </c>
      <c r="B561" t="s">
        <v>153</v>
      </c>
      <c r="C561" s="3">
        <v>45702.341817129629</v>
      </c>
      <c r="D561" t="s">
        <v>86</v>
      </c>
      <c r="E561" s="4">
        <v>0.91200000000000003</v>
      </c>
      <c r="F561" s="4">
        <v>437602.02299999999</v>
      </c>
      <c r="G561" s="4">
        <v>437602.935</v>
      </c>
      <c r="H561" s="5">
        <f>119 / 86400</f>
        <v>1.3773148148148147E-3</v>
      </c>
      <c r="I561" t="s">
        <v>205</v>
      </c>
      <c r="J561" t="s">
        <v>53</v>
      </c>
      <c r="K561" s="5">
        <f>286 / 86400</f>
        <v>3.3101851851851851E-3</v>
      </c>
      <c r="L561" s="5">
        <f>377 / 86400</f>
        <v>4.363425925925926E-3</v>
      </c>
    </row>
    <row r="562" spans="1:12" x14ac:dyDescent="0.25">
      <c r="A562" s="3">
        <v>45702.346180555556</v>
      </c>
      <c r="B562" t="s">
        <v>86</v>
      </c>
      <c r="C562" s="3">
        <v>45702.349525462967</v>
      </c>
      <c r="D562" t="s">
        <v>86</v>
      </c>
      <c r="E562" s="4">
        <v>0</v>
      </c>
      <c r="F562" s="4">
        <v>437602.935</v>
      </c>
      <c r="G562" s="4">
        <v>437602.935</v>
      </c>
      <c r="H562" s="5">
        <f>279 / 86400</f>
        <v>3.2291666666666666E-3</v>
      </c>
      <c r="I562" t="s">
        <v>88</v>
      </c>
      <c r="J562" t="s">
        <v>88</v>
      </c>
      <c r="K562" s="5">
        <f>289 / 86400</f>
        <v>3.3449074074074076E-3</v>
      </c>
      <c r="L562" s="5">
        <f>2000 / 86400</f>
        <v>2.3148148148148147E-2</v>
      </c>
    </row>
    <row r="563" spans="1:12" x14ac:dyDescent="0.25">
      <c r="A563" s="3">
        <v>45702.372673611113</v>
      </c>
      <c r="B563" t="s">
        <v>86</v>
      </c>
      <c r="C563" s="3">
        <v>45702.377986111111</v>
      </c>
      <c r="D563" t="s">
        <v>128</v>
      </c>
      <c r="E563" s="4">
        <v>0.26500000000000001</v>
      </c>
      <c r="F563" s="4">
        <v>437602.935</v>
      </c>
      <c r="G563" s="4">
        <v>437603.2</v>
      </c>
      <c r="H563" s="5">
        <f>300 / 86400</f>
        <v>3.472222222222222E-3</v>
      </c>
      <c r="I563" t="s">
        <v>62</v>
      </c>
      <c r="J563" t="s">
        <v>140</v>
      </c>
      <c r="K563" s="5">
        <f>459 / 86400</f>
        <v>5.3125000000000004E-3</v>
      </c>
      <c r="L563" s="5">
        <f>606 / 86400</f>
        <v>7.013888888888889E-3</v>
      </c>
    </row>
    <row r="564" spans="1:12" x14ac:dyDescent="0.25">
      <c r="A564" s="3">
        <v>45702.384999999995</v>
      </c>
      <c r="B564" t="s">
        <v>128</v>
      </c>
      <c r="C564" s="3">
        <v>45702.385960648149</v>
      </c>
      <c r="D564" t="s">
        <v>128</v>
      </c>
      <c r="E564" s="4">
        <v>0</v>
      </c>
      <c r="F564" s="4">
        <v>437603.2</v>
      </c>
      <c r="G564" s="4">
        <v>437603.2</v>
      </c>
      <c r="H564" s="5">
        <f>79 / 86400</f>
        <v>9.1435185185185185E-4</v>
      </c>
      <c r="I564" t="s">
        <v>88</v>
      </c>
      <c r="J564" t="s">
        <v>88</v>
      </c>
      <c r="K564" s="5">
        <f>82 / 86400</f>
        <v>9.4907407407407408E-4</v>
      </c>
      <c r="L564" s="5">
        <f>11624 / 86400</f>
        <v>0.13453703703703704</v>
      </c>
    </row>
    <row r="565" spans="1:12" x14ac:dyDescent="0.25">
      <c r="A565" s="3">
        <v>45702.520497685182</v>
      </c>
      <c r="B565" t="s">
        <v>128</v>
      </c>
      <c r="C565" s="3">
        <v>45702.521319444444</v>
      </c>
      <c r="D565" t="s">
        <v>128</v>
      </c>
      <c r="E565" s="4">
        <v>0</v>
      </c>
      <c r="F565" s="4">
        <v>437603.2</v>
      </c>
      <c r="G565" s="4">
        <v>437603.2</v>
      </c>
      <c r="H565" s="5">
        <f>59 / 86400</f>
        <v>6.8287037037037036E-4</v>
      </c>
      <c r="I565" t="s">
        <v>88</v>
      </c>
      <c r="J565" t="s">
        <v>88</v>
      </c>
      <c r="K565" s="5">
        <f>71 / 86400</f>
        <v>8.2175925925925927E-4</v>
      </c>
      <c r="L565" s="5">
        <f>493 / 86400</f>
        <v>5.7060185185185183E-3</v>
      </c>
    </row>
    <row r="566" spans="1:12" x14ac:dyDescent="0.25">
      <c r="A566" s="3">
        <v>45702.527025462958</v>
      </c>
      <c r="B566" t="s">
        <v>128</v>
      </c>
      <c r="C566" s="3">
        <v>45702.52725694445</v>
      </c>
      <c r="D566" t="s">
        <v>128</v>
      </c>
      <c r="E566" s="4">
        <v>0</v>
      </c>
      <c r="F566" s="4">
        <v>437603.2</v>
      </c>
      <c r="G566" s="4">
        <v>437603.2</v>
      </c>
      <c r="H566" s="5">
        <f>0 / 86400</f>
        <v>0</v>
      </c>
      <c r="I566" t="s">
        <v>88</v>
      </c>
      <c r="J566" t="s">
        <v>88</v>
      </c>
      <c r="K566" s="5">
        <f>19 / 86400</f>
        <v>2.199074074074074E-4</v>
      </c>
      <c r="L566" s="5">
        <f>463 / 86400</f>
        <v>5.3587962962962964E-3</v>
      </c>
    </row>
    <row r="567" spans="1:12" x14ac:dyDescent="0.25">
      <c r="A567" s="3">
        <v>45702.53261574074</v>
      </c>
      <c r="B567" t="s">
        <v>128</v>
      </c>
      <c r="C567" s="3">
        <v>45702.533425925925</v>
      </c>
      <c r="D567" t="s">
        <v>128</v>
      </c>
      <c r="E567" s="4">
        <v>0</v>
      </c>
      <c r="F567" s="4">
        <v>437603.2</v>
      </c>
      <c r="G567" s="4">
        <v>437603.2</v>
      </c>
      <c r="H567" s="5">
        <f>59 / 86400</f>
        <v>6.8287037037037036E-4</v>
      </c>
      <c r="I567" t="s">
        <v>88</v>
      </c>
      <c r="J567" t="s">
        <v>88</v>
      </c>
      <c r="K567" s="5">
        <f>70 / 86400</f>
        <v>8.1018518518518516E-4</v>
      </c>
      <c r="L567" s="5">
        <f>1257 / 86400</f>
        <v>1.4548611111111111E-2</v>
      </c>
    </row>
    <row r="568" spans="1:12" x14ac:dyDescent="0.25">
      <c r="A568" s="3">
        <v>45702.547974537039</v>
      </c>
      <c r="B568" t="s">
        <v>128</v>
      </c>
      <c r="C568" s="3">
        <v>45702.54996527778</v>
      </c>
      <c r="D568" t="s">
        <v>146</v>
      </c>
      <c r="E568" s="4">
        <v>0.76100000000000001</v>
      </c>
      <c r="F568" s="4">
        <v>437603.2</v>
      </c>
      <c r="G568" s="4">
        <v>437603.96100000001</v>
      </c>
      <c r="H568" s="5">
        <f>0 / 86400</f>
        <v>0</v>
      </c>
      <c r="I568" t="s">
        <v>189</v>
      </c>
      <c r="J568" t="s">
        <v>34</v>
      </c>
      <c r="K568" s="5">
        <f>171 / 86400</f>
        <v>1.9791666666666668E-3</v>
      </c>
      <c r="L568" s="5">
        <f>407 / 86400</f>
        <v>4.7106481481481478E-3</v>
      </c>
    </row>
    <row r="569" spans="1:12" x14ac:dyDescent="0.25">
      <c r="A569" s="3">
        <v>45702.55467592593</v>
      </c>
      <c r="B569" t="s">
        <v>146</v>
      </c>
      <c r="C569" s="3">
        <v>45702.84575231481</v>
      </c>
      <c r="D569" t="s">
        <v>128</v>
      </c>
      <c r="E569" s="4">
        <v>100.18600000000001</v>
      </c>
      <c r="F569" s="4">
        <v>437603.96100000001</v>
      </c>
      <c r="G569" s="4">
        <v>437704.147</v>
      </c>
      <c r="H569" s="5">
        <f>8818 / 86400</f>
        <v>0.10206018518518518</v>
      </c>
      <c r="I569" t="s">
        <v>44</v>
      </c>
      <c r="J569" t="s">
        <v>59</v>
      </c>
      <c r="K569" s="5">
        <f>25149 / 86400</f>
        <v>0.29107638888888887</v>
      </c>
      <c r="L569" s="5">
        <f>337 / 86400</f>
        <v>3.9004629629629628E-3</v>
      </c>
    </row>
    <row r="570" spans="1:12" x14ac:dyDescent="0.25">
      <c r="A570" s="3">
        <v>45702.849652777775</v>
      </c>
      <c r="B570" t="s">
        <v>128</v>
      </c>
      <c r="C570" s="3">
        <v>45702.850254629629</v>
      </c>
      <c r="D570" t="s">
        <v>128</v>
      </c>
      <c r="E570" s="4">
        <v>8.9999999999999993E-3</v>
      </c>
      <c r="F570" s="4">
        <v>437704.147</v>
      </c>
      <c r="G570" s="4">
        <v>437704.15600000002</v>
      </c>
      <c r="H570" s="5">
        <f>19 / 86400</f>
        <v>2.199074074074074E-4</v>
      </c>
      <c r="I570" t="s">
        <v>127</v>
      </c>
      <c r="J570" t="s">
        <v>120</v>
      </c>
      <c r="K570" s="5">
        <f>52 / 86400</f>
        <v>6.018518518518519E-4</v>
      </c>
      <c r="L570" s="5">
        <f>652 / 86400</f>
        <v>7.5462962962962966E-3</v>
      </c>
    </row>
    <row r="571" spans="1:12" x14ac:dyDescent="0.25">
      <c r="A571" s="3">
        <v>45702.857800925922</v>
      </c>
      <c r="B571" t="s">
        <v>128</v>
      </c>
      <c r="C571" s="3">
        <v>45702.86142361111</v>
      </c>
      <c r="D571" t="s">
        <v>45</v>
      </c>
      <c r="E571" s="4">
        <v>0.95299999999999996</v>
      </c>
      <c r="F571" s="4">
        <v>437704.15600000002</v>
      </c>
      <c r="G571" s="4">
        <v>437705.109</v>
      </c>
      <c r="H571" s="5">
        <f>60 / 86400</f>
        <v>6.9444444444444447E-4</v>
      </c>
      <c r="I571" t="s">
        <v>147</v>
      </c>
      <c r="J571" t="s">
        <v>53</v>
      </c>
      <c r="K571" s="5">
        <f>312 / 86400</f>
        <v>3.6111111111111109E-3</v>
      </c>
      <c r="L571" s="5">
        <f>2707 / 86400</f>
        <v>3.1331018518518522E-2</v>
      </c>
    </row>
    <row r="572" spans="1:12" x14ac:dyDescent="0.25">
      <c r="A572" s="3">
        <v>45702.892754629633</v>
      </c>
      <c r="B572" t="s">
        <v>45</v>
      </c>
      <c r="C572" s="3">
        <v>45702.892974537041</v>
      </c>
      <c r="D572" t="s">
        <v>45</v>
      </c>
      <c r="E572" s="4">
        <v>5.0000000000000001E-3</v>
      </c>
      <c r="F572" s="4">
        <v>437705.109</v>
      </c>
      <c r="G572" s="4">
        <v>437705.114</v>
      </c>
      <c r="H572" s="5">
        <f>0 / 86400</f>
        <v>0</v>
      </c>
      <c r="I572" t="s">
        <v>88</v>
      </c>
      <c r="J572" t="s">
        <v>120</v>
      </c>
      <c r="K572" s="5">
        <f>19 / 86400</f>
        <v>2.199074074074074E-4</v>
      </c>
      <c r="L572" s="5">
        <f>9246 / 86400</f>
        <v>0.10701388888888889</v>
      </c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2" s="10" customFormat="1" ht="20.100000000000001" customHeight="1" x14ac:dyDescent="0.35">
      <c r="A575" s="15" t="s">
        <v>430</v>
      </c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2" ht="30" x14ac:dyDescent="0.25">
      <c r="A577" s="2" t="s">
        <v>6</v>
      </c>
      <c r="B577" s="2" t="s">
        <v>7</v>
      </c>
      <c r="C577" s="2" t="s">
        <v>8</v>
      </c>
      <c r="D577" s="2" t="s">
        <v>9</v>
      </c>
      <c r="E577" s="2" t="s">
        <v>10</v>
      </c>
      <c r="F577" s="2" t="s">
        <v>11</v>
      </c>
      <c r="G577" s="2" t="s">
        <v>12</v>
      </c>
      <c r="H577" s="2" t="s">
        <v>13</v>
      </c>
      <c r="I577" s="2" t="s">
        <v>14</v>
      </c>
      <c r="J577" s="2" t="s">
        <v>15</v>
      </c>
      <c r="K577" s="2" t="s">
        <v>16</v>
      </c>
      <c r="L577" s="2" t="s">
        <v>17</v>
      </c>
    </row>
    <row r="578" spans="1:12" x14ac:dyDescent="0.25">
      <c r="A578" s="3">
        <v>45702.133564814816</v>
      </c>
      <c r="B578" t="s">
        <v>22</v>
      </c>
      <c r="C578" s="3">
        <v>45702.209317129629</v>
      </c>
      <c r="D578" t="s">
        <v>158</v>
      </c>
      <c r="E578" s="4">
        <v>53.485999999999997</v>
      </c>
      <c r="F578" s="4">
        <v>54284.275000000001</v>
      </c>
      <c r="G578" s="4">
        <v>54337.760999999999</v>
      </c>
      <c r="H578" s="5">
        <f>1319 / 86400</f>
        <v>1.5266203703703704E-2</v>
      </c>
      <c r="I578" t="s">
        <v>116</v>
      </c>
      <c r="J578" t="s">
        <v>147</v>
      </c>
      <c r="K578" s="5">
        <f>6545 / 86400</f>
        <v>7.5752314814814814E-2</v>
      </c>
      <c r="L578" s="5">
        <f>11626 / 86400</f>
        <v>0.13456018518518517</v>
      </c>
    </row>
    <row r="579" spans="1:12" x14ac:dyDescent="0.25">
      <c r="A579" s="3">
        <v>45702.210312499999</v>
      </c>
      <c r="B579" t="s">
        <v>158</v>
      </c>
      <c r="C579" s="3">
        <v>45702.310833333337</v>
      </c>
      <c r="D579" t="s">
        <v>362</v>
      </c>
      <c r="E579" s="4">
        <v>53.56</v>
      </c>
      <c r="F579" s="4">
        <v>54337.760999999999</v>
      </c>
      <c r="G579" s="4">
        <v>54391.321000000004</v>
      </c>
      <c r="H579" s="5">
        <f>2082 / 86400</f>
        <v>2.4097222222222221E-2</v>
      </c>
      <c r="I579" t="s">
        <v>44</v>
      </c>
      <c r="J579" t="s">
        <v>130</v>
      </c>
      <c r="K579" s="5">
        <f>8684 / 86400</f>
        <v>0.10050925925925926</v>
      </c>
      <c r="L579" s="5">
        <f>899 / 86400</f>
        <v>1.0405092592592593E-2</v>
      </c>
    </row>
    <row r="580" spans="1:12" x14ac:dyDescent="0.25">
      <c r="A580" s="3">
        <v>45702.321238425924</v>
      </c>
      <c r="B580" t="s">
        <v>362</v>
      </c>
      <c r="C580" s="3">
        <v>45702.322592592594</v>
      </c>
      <c r="D580" t="s">
        <v>125</v>
      </c>
      <c r="E580" s="4">
        <v>0.42299999999999999</v>
      </c>
      <c r="F580" s="4">
        <v>54391.321000000004</v>
      </c>
      <c r="G580" s="4">
        <v>54391.743999999999</v>
      </c>
      <c r="H580" s="5">
        <f>0 / 86400</f>
        <v>0</v>
      </c>
      <c r="I580" t="s">
        <v>272</v>
      </c>
      <c r="J580" t="s">
        <v>35</v>
      </c>
      <c r="K580" s="5">
        <f>116 / 86400</f>
        <v>1.3425925925925925E-3</v>
      </c>
      <c r="L580" s="5">
        <f>927 / 86400</f>
        <v>1.0729166666666666E-2</v>
      </c>
    </row>
    <row r="581" spans="1:12" x14ac:dyDescent="0.25">
      <c r="A581" s="3">
        <v>45702.333321759259</v>
      </c>
      <c r="B581" t="s">
        <v>125</v>
      </c>
      <c r="C581" s="3">
        <v>45702.33357638889</v>
      </c>
      <c r="D581" t="s">
        <v>125</v>
      </c>
      <c r="E581" s="4">
        <v>4.0000000000000001E-3</v>
      </c>
      <c r="F581" s="4">
        <v>54391.743999999999</v>
      </c>
      <c r="G581" s="4">
        <v>54391.748</v>
      </c>
      <c r="H581" s="5">
        <f>19 / 86400</f>
        <v>2.199074074074074E-4</v>
      </c>
      <c r="I581" t="s">
        <v>88</v>
      </c>
      <c r="J581" t="s">
        <v>120</v>
      </c>
      <c r="K581" s="5">
        <f>21 / 86400</f>
        <v>2.4305555555555555E-4</v>
      </c>
      <c r="L581" s="5">
        <f>40 / 86400</f>
        <v>4.6296296296296298E-4</v>
      </c>
    </row>
    <row r="582" spans="1:12" x14ac:dyDescent="0.25">
      <c r="A582" s="3">
        <v>45702.334039351852</v>
      </c>
      <c r="B582" t="s">
        <v>125</v>
      </c>
      <c r="C582" s="3">
        <v>45702.589814814812</v>
      </c>
      <c r="D582" t="s">
        <v>128</v>
      </c>
      <c r="E582" s="4">
        <v>101.205</v>
      </c>
      <c r="F582" s="4">
        <v>54391.748</v>
      </c>
      <c r="G582" s="4">
        <v>54492.953000000001</v>
      </c>
      <c r="H582" s="5">
        <f>7642 / 86400</f>
        <v>8.8449074074074069E-2</v>
      </c>
      <c r="I582" t="s">
        <v>30</v>
      </c>
      <c r="J582" t="s">
        <v>34</v>
      </c>
      <c r="K582" s="5">
        <f>22098 / 86400</f>
        <v>0.2557638888888889</v>
      </c>
      <c r="L582" s="5">
        <f>220 / 86400</f>
        <v>2.5462962962962965E-3</v>
      </c>
    </row>
    <row r="583" spans="1:12" x14ac:dyDescent="0.25">
      <c r="A583" s="3">
        <v>45702.592361111107</v>
      </c>
      <c r="B583" t="s">
        <v>128</v>
      </c>
      <c r="C583" s="3">
        <v>45702.593298611115</v>
      </c>
      <c r="D583" t="s">
        <v>144</v>
      </c>
      <c r="E583" s="4">
        <v>0.188</v>
      </c>
      <c r="F583" s="4">
        <v>54492.953000000001</v>
      </c>
      <c r="G583" s="4">
        <v>54493.141000000003</v>
      </c>
      <c r="H583" s="5">
        <f>19 / 86400</f>
        <v>2.199074074074074E-4</v>
      </c>
      <c r="I583" t="s">
        <v>122</v>
      </c>
      <c r="J583" t="s">
        <v>123</v>
      </c>
      <c r="K583" s="5">
        <f>80 / 86400</f>
        <v>9.2592592592592596E-4</v>
      </c>
      <c r="L583" s="5">
        <f>306 / 86400</f>
        <v>3.5416666666666665E-3</v>
      </c>
    </row>
    <row r="584" spans="1:12" x14ac:dyDescent="0.25">
      <c r="A584" s="3">
        <v>45702.59684027778</v>
      </c>
      <c r="B584" t="s">
        <v>144</v>
      </c>
      <c r="C584" s="3">
        <v>45702.598136574074</v>
      </c>
      <c r="D584" t="s">
        <v>128</v>
      </c>
      <c r="E584" s="4">
        <v>0.25700000000000001</v>
      </c>
      <c r="F584" s="4">
        <v>54493.141000000003</v>
      </c>
      <c r="G584" s="4">
        <v>54493.398000000001</v>
      </c>
      <c r="H584" s="5">
        <f>20 / 86400</f>
        <v>2.3148148148148149E-4</v>
      </c>
      <c r="I584" t="s">
        <v>62</v>
      </c>
      <c r="J584" t="s">
        <v>123</v>
      </c>
      <c r="K584" s="5">
        <f>111 / 86400</f>
        <v>1.2847222222222223E-3</v>
      </c>
      <c r="L584" s="5">
        <f>834 / 86400</f>
        <v>9.6527777777777775E-3</v>
      </c>
    </row>
    <row r="585" spans="1:12" x14ac:dyDescent="0.25">
      <c r="A585" s="3">
        <v>45702.607789351852</v>
      </c>
      <c r="B585" t="s">
        <v>128</v>
      </c>
      <c r="C585" s="3">
        <v>45702.608564814815</v>
      </c>
      <c r="D585" t="s">
        <v>128</v>
      </c>
      <c r="E585" s="4">
        <v>5.0000000000000001E-3</v>
      </c>
      <c r="F585" s="4">
        <v>54493.398000000001</v>
      </c>
      <c r="G585" s="4">
        <v>54493.402999999998</v>
      </c>
      <c r="H585" s="5">
        <f>59 / 86400</f>
        <v>6.8287037037037036E-4</v>
      </c>
      <c r="I585" t="s">
        <v>88</v>
      </c>
      <c r="J585" t="s">
        <v>88</v>
      </c>
      <c r="K585" s="5">
        <f>67 / 86400</f>
        <v>7.7546296296296293E-4</v>
      </c>
      <c r="L585" s="5">
        <f>111 / 86400</f>
        <v>1.2847222222222223E-3</v>
      </c>
    </row>
    <row r="586" spans="1:12" x14ac:dyDescent="0.25">
      <c r="A586" s="3">
        <v>45702.609849537039</v>
      </c>
      <c r="B586" t="s">
        <v>128</v>
      </c>
      <c r="C586" s="3">
        <v>45702.611388888894</v>
      </c>
      <c r="D586" t="s">
        <v>137</v>
      </c>
      <c r="E586" s="4">
        <v>9.8000000000000004E-2</v>
      </c>
      <c r="F586" s="4">
        <v>54493.402999999998</v>
      </c>
      <c r="G586" s="4">
        <v>54493.500999999997</v>
      </c>
      <c r="H586" s="5">
        <f>19 / 86400</f>
        <v>2.199074074074074E-4</v>
      </c>
      <c r="I586" t="s">
        <v>138</v>
      </c>
      <c r="J586" t="s">
        <v>152</v>
      </c>
      <c r="K586" s="5">
        <f>133 / 86400</f>
        <v>1.5393518518518519E-3</v>
      </c>
      <c r="L586" s="5">
        <f>292 / 86400</f>
        <v>3.3796296296296296E-3</v>
      </c>
    </row>
    <row r="587" spans="1:12" x14ac:dyDescent="0.25">
      <c r="A587" s="3">
        <v>45702.614768518513</v>
      </c>
      <c r="B587" t="s">
        <v>137</v>
      </c>
      <c r="C587" s="3">
        <v>45702.617060185185</v>
      </c>
      <c r="D587" t="s">
        <v>358</v>
      </c>
      <c r="E587" s="4">
        <v>0.84699999999999998</v>
      </c>
      <c r="F587" s="4">
        <v>54493.500999999997</v>
      </c>
      <c r="G587" s="4">
        <v>54494.347999999998</v>
      </c>
      <c r="H587" s="5">
        <f>20 / 86400</f>
        <v>2.3148148148148149E-4</v>
      </c>
      <c r="I587" t="s">
        <v>147</v>
      </c>
      <c r="J587" t="s">
        <v>31</v>
      </c>
      <c r="K587" s="5">
        <f>197 / 86400</f>
        <v>2.2800925925925927E-3</v>
      </c>
      <c r="L587" s="5">
        <f>52 / 86400</f>
        <v>6.018518518518519E-4</v>
      </c>
    </row>
    <row r="588" spans="1:12" x14ac:dyDescent="0.25">
      <c r="A588" s="3">
        <v>45702.617662037039</v>
      </c>
      <c r="B588" t="s">
        <v>358</v>
      </c>
      <c r="C588" s="3">
        <v>45702.618935185186</v>
      </c>
      <c r="D588" t="s">
        <v>41</v>
      </c>
      <c r="E588" s="4">
        <v>0.17599999999999999</v>
      </c>
      <c r="F588" s="4">
        <v>54494.347999999998</v>
      </c>
      <c r="G588" s="4">
        <v>54494.523999999998</v>
      </c>
      <c r="H588" s="5">
        <f>40 / 86400</f>
        <v>4.6296296296296298E-4</v>
      </c>
      <c r="I588" t="s">
        <v>126</v>
      </c>
      <c r="J588" t="s">
        <v>132</v>
      </c>
      <c r="K588" s="5">
        <f>109 / 86400</f>
        <v>1.261574074074074E-3</v>
      </c>
      <c r="L588" s="5">
        <f>1179 / 86400</f>
        <v>1.3645833333333333E-2</v>
      </c>
    </row>
    <row r="589" spans="1:12" x14ac:dyDescent="0.25">
      <c r="A589" s="3">
        <v>45702.632581018523</v>
      </c>
      <c r="B589" t="s">
        <v>41</v>
      </c>
      <c r="C589" s="3">
        <v>45702.632928240739</v>
      </c>
      <c r="D589" t="s">
        <v>41</v>
      </c>
      <c r="E589" s="4">
        <v>1.0999999999999999E-2</v>
      </c>
      <c r="F589" s="4">
        <v>54494.523999999998</v>
      </c>
      <c r="G589" s="4">
        <v>54494.535000000003</v>
      </c>
      <c r="H589" s="5">
        <f>20 / 86400</f>
        <v>2.3148148148148149E-4</v>
      </c>
      <c r="I589" t="s">
        <v>88</v>
      </c>
      <c r="J589" t="s">
        <v>120</v>
      </c>
      <c r="K589" s="5">
        <f>30 / 86400</f>
        <v>3.4722222222222224E-4</v>
      </c>
      <c r="L589" s="5">
        <f>861 / 86400</f>
        <v>9.9652777777777778E-3</v>
      </c>
    </row>
    <row r="590" spans="1:12" x14ac:dyDescent="0.25">
      <c r="A590" s="3">
        <v>45702.642893518518</v>
      </c>
      <c r="B590" t="s">
        <v>41</v>
      </c>
      <c r="C590" s="3">
        <v>45702.644537037035</v>
      </c>
      <c r="D590" t="s">
        <v>358</v>
      </c>
      <c r="E590" s="4">
        <v>0.22600000000000001</v>
      </c>
      <c r="F590" s="4">
        <v>54494.535000000003</v>
      </c>
      <c r="G590" s="4">
        <v>54494.760999999999</v>
      </c>
      <c r="H590" s="5">
        <f>39 / 86400</f>
        <v>4.5138888888888887E-4</v>
      </c>
      <c r="I590" t="s">
        <v>57</v>
      </c>
      <c r="J590" t="s">
        <v>132</v>
      </c>
      <c r="K590" s="5">
        <f>142 / 86400</f>
        <v>1.6435185185185185E-3</v>
      </c>
      <c r="L590" s="5">
        <f>747 / 86400</f>
        <v>8.6458333333333335E-3</v>
      </c>
    </row>
    <row r="591" spans="1:12" x14ac:dyDescent="0.25">
      <c r="A591" s="3">
        <v>45702.653182870374</v>
      </c>
      <c r="B591" t="s">
        <v>358</v>
      </c>
      <c r="C591" s="3">
        <v>45702.654062500005</v>
      </c>
      <c r="D591" t="s">
        <v>358</v>
      </c>
      <c r="E591" s="4">
        <v>2E-3</v>
      </c>
      <c r="F591" s="4">
        <v>54494.760999999999</v>
      </c>
      <c r="G591" s="4">
        <v>54494.762999999999</v>
      </c>
      <c r="H591" s="5">
        <f>39 / 86400</f>
        <v>4.5138888888888887E-4</v>
      </c>
      <c r="I591" t="s">
        <v>140</v>
      </c>
      <c r="J591" t="s">
        <v>88</v>
      </c>
      <c r="K591" s="5">
        <f>75 / 86400</f>
        <v>8.6805555555555551E-4</v>
      </c>
      <c r="L591" s="5">
        <f>1222 / 86400</f>
        <v>1.4143518518518519E-2</v>
      </c>
    </row>
    <row r="592" spans="1:12" x14ac:dyDescent="0.25">
      <c r="A592" s="3">
        <v>45702.668206018519</v>
      </c>
      <c r="B592" t="s">
        <v>358</v>
      </c>
      <c r="C592" s="3">
        <v>45702.671736111108</v>
      </c>
      <c r="D592" t="s">
        <v>129</v>
      </c>
      <c r="E592" s="4">
        <v>1.0960000000000001</v>
      </c>
      <c r="F592" s="4">
        <v>54494.762999999999</v>
      </c>
      <c r="G592" s="4">
        <v>54495.858999999997</v>
      </c>
      <c r="H592" s="5">
        <f>79 / 86400</f>
        <v>9.1435185185185185E-4</v>
      </c>
      <c r="I592" t="s">
        <v>133</v>
      </c>
      <c r="J592" t="s">
        <v>35</v>
      </c>
      <c r="K592" s="5">
        <f>304 / 86400</f>
        <v>3.5185185185185185E-3</v>
      </c>
      <c r="L592" s="5">
        <f>142 / 86400</f>
        <v>1.6435185185185185E-3</v>
      </c>
    </row>
    <row r="593" spans="1:12" x14ac:dyDescent="0.25">
      <c r="A593" s="3">
        <v>45702.673379629632</v>
      </c>
      <c r="B593" t="s">
        <v>129</v>
      </c>
      <c r="C593" s="3">
        <v>45702.674178240741</v>
      </c>
      <c r="D593" t="s">
        <v>363</v>
      </c>
      <c r="E593" s="4">
        <v>8.2000000000000003E-2</v>
      </c>
      <c r="F593" s="4">
        <v>54495.858999999997</v>
      </c>
      <c r="G593" s="4">
        <v>54495.940999999999</v>
      </c>
      <c r="H593" s="5">
        <f>19 / 86400</f>
        <v>2.199074074074074E-4</v>
      </c>
      <c r="I593" t="s">
        <v>57</v>
      </c>
      <c r="J593" t="s">
        <v>156</v>
      </c>
      <c r="K593" s="5">
        <f>68 / 86400</f>
        <v>7.8703703703703705E-4</v>
      </c>
      <c r="L593" s="5">
        <f>189 / 86400</f>
        <v>2.1875000000000002E-3</v>
      </c>
    </row>
    <row r="594" spans="1:12" x14ac:dyDescent="0.25">
      <c r="A594" s="3">
        <v>45702.676365740743</v>
      </c>
      <c r="B594" t="s">
        <v>363</v>
      </c>
      <c r="C594" s="3">
        <v>45702.676805555559</v>
      </c>
      <c r="D594" t="s">
        <v>363</v>
      </c>
      <c r="E594" s="4">
        <v>0</v>
      </c>
      <c r="F594" s="4">
        <v>54495.940999999999</v>
      </c>
      <c r="G594" s="4">
        <v>54495.940999999999</v>
      </c>
      <c r="H594" s="5">
        <f>19 / 86400</f>
        <v>2.199074074074074E-4</v>
      </c>
      <c r="I594" t="s">
        <v>88</v>
      </c>
      <c r="J594" t="s">
        <v>88</v>
      </c>
      <c r="K594" s="5">
        <f>38 / 86400</f>
        <v>4.3981481481481481E-4</v>
      </c>
      <c r="L594" s="5">
        <f>11 / 86400</f>
        <v>1.273148148148148E-4</v>
      </c>
    </row>
    <row r="595" spans="1:12" x14ac:dyDescent="0.25">
      <c r="A595" s="3">
        <v>45702.676932870367</v>
      </c>
      <c r="B595" t="s">
        <v>363</v>
      </c>
      <c r="C595" s="3">
        <v>45702.798807870371</v>
      </c>
      <c r="D595" t="s">
        <v>364</v>
      </c>
      <c r="E595" s="4">
        <v>46.613999999999997</v>
      </c>
      <c r="F595" s="4">
        <v>54495.940999999999</v>
      </c>
      <c r="G595" s="4">
        <v>54542.555</v>
      </c>
      <c r="H595" s="5">
        <f>3797 / 86400</f>
        <v>4.3946759259259262E-2</v>
      </c>
      <c r="I595" t="s">
        <v>46</v>
      </c>
      <c r="J595" t="s">
        <v>34</v>
      </c>
      <c r="K595" s="5">
        <f>10529 / 86400</f>
        <v>0.12186342592592593</v>
      </c>
      <c r="L595" s="5">
        <f>69 / 86400</f>
        <v>7.9861111111111116E-4</v>
      </c>
    </row>
    <row r="596" spans="1:12" x14ac:dyDescent="0.25">
      <c r="A596" s="3">
        <v>45702.79960648148</v>
      </c>
      <c r="B596" t="s">
        <v>364</v>
      </c>
      <c r="C596" s="3">
        <v>45702.94295138889</v>
      </c>
      <c r="D596" t="s">
        <v>94</v>
      </c>
      <c r="E596" s="4">
        <v>47.082000000000001</v>
      </c>
      <c r="F596" s="4">
        <v>54542.555</v>
      </c>
      <c r="G596" s="4">
        <v>54589.637000000002</v>
      </c>
      <c r="H596" s="5">
        <f>4930 / 86400</f>
        <v>5.7060185185185186E-2</v>
      </c>
      <c r="I596" t="s">
        <v>30</v>
      </c>
      <c r="J596" t="s">
        <v>59</v>
      </c>
      <c r="K596" s="5">
        <f>12385 / 86400</f>
        <v>0.14334490740740741</v>
      </c>
      <c r="L596" s="5">
        <f>582 / 86400</f>
        <v>6.7361111111111111E-3</v>
      </c>
    </row>
    <row r="597" spans="1:12" x14ac:dyDescent="0.25">
      <c r="A597" s="3">
        <v>45702.949687500004</v>
      </c>
      <c r="B597" t="s">
        <v>22</v>
      </c>
      <c r="C597" s="3">
        <v>45702.951736111107</v>
      </c>
      <c r="D597" t="s">
        <v>22</v>
      </c>
      <c r="E597" s="4">
        <v>0.35399999999999998</v>
      </c>
      <c r="F597" s="4">
        <v>54589.637000000002</v>
      </c>
      <c r="G597" s="4">
        <v>54589.991000000002</v>
      </c>
      <c r="H597" s="5">
        <f>20 / 86400</f>
        <v>2.3148148148148149E-4</v>
      </c>
      <c r="I597" t="s">
        <v>145</v>
      </c>
      <c r="J597" t="s">
        <v>138</v>
      </c>
      <c r="K597" s="5">
        <f>176 / 86400</f>
        <v>2.0370370370370369E-3</v>
      </c>
      <c r="L597" s="5">
        <f>4169 / 86400</f>
        <v>4.8252314814814817E-2</v>
      </c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2" s="10" customFormat="1" ht="20.100000000000001" customHeight="1" x14ac:dyDescent="0.35">
      <c r="A600" s="15" t="s">
        <v>431</v>
      </c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2" ht="30" x14ac:dyDescent="0.25">
      <c r="A602" s="2" t="s">
        <v>6</v>
      </c>
      <c r="B602" s="2" t="s">
        <v>7</v>
      </c>
      <c r="C602" s="2" t="s">
        <v>8</v>
      </c>
      <c r="D602" s="2" t="s">
        <v>9</v>
      </c>
      <c r="E602" s="2" t="s">
        <v>10</v>
      </c>
      <c r="F602" s="2" t="s">
        <v>11</v>
      </c>
      <c r="G602" s="2" t="s">
        <v>12</v>
      </c>
      <c r="H602" s="2" t="s">
        <v>13</v>
      </c>
      <c r="I602" s="2" t="s">
        <v>14</v>
      </c>
      <c r="J602" s="2" t="s">
        <v>15</v>
      </c>
      <c r="K602" s="2" t="s">
        <v>16</v>
      </c>
      <c r="L602" s="2" t="s">
        <v>17</v>
      </c>
    </row>
    <row r="603" spans="1:12" x14ac:dyDescent="0.25">
      <c r="A603" s="3">
        <v>45702.008981481486</v>
      </c>
      <c r="B603" t="s">
        <v>47</v>
      </c>
      <c r="C603" s="3">
        <v>45702.009155092594</v>
      </c>
      <c r="D603" t="s">
        <v>47</v>
      </c>
      <c r="E603" s="4">
        <v>4.0000000000000001E-3</v>
      </c>
      <c r="F603" s="4">
        <v>216205.954</v>
      </c>
      <c r="G603" s="4">
        <v>216205.95800000001</v>
      </c>
      <c r="H603" s="5">
        <f>0 / 86400</f>
        <v>0</v>
      </c>
      <c r="I603" t="s">
        <v>88</v>
      </c>
      <c r="J603" t="s">
        <v>120</v>
      </c>
      <c r="K603" s="5">
        <f>14 / 86400</f>
        <v>1.6203703703703703E-4</v>
      </c>
      <c r="L603" s="5">
        <f>1776 / 86400</f>
        <v>2.0555555555555556E-2</v>
      </c>
    </row>
    <row r="604" spans="1:12" x14ac:dyDescent="0.25">
      <c r="A604" s="3">
        <v>45702.020729166667</v>
      </c>
      <c r="B604" t="s">
        <v>47</v>
      </c>
      <c r="C604" s="3">
        <v>45702.020960648151</v>
      </c>
      <c r="D604" t="s">
        <v>47</v>
      </c>
      <c r="E604" s="4">
        <v>2E-3</v>
      </c>
      <c r="F604" s="4">
        <v>216205.95800000001</v>
      </c>
      <c r="G604" s="4">
        <v>216205.96</v>
      </c>
      <c r="H604" s="5">
        <f>0 / 86400</f>
        <v>0</v>
      </c>
      <c r="I604" t="s">
        <v>88</v>
      </c>
      <c r="J604" t="s">
        <v>88</v>
      </c>
      <c r="K604" s="5">
        <f>20 / 86400</f>
        <v>2.3148148148148149E-4</v>
      </c>
      <c r="L604" s="5">
        <f>630 / 86400</f>
        <v>7.2916666666666668E-3</v>
      </c>
    </row>
    <row r="605" spans="1:12" x14ac:dyDescent="0.25">
      <c r="A605" s="3">
        <v>45702.02825231482</v>
      </c>
      <c r="B605" t="s">
        <v>47</v>
      </c>
      <c r="C605" s="3">
        <v>45702.028495370367</v>
      </c>
      <c r="D605" t="s">
        <v>47</v>
      </c>
      <c r="E605" s="4">
        <v>1E-3</v>
      </c>
      <c r="F605" s="4">
        <v>216205.96</v>
      </c>
      <c r="G605" s="4">
        <v>216205.96100000001</v>
      </c>
      <c r="H605" s="5">
        <f>19 / 86400</f>
        <v>2.199074074074074E-4</v>
      </c>
      <c r="I605" t="s">
        <v>88</v>
      </c>
      <c r="J605" t="s">
        <v>88</v>
      </c>
      <c r="K605" s="5">
        <f>21 / 86400</f>
        <v>2.4305555555555555E-4</v>
      </c>
      <c r="L605" s="5">
        <f>942 / 86400</f>
        <v>1.0902777777777779E-2</v>
      </c>
    </row>
    <row r="606" spans="1:12" x14ac:dyDescent="0.25">
      <c r="A606" s="3">
        <v>45702.039398148147</v>
      </c>
      <c r="B606" t="s">
        <v>47</v>
      </c>
      <c r="C606" s="3">
        <v>45702.040219907409</v>
      </c>
      <c r="D606" t="s">
        <v>47</v>
      </c>
      <c r="E606" s="4">
        <v>1E-3</v>
      </c>
      <c r="F606" s="4">
        <v>216205.96100000001</v>
      </c>
      <c r="G606" s="4">
        <v>216205.962</v>
      </c>
      <c r="H606" s="5">
        <f>59 / 86400</f>
        <v>6.8287037037037036E-4</v>
      </c>
      <c r="I606" t="s">
        <v>88</v>
      </c>
      <c r="J606" t="s">
        <v>88</v>
      </c>
      <c r="K606" s="5">
        <f>70 / 86400</f>
        <v>8.1018518518518516E-4</v>
      </c>
      <c r="L606" s="5">
        <f>289 / 86400</f>
        <v>3.3449074074074076E-3</v>
      </c>
    </row>
    <row r="607" spans="1:12" x14ac:dyDescent="0.25">
      <c r="A607" s="3">
        <v>45702.043564814812</v>
      </c>
      <c r="B607" t="s">
        <v>47</v>
      </c>
      <c r="C607" s="3">
        <v>45702.046666666662</v>
      </c>
      <c r="D607" t="s">
        <v>365</v>
      </c>
      <c r="E607" s="4">
        <v>0</v>
      </c>
      <c r="F607" s="4">
        <v>216205.962</v>
      </c>
      <c r="G607" s="4">
        <v>216205.962</v>
      </c>
      <c r="H607" s="5">
        <f>259 / 86400</f>
        <v>2.9976851851851853E-3</v>
      </c>
      <c r="I607" t="s">
        <v>88</v>
      </c>
      <c r="J607" t="s">
        <v>88</v>
      </c>
      <c r="K607" s="5">
        <f>268 / 86400</f>
        <v>3.1018518518518517E-3</v>
      </c>
      <c r="L607" s="5">
        <f>164 / 86400</f>
        <v>1.8981481481481482E-3</v>
      </c>
    </row>
    <row r="608" spans="1:12" x14ac:dyDescent="0.25">
      <c r="A608" s="3">
        <v>45702.048564814817</v>
      </c>
      <c r="B608" t="s">
        <v>365</v>
      </c>
      <c r="C608" s="3">
        <v>45702.119212962964</v>
      </c>
      <c r="D608" t="s">
        <v>144</v>
      </c>
      <c r="E608" s="4">
        <v>48.161000000000001</v>
      </c>
      <c r="F608" s="4">
        <v>216205.962</v>
      </c>
      <c r="G608" s="4">
        <v>216254.12299999999</v>
      </c>
      <c r="H608" s="5">
        <f>1719 / 86400</f>
        <v>1.9895833333333335E-2</v>
      </c>
      <c r="I608" t="s">
        <v>27</v>
      </c>
      <c r="J608" t="s">
        <v>178</v>
      </c>
      <c r="K608" s="5">
        <f>6103 / 86400</f>
        <v>7.0636574074074074E-2</v>
      </c>
      <c r="L608" s="5">
        <f>843 / 86400</f>
        <v>9.7569444444444448E-3</v>
      </c>
    </row>
    <row r="609" spans="1:12" x14ac:dyDescent="0.25">
      <c r="A609" s="3">
        <v>45702.128969907411</v>
      </c>
      <c r="B609" t="s">
        <v>144</v>
      </c>
      <c r="C609" s="3">
        <v>45702.129236111112</v>
      </c>
      <c r="D609" t="s">
        <v>144</v>
      </c>
      <c r="E609" s="4">
        <v>2.4E-2</v>
      </c>
      <c r="F609" s="4">
        <v>216254.12299999999</v>
      </c>
      <c r="G609" s="4">
        <v>216254.147</v>
      </c>
      <c r="H609" s="5">
        <f>0 / 86400</f>
        <v>0</v>
      </c>
      <c r="I609" t="s">
        <v>138</v>
      </c>
      <c r="J609" t="s">
        <v>156</v>
      </c>
      <c r="K609" s="5">
        <f>23 / 86400</f>
        <v>2.6620370370370372E-4</v>
      </c>
      <c r="L609" s="5">
        <f>1808 / 86400</f>
        <v>2.0925925925925924E-2</v>
      </c>
    </row>
    <row r="610" spans="1:12" x14ac:dyDescent="0.25">
      <c r="A610" s="3">
        <v>45702.15016203704</v>
      </c>
      <c r="B610" t="s">
        <v>144</v>
      </c>
      <c r="C610" s="3">
        <v>45702.151504629626</v>
      </c>
      <c r="D610" t="s">
        <v>146</v>
      </c>
      <c r="E610" s="4">
        <v>0.32700000000000001</v>
      </c>
      <c r="F610" s="4">
        <v>216254.147</v>
      </c>
      <c r="G610" s="4">
        <v>216254.47399999999</v>
      </c>
      <c r="H610" s="5">
        <f>0 / 86400</f>
        <v>0</v>
      </c>
      <c r="I610" t="s">
        <v>99</v>
      </c>
      <c r="J610" t="s">
        <v>126</v>
      </c>
      <c r="K610" s="5">
        <f>116 / 86400</f>
        <v>1.3425925925925925E-3</v>
      </c>
      <c r="L610" s="5">
        <f>412 / 86400</f>
        <v>4.7685185185185183E-3</v>
      </c>
    </row>
    <row r="611" spans="1:12" x14ac:dyDescent="0.25">
      <c r="A611" s="3">
        <v>45702.156273148154</v>
      </c>
      <c r="B611" t="s">
        <v>146</v>
      </c>
      <c r="C611" s="3">
        <v>45702.258310185185</v>
      </c>
      <c r="D611" t="s">
        <v>288</v>
      </c>
      <c r="E611" s="4">
        <v>51.15</v>
      </c>
      <c r="F611" s="4">
        <v>216254.47399999999</v>
      </c>
      <c r="G611" s="4">
        <v>216305.62400000001</v>
      </c>
      <c r="H611" s="5">
        <f>3020 / 86400</f>
        <v>3.4953703703703702E-2</v>
      </c>
      <c r="I611" t="s">
        <v>33</v>
      </c>
      <c r="J611" t="s">
        <v>21</v>
      </c>
      <c r="K611" s="5">
        <f>8816 / 86400</f>
        <v>0.10203703703703704</v>
      </c>
      <c r="L611" s="5">
        <f>344 / 86400</f>
        <v>3.9814814814814817E-3</v>
      </c>
    </row>
    <row r="612" spans="1:12" x14ac:dyDescent="0.25">
      <c r="A612" s="3">
        <v>45702.262291666666</v>
      </c>
      <c r="B612" t="s">
        <v>288</v>
      </c>
      <c r="C612" s="3">
        <v>45702.262465277774</v>
      </c>
      <c r="D612" t="s">
        <v>288</v>
      </c>
      <c r="E612" s="4">
        <v>1.0999999999999999E-2</v>
      </c>
      <c r="F612" s="4">
        <v>216305.62400000001</v>
      </c>
      <c r="G612" s="4">
        <v>216305.63500000001</v>
      </c>
      <c r="H612" s="5">
        <f>0 / 86400</f>
        <v>0</v>
      </c>
      <c r="I612" t="s">
        <v>127</v>
      </c>
      <c r="J612" t="s">
        <v>152</v>
      </c>
      <c r="K612" s="5">
        <f>15 / 86400</f>
        <v>1.7361111111111112E-4</v>
      </c>
      <c r="L612" s="5">
        <f>144 / 86400</f>
        <v>1.6666666666666668E-3</v>
      </c>
    </row>
    <row r="613" spans="1:12" x14ac:dyDescent="0.25">
      <c r="A613" s="3">
        <v>45702.264131944445</v>
      </c>
      <c r="B613" t="s">
        <v>288</v>
      </c>
      <c r="C613" s="3">
        <v>45702.406967592593</v>
      </c>
      <c r="D613" t="s">
        <v>87</v>
      </c>
      <c r="E613" s="4">
        <v>50.978999999999999</v>
      </c>
      <c r="F613" s="4">
        <v>216305.63500000001</v>
      </c>
      <c r="G613" s="4">
        <v>216356.614</v>
      </c>
      <c r="H613" s="5">
        <f>5146 / 86400</f>
        <v>5.9560185185185188E-2</v>
      </c>
      <c r="I613" t="s">
        <v>33</v>
      </c>
      <c r="J613" t="s">
        <v>31</v>
      </c>
      <c r="K613" s="5">
        <f>12341 / 86400</f>
        <v>0.14283564814814814</v>
      </c>
      <c r="L613" s="5">
        <f>1662 / 86400</f>
        <v>1.923611111111111E-2</v>
      </c>
    </row>
    <row r="614" spans="1:12" x14ac:dyDescent="0.25">
      <c r="A614" s="3">
        <v>45702.426203703704</v>
      </c>
      <c r="B614" t="s">
        <v>87</v>
      </c>
      <c r="C614" s="3">
        <v>45702.426365740743</v>
      </c>
      <c r="D614" t="s">
        <v>87</v>
      </c>
      <c r="E614" s="4">
        <v>0</v>
      </c>
      <c r="F614" s="4">
        <v>216356.614</v>
      </c>
      <c r="G614" s="4">
        <v>216356.614</v>
      </c>
      <c r="H614" s="5">
        <f>0 / 86400</f>
        <v>0</v>
      </c>
      <c r="I614" t="s">
        <v>88</v>
      </c>
      <c r="J614" t="s">
        <v>88</v>
      </c>
      <c r="K614" s="5">
        <f>13 / 86400</f>
        <v>1.5046296296296297E-4</v>
      </c>
      <c r="L614" s="5">
        <f>12 / 86400</f>
        <v>1.3888888888888889E-4</v>
      </c>
    </row>
    <row r="615" spans="1:12" x14ac:dyDescent="0.25">
      <c r="A615" s="3">
        <v>45702.426504629635</v>
      </c>
      <c r="B615" t="s">
        <v>87</v>
      </c>
      <c r="C615" s="3">
        <v>45702.426574074074</v>
      </c>
      <c r="D615" t="s">
        <v>87</v>
      </c>
      <c r="E615" s="4">
        <v>0</v>
      </c>
      <c r="F615" s="4">
        <v>216356.614</v>
      </c>
      <c r="G615" s="4">
        <v>216356.614</v>
      </c>
      <c r="H615" s="5">
        <f>0 / 86400</f>
        <v>0</v>
      </c>
      <c r="I615" t="s">
        <v>88</v>
      </c>
      <c r="J615" t="s">
        <v>88</v>
      </c>
      <c r="K615" s="5">
        <f>6 / 86400</f>
        <v>6.9444444444444444E-5</v>
      </c>
      <c r="L615" s="5">
        <f>27 / 86400</f>
        <v>3.1250000000000001E-4</v>
      </c>
    </row>
    <row r="616" spans="1:12" x14ac:dyDescent="0.25">
      <c r="A616" s="3">
        <v>45702.426886574074</v>
      </c>
      <c r="B616" t="s">
        <v>87</v>
      </c>
      <c r="C616" s="3">
        <v>45702.426944444444</v>
      </c>
      <c r="D616" t="s">
        <v>87</v>
      </c>
      <c r="E616" s="4">
        <v>0</v>
      </c>
      <c r="F616" s="4">
        <v>216356.614</v>
      </c>
      <c r="G616" s="4">
        <v>216356.614</v>
      </c>
      <c r="H616" s="5">
        <f>0 / 86400</f>
        <v>0</v>
      </c>
      <c r="I616" t="s">
        <v>88</v>
      </c>
      <c r="J616" t="s">
        <v>88</v>
      </c>
      <c r="K616" s="5">
        <f>4 / 86400</f>
        <v>4.6296296296296294E-5</v>
      </c>
      <c r="L616" s="5">
        <f>46 / 86400</f>
        <v>5.3240740740740744E-4</v>
      </c>
    </row>
    <row r="617" spans="1:12" x14ac:dyDescent="0.25">
      <c r="A617" s="3">
        <v>45702.427476851852</v>
      </c>
      <c r="B617" t="s">
        <v>87</v>
      </c>
      <c r="C617" s="3">
        <v>45702.427500000005</v>
      </c>
      <c r="D617" t="s">
        <v>87</v>
      </c>
      <c r="E617" s="4">
        <v>0</v>
      </c>
      <c r="F617" s="4">
        <v>216356.614</v>
      </c>
      <c r="G617" s="4">
        <v>216356.614</v>
      </c>
      <c r="H617" s="5">
        <f>0 / 86400</f>
        <v>0</v>
      </c>
      <c r="I617" t="s">
        <v>88</v>
      </c>
      <c r="J617" t="s">
        <v>88</v>
      </c>
      <c r="K617" s="5">
        <f>1 / 86400</f>
        <v>1.1574074074074073E-5</v>
      </c>
      <c r="L617" s="5">
        <f>909 / 86400</f>
        <v>1.0520833333333333E-2</v>
      </c>
    </row>
    <row r="618" spans="1:12" x14ac:dyDescent="0.25">
      <c r="A618" s="3">
        <v>45702.438020833331</v>
      </c>
      <c r="B618" t="s">
        <v>87</v>
      </c>
      <c r="C618" s="3">
        <v>45702.439583333333</v>
      </c>
      <c r="D618" t="s">
        <v>87</v>
      </c>
      <c r="E618" s="4">
        <v>2E-3</v>
      </c>
      <c r="F618" s="4">
        <v>216356.614</v>
      </c>
      <c r="G618" s="4">
        <v>216356.61600000001</v>
      </c>
      <c r="H618" s="5">
        <f>119 / 86400</f>
        <v>1.3773148148148147E-3</v>
      </c>
      <c r="I618" t="s">
        <v>88</v>
      </c>
      <c r="J618" t="s">
        <v>88</v>
      </c>
      <c r="K618" s="5">
        <f>135 / 86400</f>
        <v>1.5625000000000001E-3</v>
      </c>
      <c r="L618" s="5">
        <f>5750 / 86400</f>
        <v>6.655092592592593E-2</v>
      </c>
    </row>
    <row r="619" spans="1:12" x14ac:dyDescent="0.25">
      <c r="A619" s="3">
        <v>45702.50613425926</v>
      </c>
      <c r="B619" t="s">
        <v>87</v>
      </c>
      <c r="C619" s="3">
        <v>45702.737581018519</v>
      </c>
      <c r="D619" t="s">
        <v>228</v>
      </c>
      <c r="E619" s="4">
        <v>88.222999999999999</v>
      </c>
      <c r="F619" s="4">
        <v>216356.61600000001</v>
      </c>
      <c r="G619" s="4">
        <v>216444.83900000001</v>
      </c>
      <c r="H619" s="5">
        <f>7839 / 86400</f>
        <v>9.0729166666666666E-2</v>
      </c>
      <c r="I619" t="s">
        <v>73</v>
      </c>
      <c r="J619" t="s">
        <v>34</v>
      </c>
      <c r="K619" s="5">
        <f>19997 / 86400</f>
        <v>0.23144675925925925</v>
      </c>
      <c r="L619" s="5">
        <f>248 / 86400</f>
        <v>2.8703703703703703E-3</v>
      </c>
    </row>
    <row r="620" spans="1:12" x14ac:dyDescent="0.25">
      <c r="A620" s="3">
        <v>45702.740451388891</v>
      </c>
      <c r="B620" t="s">
        <v>229</v>
      </c>
      <c r="C620" s="3">
        <v>45702.745300925926</v>
      </c>
      <c r="D620" t="s">
        <v>228</v>
      </c>
      <c r="E620" s="4">
        <v>0.55800000000000005</v>
      </c>
      <c r="F620" s="4">
        <v>216444.83900000001</v>
      </c>
      <c r="G620" s="4">
        <v>216445.397</v>
      </c>
      <c r="H620" s="5">
        <f>200 / 86400</f>
        <v>2.3148148148148147E-3</v>
      </c>
      <c r="I620" t="s">
        <v>37</v>
      </c>
      <c r="J620" t="s">
        <v>127</v>
      </c>
      <c r="K620" s="5">
        <f>419 / 86400</f>
        <v>4.8495370370370368E-3</v>
      </c>
      <c r="L620" s="5">
        <f>86 / 86400</f>
        <v>9.9537037037037042E-4</v>
      </c>
    </row>
    <row r="621" spans="1:12" x14ac:dyDescent="0.25">
      <c r="A621" s="3">
        <v>45702.746296296296</v>
      </c>
      <c r="B621" t="s">
        <v>228</v>
      </c>
      <c r="C621" s="3">
        <v>45702.884236111116</v>
      </c>
      <c r="D621" t="s">
        <v>128</v>
      </c>
      <c r="E621" s="4">
        <v>62.395000000000003</v>
      </c>
      <c r="F621" s="4">
        <v>216445.397</v>
      </c>
      <c r="G621" s="4">
        <v>216507.79199999999</v>
      </c>
      <c r="H621" s="5">
        <f>4059 / 86400</f>
        <v>4.6979166666666669E-2</v>
      </c>
      <c r="I621" t="s">
        <v>49</v>
      </c>
      <c r="J621" t="s">
        <v>99</v>
      </c>
      <c r="K621" s="5">
        <f>11917 / 86400</f>
        <v>0.13792824074074075</v>
      </c>
      <c r="L621" s="5">
        <f>999 / 86400</f>
        <v>1.15625E-2</v>
      </c>
    </row>
    <row r="622" spans="1:12" x14ac:dyDescent="0.25">
      <c r="A622" s="3">
        <v>45702.895798611113</v>
      </c>
      <c r="B622" t="s">
        <v>128</v>
      </c>
      <c r="C622" s="3">
        <v>45702.899710648147</v>
      </c>
      <c r="D622" t="s">
        <v>48</v>
      </c>
      <c r="E622" s="4">
        <v>1.0049999999999999</v>
      </c>
      <c r="F622" s="4">
        <v>216507.79199999999</v>
      </c>
      <c r="G622" s="4">
        <v>216508.79699999999</v>
      </c>
      <c r="H622" s="5">
        <f>60 / 86400</f>
        <v>6.9444444444444447E-4</v>
      </c>
      <c r="I622" t="s">
        <v>157</v>
      </c>
      <c r="J622" t="s">
        <v>53</v>
      </c>
      <c r="K622" s="5">
        <f>338 / 86400</f>
        <v>3.9120370370370368E-3</v>
      </c>
      <c r="L622" s="5">
        <f>17 / 86400</f>
        <v>1.9675925925925926E-4</v>
      </c>
    </row>
    <row r="623" spans="1:12" x14ac:dyDescent="0.25">
      <c r="A623" s="3">
        <v>45702.899907407409</v>
      </c>
      <c r="B623" t="s">
        <v>48</v>
      </c>
      <c r="C623" s="3">
        <v>45702.899976851855</v>
      </c>
      <c r="D623" t="s">
        <v>48</v>
      </c>
      <c r="E623" s="4">
        <v>0</v>
      </c>
      <c r="F623" s="4">
        <v>216508.79699999999</v>
      </c>
      <c r="G623" s="4">
        <v>216508.79699999999</v>
      </c>
      <c r="H623" s="5">
        <f>0 / 86400</f>
        <v>0</v>
      </c>
      <c r="I623" t="s">
        <v>88</v>
      </c>
      <c r="J623" t="s">
        <v>88</v>
      </c>
      <c r="K623" s="5">
        <f>6 / 86400</f>
        <v>6.9444444444444444E-5</v>
      </c>
      <c r="L623" s="5">
        <f>8641 / 86400</f>
        <v>0.10001157407407407</v>
      </c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s="10" customFormat="1" ht="20.100000000000001" customHeight="1" x14ac:dyDescent="0.35">
      <c r="A626" s="15" t="s">
        <v>432</v>
      </c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ht="30" x14ac:dyDescent="0.25">
      <c r="A628" s="2" t="s">
        <v>6</v>
      </c>
      <c r="B628" s="2" t="s">
        <v>7</v>
      </c>
      <c r="C628" s="2" t="s">
        <v>8</v>
      </c>
      <c r="D628" s="2" t="s">
        <v>9</v>
      </c>
      <c r="E628" s="2" t="s">
        <v>10</v>
      </c>
      <c r="F628" s="2" t="s">
        <v>11</v>
      </c>
      <c r="G628" s="2" t="s">
        <v>12</v>
      </c>
      <c r="H628" s="2" t="s">
        <v>13</v>
      </c>
      <c r="I628" s="2" t="s">
        <v>14</v>
      </c>
      <c r="J628" s="2" t="s">
        <v>15</v>
      </c>
      <c r="K628" s="2" t="s">
        <v>16</v>
      </c>
      <c r="L628" s="2" t="s">
        <v>17</v>
      </c>
    </row>
    <row r="629" spans="1:12" x14ac:dyDescent="0.25">
      <c r="A629" s="3">
        <v>45702.255648148144</v>
      </c>
      <c r="B629" t="s">
        <v>50</v>
      </c>
      <c r="C629" s="3">
        <v>45702.263923611114</v>
      </c>
      <c r="D629" t="s">
        <v>176</v>
      </c>
      <c r="E629" s="4">
        <v>1.542</v>
      </c>
      <c r="F629" s="4">
        <v>525395.40700000001</v>
      </c>
      <c r="G629" s="4">
        <v>525396.94900000002</v>
      </c>
      <c r="H629" s="5">
        <f>279 / 86400</f>
        <v>3.2291666666666666E-3</v>
      </c>
      <c r="I629" t="s">
        <v>184</v>
      </c>
      <c r="J629" t="s">
        <v>123</v>
      </c>
      <c r="K629" s="5">
        <f>714 / 86400</f>
        <v>8.2638888888888883E-3</v>
      </c>
      <c r="L629" s="5">
        <f>25060 / 86400</f>
        <v>0.2900462962962963</v>
      </c>
    </row>
    <row r="630" spans="1:12" x14ac:dyDescent="0.25">
      <c r="A630" s="3">
        <v>45702.298321759255</v>
      </c>
      <c r="B630" t="s">
        <v>38</v>
      </c>
      <c r="C630" s="3">
        <v>45702.385879629626</v>
      </c>
      <c r="D630" t="s">
        <v>346</v>
      </c>
      <c r="E630" s="4">
        <v>26.486999999999998</v>
      </c>
      <c r="F630" s="4">
        <v>525396.94900000002</v>
      </c>
      <c r="G630" s="4">
        <v>525423.43599999999</v>
      </c>
      <c r="H630" s="5">
        <f>2999 / 86400</f>
        <v>3.471064814814815E-2</v>
      </c>
      <c r="I630" t="s">
        <v>134</v>
      </c>
      <c r="J630" t="s">
        <v>35</v>
      </c>
      <c r="K630" s="5">
        <f>7565 / 86400</f>
        <v>8.7557870370370369E-2</v>
      </c>
      <c r="L630" s="5">
        <f>1301 / 86400</f>
        <v>1.5057870370370371E-2</v>
      </c>
    </row>
    <row r="631" spans="1:12" x14ac:dyDescent="0.25">
      <c r="A631" s="3">
        <v>45702.400937500002</v>
      </c>
      <c r="B631" t="s">
        <v>347</v>
      </c>
      <c r="C631" s="3">
        <v>45702.531585648147</v>
      </c>
      <c r="D631" t="s">
        <v>366</v>
      </c>
      <c r="E631" s="4">
        <v>32.704999999940398</v>
      </c>
      <c r="F631" s="4">
        <v>525423.43599999999</v>
      </c>
      <c r="G631" s="4">
        <v>525456.14099999995</v>
      </c>
      <c r="H631" s="5">
        <f>4878 / 86400</f>
        <v>5.6458333333333333E-2</v>
      </c>
      <c r="I631" t="s">
        <v>151</v>
      </c>
      <c r="J631" t="s">
        <v>126</v>
      </c>
      <c r="K631" s="5">
        <f>11288 / 86400</f>
        <v>0.13064814814814815</v>
      </c>
      <c r="L631" s="5">
        <f>1670 / 86400</f>
        <v>1.9328703703703702E-2</v>
      </c>
    </row>
    <row r="632" spans="1:12" x14ac:dyDescent="0.25">
      <c r="A632" s="3">
        <v>45702.55091435185</v>
      </c>
      <c r="B632" t="s">
        <v>366</v>
      </c>
      <c r="C632" s="3">
        <v>45702.576909722222</v>
      </c>
      <c r="D632" t="s">
        <v>322</v>
      </c>
      <c r="E632" s="4">
        <v>11.604000000059605</v>
      </c>
      <c r="F632" s="4">
        <v>525456.14099999995</v>
      </c>
      <c r="G632" s="4">
        <v>525467.745</v>
      </c>
      <c r="H632" s="5">
        <f>458 / 86400</f>
        <v>5.3009259259259259E-3</v>
      </c>
      <c r="I632" t="s">
        <v>187</v>
      </c>
      <c r="J632" t="s">
        <v>99</v>
      </c>
      <c r="K632" s="5">
        <f>2246 / 86400</f>
        <v>2.599537037037037E-2</v>
      </c>
      <c r="L632" s="5">
        <f>550 / 86400</f>
        <v>6.3657407407407404E-3</v>
      </c>
    </row>
    <row r="633" spans="1:12" x14ac:dyDescent="0.25">
      <c r="A633" s="3">
        <v>45702.583275462966</v>
      </c>
      <c r="B633" t="s">
        <v>322</v>
      </c>
      <c r="C633" s="3">
        <v>45702.591643518521</v>
      </c>
      <c r="D633" t="s">
        <v>29</v>
      </c>
      <c r="E633" s="4">
        <v>3.9169999999999998</v>
      </c>
      <c r="F633" s="4">
        <v>525467.745</v>
      </c>
      <c r="G633" s="4">
        <v>525471.66200000001</v>
      </c>
      <c r="H633" s="5">
        <f>20 / 86400</f>
        <v>2.3148148148148149E-4</v>
      </c>
      <c r="I633" t="s">
        <v>173</v>
      </c>
      <c r="J633" t="s">
        <v>145</v>
      </c>
      <c r="K633" s="5">
        <f>722 / 86400</f>
        <v>8.3564814814814821E-3</v>
      </c>
      <c r="L633" s="5">
        <f>412 / 86400</f>
        <v>4.7685185185185183E-3</v>
      </c>
    </row>
    <row r="634" spans="1:12" x14ac:dyDescent="0.25">
      <c r="A634" s="3">
        <v>45702.596412037034</v>
      </c>
      <c r="B634" t="s">
        <v>165</v>
      </c>
      <c r="C634" s="3">
        <v>45702.597361111111</v>
      </c>
      <c r="D634" t="s">
        <v>165</v>
      </c>
      <c r="E634" s="4">
        <v>1.8000000059604646E-2</v>
      </c>
      <c r="F634" s="4">
        <v>525471.66200000001</v>
      </c>
      <c r="G634" s="4">
        <v>525471.68000000005</v>
      </c>
      <c r="H634" s="5">
        <f>60 / 86400</f>
        <v>6.9444444444444447E-4</v>
      </c>
      <c r="I634" t="s">
        <v>152</v>
      </c>
      <c r="J634" t="s">
        <v>120</v>
      </c>
      <c r="K634" s="5">
        <f>82 / 86400</f>
        <v>9.4907407407407408E-4</v>
      </c>
      <c r="L634" s="5">
        <f>86 / 86400</f>
        <v>9.9537037037037042E-4</v>
      </c>
    </row>
    <row r="635" spans="1:12" x14ac:dyDescent="0.25">
      <c r="A635" s="3">
        <v>45702.598356481481</v>
      </c>
      <c r="B635" t="s">
        <v>29</v>
      </c>
      <c r="C635" s="3">
        <v>45702.599189814813</v>
      </c>
      <c r="D635" t="s">
        <v>29</v>
      </c>
      <c r="E635" s="4">
        <v>5.9999999403953551E-3</v>
      </c>
      <c r="F635" s="4">
        <v>525471.68000000005</v>
      </c>
      <c r="G635" s="4">
        <v>525471.68599999999</v>
      </c>
      <c r="H635" s="5">
        <f>59 / 86400</f>
        <v>6.8287037037037036E-4</v>
      </c>
      <c r="I635" t="s">
        <v>88</v>
      </c>
      <c r="J635" t="s">
        <v>88</v>
      </c>
      <c r="K635" s="5">
        <f>72 / 86400</f>
        <v>8.3333333333333339E-4</v>
      </c>
      <c r="L635" s="5">
        <f>2572 / 86400</f>
        <v>2.9768518518518517E-2</v>
      </c>
    </row>
    <row r="636" spans="1:12" x14ac:dyDescent="0.25">
      <c r="A636" s="3">
        <v>45702.628958333335</v>
      </c>
      <c r="B636" t="s">
        <v>165</v>
      </c>
      <c r="C636" s="3">
        <v>45702.766423611116</v>
      </c>
      <c r="D636" t="s">
        <v>158</v>
      </c>
      <c r="E636" s="4">
        <v>36.947999999940393</v>
      </c>
      <c r="F636" s="4">
        <v>525471.68599999999</v>
      </c>
      <c r="G636" s="4">
        <v>525508.63399999996</v>
      </c>
      <c r="H636" s="5">
        <f>5357 / 86400</f>
        <v>6.2002314814814816E-2</v>
      </c>
      <c r="I636" t="s">
        <v>52</v>
      </c>
      <c r="J636" t="s">
        <v>53</v>
      </c>
      <c r="K636" s="5">
        <f>11877 / 86400</f>
        <v>0.13746527777777778</v>
      </c>
      <c r="L636" s="5">
        <f>535 / 86400</f>
        <v>6.1921296296296299E-3</v>
      </c>
    </row>
    <row r="637" spans="1:12" x14ac:dyDescent="0.25">
      <c r="A637" s="3">
        <v>45702.772615740745</v>
      </c>
      <c r="B637" t="s">
        <v>158</v>
      </c>
      <c r="C637" s="3">
        <v>45702.893530092595</v>
      </c>
      <c r="D637" t="s">
        <v>76</v>
      </c>
      <c r="E637" s="4">
        <v>31.838000000000001</v>
      </c>
      <c r="F637" s="4">
        <v>525508.63399999996</v>
      </c>
      <c r="G637" s="4">
        <v>525540.47199999995</v>
      </c>
      <c r="H637" s="5">
        <f>4441 / 86400</f>
        <v>5.140046296296296E-2</v>
      </c>
      <c r="I637" t="s">
        <v>56</v>
      </c>
      <c r="J637" t="s">
        <v>53</v>
      </c>
      <c r="K637" s="5">
        <f>10446 / 86400</f>
        <v>0.12090277777777778</v>
      </c>
      <c r="L637" s="5">
        <f>379 / 86400</f>
        <v>4.386574074074074E-3</v>
      </c>
    </row>
    <row r="638" spans="1:12" x14ac:dyDescent="0.25">
      <c r="A638" s="3">
        <v>45702.897916666669</v>
      </c>
      <c r="B638" t="s">
        <v>76</v>
      </c>
      <c r="C638" s="3">
        <v>45702.919444444444</v>
      </c>
      <c r="D638" t="s">
        <v>51</v>
      </c>
      <c r="E638" s="4">
        <v>2.0760000000000001</v>
      </c>
      <c r="F638" s="4">
        <v>525540.47199999995</v>
      </c>
      <c r="G638" s="4">
        <v>525542.54799999995</v>
      </c>
      <c r="H638" s="5">
        <f>1221 / 86400</f>
        <v>1.4131944444444445E-2</v>
      </c>
      <c r="I638" t="s">
        <v>166</v>
      </c>
      <c r="J638" t="s">
        <v>156</v>
      </c>
      <c r="K638" s="5">
        <f>1860 / 86400</f>
        <v>2.1527777777777778E-2</v>
      </c>
      <c r="L638" s="5">
        <f>6959 / 86400</f>
        <v>8.054398148148148E-2</v>
      </c>
    </row>
    <row r="639" spans="1:1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2" s="10" customFormat="1" ht="20.100000000000001" customHeight="1" x14ac:dyDescent="0.35">
      <c r="A641" s="15" t="s">
        <v>433</v>
      </c>
      <c r="B641" s="15"/>
      <c r="C641" s="15"/>
      <c r="D641" s="15"/>
      <c r="E641" s="15"/>
      <c r="F641" s="15"/>
      <c r="G641" s="15"/>
      <c r="H641" s="15"/>
      <c r="I641" s="15"/>
      <c r="J641" s="15"/>
    </row>
    <row r="642" spans="1:1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2" ht="30" x14ac:dyDescent="0.25">
      <c r="A643" s="2" t="s">
        <v>6</v>
      </c>
      <c r="B643" s="2" t="s">
        <v>7</v>
      </c>
      <c r="C643" s="2" t="s">
        <v>8</v>
      </c>
      <c r="D643" s="2" t="s">
        <v>9</v>
      </c>
      <c r="E643" s="2" t="s">
        <v>10</v>
      </c>
      <c r="F643" s="2" t="s">
        <v>11</v>
      </c>
      <c r="G643" s="2" t="s">
        <v>12</v>
      </c>
      <c r="H643" s="2" t="s">
        <v>13</v>
      </c>
      <c r="I643" s="2" t="s">
        <v>14</v>
      </c>
      <c r="J643" s="2" t="s">
        <v>15</v>
      </c>
      <c r="K643" s="2" t="s">
        <v>16</v>
      </c>
      <c r="L643" s="2" t="s">
        <v>17</v>
      </c>
    </row>
    <row r="644" spans="1:12" x14ac:dyDescent="0.25">
      <c r="A644" s="3">
        <v>45702.249351851853</v>
      </c>
      <c r="B644" t="s">
        <v>54</v>
      </c>
      <c r="C644" s="3">
        <v>45702.37568287037</v>
      </c>
      <c r="D644" t="s">
        <v>158</v>
      </c>
      <c r="E644" s="4">
        <v>50.218000000000004</v>
      </c>
      <c r="F644" s="4">
        <v>344893.64899999998</v>
      </c>
      <c r="G644" s="4">
        <v>344943.86700000003</v>
      </c>
      <c r="H644" s="5">
        <f>3939 / 86400</f>
        <v>4.5590277777777778E-2</v>
      </c>
      <c r="I644" t="s">
        <v>27</v>
      </c>
      <c r="J644" t="s">
        <v>28</v>
      </c>
      <c r="K644" s="5">
        <f>10914 / 86400</f>
        <v>0.12631944444444446</v>
      </c>
      <c r="L644" s="5">
        <f>21851 / 86400</f>
        <v>0.25290509259259258</v>
      </c>
    </row>
    <row r="645" spans="1:12" x14ac:dyDescent="0.25">
      <c r="A645" s="3">
        <v>45702.379236111112</v>
      </c>
      <c r="B645" t="s">
        <v>158</v>
      </c>
      <c r="C645" s="3">
        <v>45702.515671296293</v>
      </c>
      <c r="D645" t="s">
        <v>87</v>
      </c>
      <c r="E645" s="4">
        <v>50.48</v>
      </c>
      <c r="F645" s="4">
        <v>344943.86700000003</v>
      </c>
      <c r="G645" s="4">
        <v>344994.34700000001</v>
      </c>
      <c r="H645" s="5">
        <f>4639 / 86400</f>
        <v>5.3692129629629631E-2</v>
      </c>
      <c r="I645" t="s">
        <v>61</v>
      </c>
      <c r="J645" t="s">
        <v>31</v>
      </c>
      <c r="K645" s="5">
        <f>11787 / 86400</f>
        <v>0.13642361111111112</v>
      </c>
      <c r="L645" s="5">
        <f>72 / 86400</f>
        <v>8.3333333333333339E-4</v>
      </c>
    </row>
    <row r="646" spans="1:12" x14ac:dyDescent="0.25">
      <c r="A646" s="3">
        <v>45702.516504629632</v>
      </c>
      <c r="B646" t="s">
        <v>87</v>
      </c>
      <c r="C646" s="3">
        <v>45702.517847222218</v>
      </c>
      <c r="D646" t="s">
        <v>87</v>
      </c>
      <c r="E646" s="4">
        <v>4.7E-2</v>
      </c>
      <c r="F646" s="4">
        <v>344994.34700000001</v>
      </c>
      <c r="G646" s="4">
        <v>344994.39399999997</v>
      </c>
      <c r="H646" s="5">
        <f>60 / 86400</f>
        <v>6.9444444444444447E-4</v>
      </c>
      <c r="I646" t="s">
        <v>152</v>
      </c>
      <c r="J646" t="s">
        <v>120</v>
      </c>
      <c r="K646" s="5">
        <f>115 / 86400</f>
        <v>1.3310185185185185E-3</v>
      </c>
      <c r="L646" s="5">
        <f>5037 / 86400</f>
        <v>5.8298611111111114E-2</v>
      </c>
    </row>
    <row r="647" spans="1:12" x14ac:dyDescent="0.25">
      <c r="A647" s="3">
        <v>45702.576145833329</v>
      </c>
      <c r="B647" t="s">
        <v>87</v>
      </c>
      <c r="C647" s="3">
        <v>45702.851909722223</v>
      </c>
      <c r="D647" t="s">
        <v>128</v>
      </c>
      <c r="E647" s="4">
        <v>99.947999999999993</v>
      </c>
      <c r="F647" s="4">
        <v>344994.39399999997</v>
      </c>
      <c r="G647" s="4">
        <v>345094.342</v>
      </c>
      <c r="H647" s="5">
        <f>9040 / 86400</f>
        <v>0.10462962962962963</v>
      </c>
      <c r="I647" t="s">
        <v>73</v>
      </c>
      <c r="J647" t="s">
        <v>31</v>
      </c>
      <c r="K647" s="5">
        <f>23826 / 86400</f>
        <v>0.27576388888888886</v>
      </c>
      <c r="L647" s="5">
        <f>303 / 86400</f>
        <v>3.5069444444444445E-3</v>
      </c>
    </row>
    <row r="648" spans="1:12" x14ac:dyDescent="0.25">
      <c r="A648" s="3">
        <v>45702.855416666665</v>
      </c>
      <c r="B648" t="s">
        <v>128</v>
      </c>
      <c r="C648" s="3">
        <v>45702.856539351851</v>
      </c>
      <c r="D648" t="s">
        <v>144</v>
      </c>
      <c r="E648" s="4">
        <v>0.22500000000000001</v>
      </c>
      <c r="F648" s="4">
        <v>345094.342</v>
      </c>
      <c r="G648" s="4">
        <v>345094.56699999998</v>
      </c>
      <c r="H648" s="5">
        <f>0 / 86400</f>
        <v>0</v>
      </c>
      <c r="I648" t="s">
        <v>21</v>
      </c>
      <c r="J648" t="s">
        <v>123</v>
      </c>
      <c r="K648" s="5">
        <f>96 / 86400</f>
        <v>1.1111111111111111E-3</v>
      </c>
      <c r="L648" s="5">
        <f>379 / 86400</f>
        <v>4.386574074074074E-3</v>
      </c>
    </row>
    <row r="649" spans="1:12" x14ac:dyDescent="0.25">
      <c r="A649" s="3">
        <v>45702.860925925925</v>
      </c>
      <c r="B649" t="s">
        <v>144</v>
      </c>
      <c r="C649" s="3">
        <v>45702.861215277779</v>
      </c>
      <c r="D649" t="s">
        <v>144</v>
      </c>
      <c r="E649" s="4">
        <v>3.5000000000000003E-2</v>
      </c>
      <c r="F649" s="4">
        <v>345094.56699999998</v>
      </c>
      <c r="G649" s="4">
        <v>345094.60200000001</v>
      </c>
      <c r="H649" s="5">
        <f>0 / 86400</f>
        <v>0</v>
      </c>
      <c r="I649" t="s">
        <v>132</v>
      </c>
      <c r="J649" t="s">
        <v>127</v>
      </c>
      <c r="K649" s="5">
        <f>25 / 86400</f>
        <v>2.8935185185185184E-4</v>
      </c>
      <c r="L649" s="5">
        <f>303 / 86400</f>
        <v>3.5069444444444445E-3</v>
      </c>
    </row>
    <row r="650" spans="1:12" x14ac:dyDescent="0.25">
      <c r="A650" s="3">
        <v>45702.864722222221</v>
      </c>
      <c r="B650" t="s">
        <v>144</v>
      </c>
      <c r="C650" s="3">
        <v>45702.865879629629</v>
      </c>
      <c r="D650" t="s">
        <v>137</v>
      </c>
      <c r="E650" s="4">
        <v>8.1000000000000003E-2</v>
      </c>
      <c r="F650" s="4">
        <v>345094.60200000001</v>
      </c>
      <c r="G650" s="4">
        <v>345094.68300000002</v>
      </c>
      <c r="H650" s="5">
        <f>39 / 86400</f>
        <v>4.5138888888888887E-4</v>
      </c>
      <c r="I650" t="s">
        <v>138</v>
      </c>
      <c r="J650" t="s">
        <v>152</v>
      </c>
      <c r="K650" s="5">
        <f>100 / 86400</f>
        <v>1.1574074074074073E-3</v>
      </c>
      <c r="L650" s="5">
        <f>3216 / 86400</f>
        <v>3.7222222222222219E-2</v>
      </c>
    </row>
    <row r="651" spans="1:12" x14ac:dyDescent="0.25">
      <c r="A651" s="3">
        <v>45702.903101851851</v>
      </c>
      <c r="B651" t="s">
        <v>137</v>
      </c>
      <c r="C651" s="3">
        <v>45702.90552083333</v>
      </c>
      <c r="D651" t="s">
        <v>54</v>
      </c>
      <c r="E651" s="4">
        <v>0.72699999999999998</v>
      </c>
      <c r="F651" s="4">
        <v>345094.68300000002</v>
      </c>
      <c r="G651" s="4">
        <v>345095.41</v>
      </c>
      <c r="H651" s="5">
        <f>0 / 86400</f>
        <v>0</v>
      </c>
      <c r="I651" t="s">
        <v>37</v>
      </c>
      <c r="J651" t="s">
        <v>35</v>
      </c>
      <c r="K651" s="5">
        <f>208 / 86400</f>
        <v>2.4074074074074076E-3</v>
      </c>
      <c r="L651" s="5">
        <f>223 / 86400</f>
        <v>2.5810185185185185E-3</v>
      </c>
    </row>
    <row r="652" spans="1:12" x14ac:dyDescent="0.25">
      <c r="A652" s="3">
        <v>45702.908101851848</v>
      </c>
      <c r="B652" t="s">
        <v>54</v>
      </c>
      <c r="C652" s="3">
        <v>45702.909351851849</v>
      </c>
      <c r="D652" t="s">
        <v>54</v>
      </c>
      <c r="E652" s="4">
        <v>3.4000000000000002E-2</v>
      </c>
      <c r="F652" s="4">
        <v>345095.41</v>
      </c>
      <c r="G652" s="4">
        <v>345095.44400000002</v>
      </c>
      <c r="H652" s="5">
        <f>60 / 86400</f>
        <v>6.9444444444444447E-4</v>
      </c>
      <c r="I652" t="s">
        <v>127</v>
      </c>
      <c r="J652" t="s">
        <v>120</v>
      </c>
      <c r="K652" s="5">
        <f>107 / 86400</f>
        <v>1.238425925925926E-3</v>
      </c>
      <c r="L652" s="5">
        <f>7831 / 86400</f>
        <v>9.0636574074074078E-2</v>
      </c>
    </row>
    <row r="653" spans="1:1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s="10" customFormat="1" ht="20.100000000000001" customHeight="1" x14ac:dyDescent="0.35">
      <c r="A655" s="15" t="s">
        <v>434</v>
      </c>
      <c r="B655" s="15"/>
      <c r="C655" s="15"/>
      <c r="D655" s="15"/>
      <c r="E655" s="15"/>
      <c r="F655" s="15"/>
      <c r="G655" s="15"/>
      <c r="H655" s="15"/>
      <c r="I655" s="15"/>
      <c r="J655" s="15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ht="30" x14ac:dyDescent="0.25">
      <c r="A657" s="2" t="s">
        <v>6</v>
      </c>
      <c r="B657" s="2" t="s">
        <v>7</v>
      </c>
      <c r="C657" s="2" t="s">
        <v>8</v>
      </c>
      <c r="D657" s="2" t="s">
        <v>9</v>
      </c>
      <c r="E657" s="2" t="s">
        <v>10</v>
      </c>
      <c r="F657" s="2" t="s">
        <v>11</v>
      </c>
      <c r="G657" s="2" t="s">
        <v>12</v>
      </c>
      <c r="H657" s="2" t="s">
        <v>13</v>
      </c>
      <c r="I657" s="2" t="s">
        <v>14</v>
      </c>
      <c r="J657" s="2" t="s">
        <v>15</v>
      </c>
      <c r="K657" s="2" t="s">
        <v>16</v>
      </c>
      <c r="L657" s="2" t="s">
        <v>17</v>
      </c>
    </row>
    <row r="658" spans="1:12" x14ac:dyDescent="0.25">
      <c r="A658" s="3">
        <v>45702.253310185188</v>
      </c>
      <c r="B658" t="s">
        <v>55</v>
      </c>
      <c r="C658" s="3">
        <v>45702.383414351847</v>
      </c>
      <c r="D658" t="s">
        <v>87</v>
      </c>
      <c r="E658" s="4">
        <v>47.953000000000003</v>
      </c>
      <c r="F658" s="4">
        <v>426199.51699999999</v>
      </c>
      <c r="G658" s="4">
        <v>426247.47</v>
      </c>
      <c r="H658" s="5">
        <f>4440 / 86400</f>
        <v>5.1388888888888887E-2</v>
      </c>
      <c r="I658" t="s">
        <v>233</v>
      </c>
      <c r="J658" t="s">
        <v>31</v>
      </c>
      <c r="K658" s="5">
        <f>11241 / 86400</f>
        <v>0.13010416666666666</v>
      </c>
      <c r="L658" s="5">
        <f>23763 / 86400</f>
        <v>0.27503472222222225</v>
      </c>
    </row>
    <row r="659" spans="1:12" x14ac:dyDescent="0.25">
      <c r="A659" s="3">
        <v>45702.405138888891</v>
      </c>
      <c r="B659" t="s">
        <v>87</v>
      </c>
      <c r="C659" s="3">
        <v>45702.407199074078</v>
      </c>
      <c r="D659" t="s">
        <v>87</v>
      </c>
      <c r="E659" s="4">
        <v>0.13300000000000001</v>
      </c>
      <c r="F659" s="4">
        <v>426247.47</v>
      </c>
      <c r="G659" s="4">
        <v>426247.603</v>
      </c>
      <c r="H659" s="5">
        <f>60 / 86400</f>
        <v>6.9444444444444447E-4</v>
      </c>
      <c r="I659" t="s">
        <v>57</v>
      </c>
      <c r="J659" t="s">
        <v>152</v>
      </c>
      <c r="K659" s="5">
        <f>177 / 86400</f>
        <v>2.0486111111111113E-3</v>
      </c>
      <c r="L659" s="5">
        <f>826 / 86400</f>
        <v>9.5601851851851855E-3</v>
      </c>
    </row>
    <row r="660" spans="1:12" x14ac:dyDescent="0.25">
      <c r="A660" s="3">
        <v>45702.416759259257</v>
      </c>
      <c r="B660" t="s">
        <v>87</v>
      </c>
      <c r="C660" s="3">
        <v>45702.538784722223</v>
      </c>
      <c r="D660" t="s">
        <v>19</v>
      </c>
      <c r="E660" s="4">
        <v>46.524000000000001</v>
      </c>
      <c r="F660" s="4">
        <v>426247.603</v>
      </c>
      <c r="G660" s="4">
        <v>426294.12699999998</v>
      </c>
      <c r="H660" s="5">
        <f>3738 / 86400</f>
        <v>4.3263888888888886E-2</v>
      </c>
      <c r="I660" t="s">
        <v>56</v>
      </c>
      <c r="J660" t="s">
        <v>34</v>
      </c>
      <c r="K660" s="5">
        <f>10543 / 86400</f>
        <v>0.12202546296296296</v>
      </c>
      <c r="L660" s="5">
        <f>6250 / 86400</f>
        <v>7.2337962962962965E-2</v>
      </c>
    </row>
    <row r="661" spans="1:12" x14ac:dyDescent="0.25">
      <c r="A661" s="3">
        <v>45702.611122685186</v>
      </c>
      <c r="B661" t="s">
        <v>19</v>
      </c>
      <c r="C661" s="3">
        <v>45702.611828703702</v>
      </c>
      <c r="D661" t="s">
        <v>19</v>
      </c>
      <c r="E661" s="4">
        <v>0</v>
      </c>
      <c r="F661" s="4">
        <v>426294.12699999998</v>
      </c>
      <c r="G661" s="4">
        <v>426294.12699999998</v>
      </c>
      <c r="H661" s="5">
        <f>59 / 86400</f>
        <v>6.8287037037037036E-4</v>
      </c>
      <c r="I661" t="s">
        <v>88</v>
      </c>
      <c r="J661" t="s">
        <v>88</v>
      </c>
      <c r="K661" s="5">
        <f>60 / 86400</f>
        <v>6.9444444444444447E-4</v>
      </c>
      <c r="L661" s="5">
        <f>593 / 86400</f>
        <v>6.8634259259259256E-3</v>
      </c>
    </row>
    <row r="662" spans="1:12" x14ac:dyDescent="0.25">
      <c r="A662" s="3">
        <v>45702.618692129632</v>
      </c>
      <c r="B662" t="s">
        <v>19</v>
      </c>
      <c r="C662" s="3">
        <v>45702.621076388888</v>
      </c>
      <c r="D662" t="s">
        <v>19</v>
      </c>
      <c r="E662" s="4">
        <v>0</v>
      </c>
      <c r="F662" s="4">
        <v>426294.12699999998</v>
      </c>
      <c r="G662" s="4">
        <v>426294.12699999998</v>
      </c>
      <c r="H662" s="5">
        <f>199 / 86400</f>
        <v>2.3032407407407407E-3</v>
      </c>
      <c r="I662" t="s">
        <v>88</v>
      </c>
      <c r="J662" t="s">
        <v>88</v>
      </c>
      <c r="K662" s="5">
        <f>205 / 86400</f>
        <v>2.3726851851851851E-3</v>
      </c>
      <c r="L662" s="5">
        <f>24 / 86400</f>
        <v>2.7777777777777778E-4</v>
      </c>
    </row>
    <row r="663" spans="1:12" x14ac:dyDescent="0.25">
      <c r="A663" s="3">
        <v>45702.621354166666</v>
      </c>
      <c r="B663" t="s">
        <v>19</v>
      </c>
      <c r="C663" s="3">
        <v>45702.621365740742</v>
      </c>
      <c r="D663" t="s">
        <v>19</v>
      </c>
      <c r="E663" s="4">
        <v>0</v>
      </c>
      <c r="F663" s="4">
        <v>426294.12699999998</v>
      </c>
      <c r="G663" s="4">
        <v>426294.12699999998</v>
      </c>
      <c r="H663" s="5">
        <f>0 / 86400</f>
        <v>0</v>
      </c>
      <c r="I663" t="s">
        <v>88</v>
      </c>
      <c r="J663" t="s">
        <v>88</v>
      </c>
      <c r="K663" s="5">
        <f>0 / 86400</f>
        <v>0</v>
      </c>
      <c r="L663" s="5">
        <f>13 / 86400</f>
        <v>1.5046296296296297E-4</v>
      </c>
    </row>
    <row r="664" spans="1:12" x14ac:dyDescent="0.25">
      <c r="A664" s="3">
        <v>45702.621516203704</v>
      </c>
      <c r="B664" t="s">
        <v>19</v>
      </c>
      <c r="C664" s="3">
        <v>45702.626782407402</v>
      </c>
      <c r="D664" t="s">
        <v>172</v>
      </c>
      <c r="E664" s="4">
        <v>0.55700000000000005</v>
      </c>
      <c r="F664" s="4">
        <v>426294.12699999998</v>
      </c>
      <c r="G664" s="4">
        <v>426294.68400000001</v>
      </c>
      <c r="H664" s="5">
        <f>266 / 86400</f>
        <v>3.0787037037037037E-3</v>
      </c>
      <c r="I664" t="s">
        <v>99</v>
      </c>
      <c r="J664" t="s">
        <v>156</v>
      </c>
      <c r="K664" s="5">
        <f>455 / 86400</f>
        <v>5.2662037037037035E-3</v>
      </c>
      <c r="L664" s="5">
        <f>710 / 86400</f>
        <v>8.2175925925925923E-3</v>
      </c>
    </row>
    <row r="665" spans="1:12" x14ac:dyDescent="0.25">
      <c r="A665" s="3">
        <v>45702.634999999995</v>
      </c>
      <c r="B665" t="s">
        <v>172</v>
      </c>
      <c r="C665" s="3">
        <v>45702.63927083333</v>
      </c>
      <c r="D665" t="s">
        <v>367</v>
      </c>
      <c r="E665" s="4">
        <v>1.0900000000000001</v>
      </c>
      <c r="F665" s="4">
        <v>426294.68400000001</v>
      </c>
      <c r="G665" s="4">
        <v>426295.77399999998</v>
      </c>
      <c r="H665" s="5">
        <f>60 / 86400</f>
        <v>6.9444444444444447E-4</v>
      </c>
      <c r="I665" t="s">
        <v>145</v>
      </c>
      <c r="J665" t="s">
        <v>53</v>
      </c>
      <c r="K665" s="5">
        <f>368 / 86400</f>
        <v>4.2592592592592595E-3</v>
      </c>
      <c r="L665" s="5">
        <f>116 / 86400</f>
        <v>1.3425925925925925E-3</v>
      </c>
    </row>
    <row r="666" spans="1:12" x14ac:dyDescent="0.25">
      <c r="A666" s="3">
        <v>45702.64061342593</v>
      </c>
      <c r="B666" t="s">
        <v>367</v>
      </c>
      <c r="C666" s="3">
        <v>45702.829560185186</v>
      </c>
      <c r="D666" t="s">
        <v>55</v>
      </c>
      <c r="E666" s="4">
        <v>1.87</v>
      </c>
      <c r="F666" s="4">
        <v>426295.77399999998</v>
      </c>
      <c r="G666" s="4">
        <v>426297.64399999997</v>
      </c>
      <c r="H666" s="5">
        <f>15799 / 86400</f>
        <v>0.18285879629629628</v>
      </c>
      <c r="I666" t="s">
        <v>155</v>
      </c>
      <c r="J666" t="s">
        <v>88</v>
      </c>
      <c r="K666" s="5">
        <f>16324 / 86400</f>
        <v>0.18893518518518518</v>
      </c>
      <c r="L666" s="5">
        <f>266 / 86400</f>
        <v>3.0787037037037037E-3</v>
      </c>
    </row>
    <row r="667" spans="1:12" x14ac:dyDescent="0.25">
      <c r="A667" s="3">
        <v>45702.832638888889</v>
      </c>
      <c r="B667" t="s">
        <v>55</v>
      </c>
      <c r="C667" s="3">
        <v>45702.83488425926</v>
      </c>
      <c r="D667" t="s">
        <v>55</v>
      </c>
      <c r="E667" s="4">
        <v>4.1000000000000002E-2</v>
      </c>
      <c r="F667" s="4">
        <v>426297.64399999997</v>
      </c>
      <c r="G667" s="4">
        <v>426297.685</v>
      </c>
      <c r="H667" s="5">
        <f>119 / 86400</f>
        <v>1.3773148148148147E-3</v>
      </c>
      <c r="I667" t="s">
        <v>152</v>
      </c>
      <c r="J667" t="s">
        <v>120</v>
      </c>
      <c r="K667" s="5">
        <f>193 / 86400</f>
        <v>2.2337962962962962E-3</v>
      </c>
      <c r="L667" s="5">
        <f>14265 / 86400</f>
        <v>0.16510416666666666</v>
      </c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2" s="10" customFormat="1" ht="20.100000000000001" customHeight="1" x14ac:dyDescent="0.35">
      <c r="A670" s="15" t="s">
        <v>435</v>
      </c>
      <c r="B670" s="15"/>
      <c r="C670" s="15"/>
      <c r="D670" s="15"/>
      <c r="E670" s="15"/>
      <c r="F670" s="15"/>
      <c r="G670" s="15"/>
      <c r="H670" s="15"/>
      <c r="I670" s="15"/>
      <c r="J670" s="15"/>
    </row>
    <row r="671" spans="1:1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2" ht="30" x14ac:dyDescent="0.25">
      <c r="A672" s="2" t="s">
        <v>6</v>
      </c>
      <c r="B672" s="2" t="s">
        <v>7</v>
      </c>
      <c r="C672" s="2" t="s">
        <v>8</v>
      </c>
      <c r="D672" s="2" t="s">
        <v>9</v>
      </c>
      <c r="E672" s="2" t="s">
        <v>10</v>
      </c>
      <c r="F672" s="2" t="s">
        <v>11</v>
      </c>
      <c r="G672" s="2" t="s">
        <v>12</v>
      </c>
      <c r="H672" s="2" t="s">
        <v>13</v>
      </c>
      <c r="I672" s="2" t="s">
        <v>14</v>
      </c>
      <c r="J672" s="2" t="s">
        <v>15</v>
      </c>
      <c r="K672" s="2" t="s">
        <v>16</v>
      </c>
      <c r="L672" s="2" t="s">
        <v>17</v>
      </c>
    </row>
    <row r="673" spans="1:12" x14ac:dyDescent="0.25">
      <c r="A673" s="3">
        <v>45702.236284722225</v>
      </c>
      <c r="B673" t="s">
        <v>29</v>
      </c>
      <c r="C673" s="3">
        <v>45702.244652777779</v>
      </c>
      <c r="D673" t="s">
        <v>368</v>
      </c>
      <c r="E673" s="4">
        <v>1.917</v>
      </c>
      <c r="F673" s="4">
        <v>12826.267</v>
      </c>
      <c r="G673" s="4">
        <v>12828.183999999999</v>
      </c>
      <c r="H673" s="5">
        <f>379 / 86400</f>
        <v>4.386574074074074E-3</v>
      </c>
      <c r="I673" t="s">
        <v>173</v>
      </c>
      <c r="J673" t="s">
        <v>126</v>
      </c>
      <c r="K673" s="5">
        <f>723 / 86400</f>
        <v>8.3680555555555557E-3</v>
      </c>
      <c r="L673" s="5">
        <f>20447 / 86400</f>
        <v>0.2366550925925926</v>
      </c>
    </row>
    <row r="674" spans="1:12" x14ac:dyDescent="0.25">
      <c r="A674" s="3">
        <v>45702.245023148149</v>
      </c>
      <c r="B674" t="s">
        <v>368</v>
      </c>
      <c r="C674" s="3">
        <v>45702.329953703702</v>
      </c>
      <c r="D674" t="s">
        <v>284</v>
      </c>
      <c r="E674" s="4">
        <v>28.757000000000001</v>
      </c>
      <c r="F674" s="4">
        <v>12828.183999999999</v>
      </c>
      <c r="G674" s="4">
        <v>12856.941000000001</v>
      </c>
      <c r="H674" s="5">
        <f>3061 / 86400</f>
        <v>3.5428240740740739E-2</v>
      </c>
      <c r="I674" t="s">
        <v>58</v>
      </c>
      <c r="J674" t="s">
        <v>59</v>
      </c>
      <c r="K674" s="5">
        <f>7338 / 86400</f>
        <v>8.4930555555555551E-2</v>
      </c>
      <c r="L674" s="5">
        <f>76 / 86400</f>
        <v>8.7962962962962962E-4</v>
      </c>
    </row>
    <row r="675" spans="1:12" x14ac:dyDescent="0.25">
      <c r="A675" s="3">
        <v>45702.330833333333</v>
      </c>
      <c r="B675" t="s">
        <v>284</v>
      </c>
      <c r="C675" s="3">
        <v>45702.332372685181</v>
      </c>
      <c r="D675" t="s">
        <v>158</v>
      </c>
      <c r="E675" s="4">
        <v>0.23100000000000001</v>
      </c>
      <c r="F675" s="4">
        <v>12856.941000000001</v>
      </c>
      <c r="G675" s="4">
        <v>12857.172</v>
      </c>
      <c r="H675" s="5">
        <f>60 / 86400</f>
        <v>6.9444444444444447E-4</v>
      </c>
      <c r="I675" t="s">
        <v>184</v>
      </c>
      <c r="J675" t="s">
        <v>132</v>
      </c>
      <c r="K675" s="5">
        <f>132 / 86400</f>
        <v>1.5277777777777779E-3</v>
      </c>
      <c r="L675" s="5">
        <f>27 / 86400</f>
        <v>3.1250000000000001E-4</v>
      </c>
    </row>
    <row r="676" spans="1:12" x14ac:dyDescent="0.25">
      <c r="A676" s="3">
        <v>45702.332685185189</v>
      </c>
      <c r="B676" t="s">
        <v>369</v>
      </c>
      <c r="C676" s="3">
        <v>45702.436597222222</v>
      </c>
      <c r="D676" t="s">
        <v>38</v>
      </c>
      <c r="E676" s="4">
        <v>33.701000000000001</v>
      </c>
      <c r="F676" s="4">
        <v>12857.172</v>
      </c>
      <c r="G676" s="4">
        <v>12890.873</v>
      </c>
      <c r="H676" s="5">
        <f>3758 / 86400</f>
        <v>4.3495370370370372E-2</v>
      </c>
      <c r="I676" t="s">
        <v>197</v>
      </c>
      <c r="J676" t="s">
        <v>59</v>
      </c>
      <c r="K676" s="5">
        <f>8978 / 86400</f>
        <v>0.10391203703703704</v>
      </c>
      <c r="L676" s="5">
        <f>76 / 86400</f>
        <v>8.7962962962962962E-4</v>
      </c>
    </row>
    <row r="677" spans="1:12" x14ac:dyDescent="0.25">
      <c r="A677" s="3">
        <v>45702.437476851846</v>
      </c>
      <c r="B677" t="s">
        <v>38</v>
      </c>
      <c r="C677" s="3">
        <v>45702.468935185185</v>
      </c>
      <c r="D677" t="s">
        <v>128</v>
      </c>
      <c r="E677" s="4">
        <v>16.367000000000001</v>
      </c>
      <c r="F677" s="4">
        <v>12890.873</v>
      </c>
      <c r="G677" s="4">
        <v>12907.24</v>
      </c>
      <c r="H677" s="5">
        <f>340 / 86400</f>
        <v>3.9351851851851848E-3</v>
      </c>
      <c r="I677" t="s">
        <v>212</v>
      </c>
      <c r="J677" t="s">
        <v>130</v>
      </c>
      <c r="K677" s="5">
        <f>2717 / 86400</f>
        <v>3.1446759259259258E-2</v>
      </c>
      <c r="L677" s="5">
        <f>415 / 86400</f>
        <v>4.8032407407407407E-3</v>
      </c>
    </row>
    <row r="678" spans="1:12" x14ac:dyDescent="0.25">
      <c r="A678" s="3">
        <v>45702.473738425921</v>
      </c>
      <c r="B678" t="s">
        <v>137</v>
      </c>
      <c r="C678" s="3">
        <v>45702.475787037038</v>
      </c>
      <c r="D678" t="s">
        <v>137</v>
      </c>
      <c r="E678" s="4">
        <v>5.8000000000000003E-2</v>
      </c>
      <c r="F678" s="4">
        <v>12907.24</v>
      </c>
      <c r="G678" s="4">
        <v>12907.298000000001</v>
      </c>
      <c r="H678" s="5">
        <f>139 / 86400</f>
        <v>1.6087962962962963E-3</v>
      </c>
      <c r="I678" t="s">
        <v>57</v>
      </c>
      <c r="J678" t="s">
        <v>120</v>
      </c>
      <c r="K678" s="5">
        <f>177 / 86400</f>
        <v>2.0486111111111113E-3</v>
      </c>
      <c r="L678" s="5">
        <f>1227 / 86400</f>
        <v>1.4201388888888888E-2</v>
      </c>
    </row>
    <row r="679" spans="1:12" x14ac:dyDescent="0.25">
      <c r="A679" s="3">
        <v>45702.489988425921</v>
      </c>
      <c r="B679" t="s">
        <v>137</v>
      </c>
      <c r="C679" s="3">
        <v>45702.490636574075</v>
      </c>
      <c r="D679" t="s">
        <v>128</v>
      </c>
      <c r="E679" s="4">
        <v>4.2000000000000003E-2</v>
      </c>
      <c r="F679" s="4">
        <v>12907.298000000001</v>
      </c>
      <c r="G679" s="4">
        <v>12907.34</v>
      </c>
      <c r="H679" s="5">
        <f>20 / 86400</f>
        <v>2.3148148148148149E-4</v>
      </c>
      <c r="I679" t="s">
        <v>126</v>
      </c>
      <c r="J679" t="s">
        <v>152</v>
      </c>
      <c r="K679" s="5">
        <f>56 / 86400</f>
        <v>6.4814814814814813E-4</v>
      </c>
      <c r="L679" s="5">
        <f>260 / 86400</f>
        <v>3.0092592592592593E-3</v>
      </c>
    </row>
    <row r="680" spans="1:12" x14ac:dyDescent="0.25">
      <c r="A680" s="3">
        <v>45702.493645833332</v>
      </c>
      <c r="B680" t="s">
        <v>128</v>
      </c>
      <c r="C680" s="3">
        <v>45702.494259259256</v>
      </c>
      <c r="D680" t="s">
        <v>128</v>
      </c>
      <c r="E680" s="4">
        <v>9.6000000000000002E-2</v>
      </c>
      <c r="F680" s="4">
        <v>12907.34</v>
      </c>
      <c r="G680" s="4">
        <v>12907.436</v>
      </c>
      <c r="H680" s="5">
        <f>0 / 86400</f>
        <v>0</v>
      </c>
      <c r="I680" t="s">
        <v>123</v>
      </c>
      <c r="J680" t="s">
        <v>138</v>
      </c>
      <c r="K680" s="5">
        <f>53 / 86400</f>
        <v>6.134259259259259E-4</v>
      </c>
      <c r="L680" s="5">
        <f>22 / 86400</f>
        <v>2.5462962962962961E-4</v>
      </c>
    </row>
    <row r="681" spans="1:12" x14ac:dyDescent="0.25">
      <c r="A681" s="3">
        <v>45702.494513888887</v>
      </c>
      <c r="B681" t="s">
        <v>128</v>
      </c>
      <c r="C681" s="3">
        <v>45702.496168981481</v>
      </c>
      <c r="D681" t="s">
        <v>327</v>
      </c>
      <c r="E681" s="4">
        <v>8.1000000000000003E-2</v>
      </c>
      <c r="F681" s="4">
        <v>12907.436</v>
      </c>
      <c r="G681" s="4">
        <v>12907.517</v>
      </c>
      <c r="H681" s="5">
        <f>100 / 86400</f>
        <v>1.1574074074074073E-3</v>
      </c>
      <c r="I681" t="s">
        <v>123</v>
      </c>
      <c r="J681" t="s">
        <v>140</v>
      </c>
      <c r="K681" s="5">
        <f>142 / 86400</f>
        <v>1.6435185185185185E-3</v>
      </c>
      <c r="L681" s="5">
        <f>12 / 86400</f>
        <v>1.3888888888888889E-4</v>
      </c>
    </row>
    <row r="682" spans="1:12" x14ac:dyDescent="0.25">
      <c r="A682" s="3">
        <v>45702.496307870373</v>
      </c>
      <c r="B682" t="s">
        <v>327</v>
      </c>
      <c r="C682" s="3">
        <v>45702.496793981481</v>
      </c>
      <c r="D682" t="s">
        <v>327</v>
      </c>
      <c r="E682" s="4">
        <v>6.0000000000000001E-3</v>
      </c>
      <c r="F682" s="4">
        <v>12907.517</v>
      </c>
      <c r="G682" s="4">
        <v>12907.522999999999</v>
      </c>
      <c r="H682" s="5">
        <f>20 / 86400</f>
        <v>2.3148148148148149E-4</v>
      </c>
      <c r="I682" t="s">
        <v>120</v>
      </c>
      <c r="J682" t="s">
        <v>120</v>
      </c>
      <c r="K682" s="5">
        <f>42 / 86400</f>
        <v>4.861111111111111E-4</v>
      </c>
      <c r="L682" s="5">
        <f>109 / 86400</f>
        <v>1.261574074074074E-3</v>
      </c>
    </row>
    <row r="683" spans="1:12" x14ac:dyDescent="0.25">
      <c r="A683" s="3">
        <v>45702.498055555552</v>
      </c>
      <c r="B683" t="s">
        <v>137</v>
      </c>
      <c r="C683" s="3">
        <v>45702.501261574071</v>
      </c>
      <c r="D683" t="s">
        <v>370</v>
      </c>
      <c r="E683" s="4">
        <v>0.502</v>
      </c>
      <c r="F683" s="4">
        <v>12907.522999999999</v>
      </c>
      <c r="G683" s="4">
        <v>12908.025</v>
      </c>
      <c r="H683" s="5">
        <f>199 / 86400</f>
        <v>2.3032407407407407E-3</v>
      </c>
      <c r="I683" t="s">
        <v>206</v>
      </c>
      <c r="J683" t="s">
        <v>138</v>
      </c>
      <c r="K683" s="5">
        <f>277 / 86400</f>
        <v>3.2060185185185186E-3</v>
      </c>
      <c r="L683" s="5">
        <f>1102 / 86400</f>
        <v>1.275462962962963E-2</v>
      </c>
    </row>
    <row r="684" spans="1:12" x14ac:dyDescent="0.25">
      <c r="A684" s="3">
        <v>45702.514016203699</v>
      </c>
      <c r="B684" t="s">
        <v>370</v>
      </c>
      <c r="C684" s="3">
        <v>45702.514907407407</v>
      </c>
      <c r="D684" t="s">
        <v>82</v>
      </c>
      <c r="E684" s="4">
        <v>0.255</v>
      </c>
      <c r="F684" s="4">
        <v>12908.025</v>
      </c>
      <c r="G684" s="4">
        <v>12908.28</v>
      </c>
      <c r="H684" s="5">
        <f>0 / 86400</f>
        <v>0</v>
      </c>
      <c r="I684" t="s">
        <v>99</v>
      </c>
      <c r="J684" t="s">
        <v>62</v>
      </c>
      <c r="K684" s="5">
        <f>77 / 86400</f>
        <v>8.9120370370370373E-4</v>
      </c>
      <c r="L684" s="5">
        <f>253 / 86400</f>
        <v>2.9282407407407408E-3</v>
      </c>
    </row>
    <row r="685" spans="1:12" x14ac:dyDescent="0.25">
      <c r="A685" s="3">
        <v>45702.517835648148</v>
      </c>
      <c r="B685" t="s">
        <v>82</v>
      </c>
      <c r="C685" s="3">
        <v>45702.519976851851</v>
      </c>
      <c r="D685" t="s">
        <v>125</v>
      </c>
      <c r="E685" s="4">
        <v>0.71799999999999997</v>
      </c>
      <c r="F685" s="4">
        <v>12908.28</v>
      </c>
      <c r="G685" s="4">
        <v>12908.998</v>
      </c>
      <c r="H685" s="5">
        <f>0 / 86400</f>
        <v>0</v>
      </c>
      <c r="I685" t="s">
        <v>196</v>
      </c>
      <c r="J685" t="s">
        <v>59</v>
      </c>
      <c r="K685" s="5">
        <f>184 / 86400</f>
        <v>2.1296296296296298E-3</v>
      </c>
      <c r="L685" s="5">
        <f>223 / 86400</f>
        <v>2.5810185185185185E-3</v>
      </c>
    </row>
    <row r="686" spans="1:12" x14ac:dyDescent="0.25">
      <c r="A686" s="3">
        <v>45702.522557870368</v>
      </c>
      <c r="B686" t="s">
        <v>125</v>
      </c>
      <c r="C686" s="3">
        <v>45702.680289351847</v>
      </c>
      <c r="D686" t="s">
        <v>371</v>
      </c>
      <c r="E686" s="4">
        <v>57.168999999999997</v>
      </c>
      <c r="F686" s="4">
        <v>12908.998</v>
      </c>
      <c r="G686" s="4">
        <v>12966.166999999999</v>
      </c>
      <c r="H686" s="5">
        <f>5619 / 86400</f>
        <v>6.5034722222222216E-2</v>
      </c>
      <c r="I686" t="s">
        <v>106</v>
      </c>
      <c r="J686" t="s">
        <v>31</v>
      </c>
      <c r="K686" s="5">
        <f>13628 / 86400</f>
        <v>0.15773148148148147</v>
      </c>
      <c r="L686" s="5">
        <f>35 / 86400</f>
        <v>4.0509259259259258E-4</v>
      </c>
    </row>
    <row r="687" spans="1:12" x14ac:dyDescent="0.25">
      <c r="A687" s="3">
        <v>45702.68069444444</v>
      </c>
      <c r="B687" t="s">
        <v>371</v>
      </c>
      <c r="C687" s="3">
        <v>45702.781597222223</v>
      </c>
      <c r="D687" t="s">
        <v>176</v>
      </c>
      <c r="E687" s="4">
        <v>30.318000000000001</v>
      </c>
      <c r="F687" s="4">
        <v>12966.166999999999</v>
      </c>
      <c r="G687" s="4">
        <v>12996.485000000001</v>
      </c>
      <c r="H687" s="5">
        <f>3662 / 86400</f>
        <v>4.238425925925926E-2</v>
      </c>
      <c r="I687" t="s">
        <v>183</v>
      </c>
      <c r="J687" t="s">
        <v>35</v>
      </c>
      <c r="K687" s="5">
        <f>8717 / 86400</f>
        <v>0.10089120370370371</v>
      </c>
      <c r="L687" s="5">
        <f>112 / 86400</f>
        <v>1.2962962962962963E-3</v>
      </c>
    </row>
    <row r="688" spans="1:12" x14ac:dyDescent="0.25">
      <c r="A688" s="3">
        <v>45702.782893518517</v>
      </c>
      <c r="B688" t="s">
        <v>176</v>
      </c>
      <c r="C688" s="3">
        <v>45702.803124999999</v>
      </c>
      <c r="D688" t="s">
        <v>26</v>
      </c>
      <c r="E688" s="4">
        <v>6.5350000000000001</v>
      </c>
      <c r="F688" s="4">
        <v>12996.485000000001</v>
      </c>
      <c r="G688" s="4">
        <v>13003.02</v>
      </c>
      <c r="H688" s="5">
        <f>579 / 86400</f>
        <v>6.7013888888888887E-3</v>
      </c>
      <c r="I688" t="s">
        <v>163</v>
      </c>
      <c r="J688" t="s">
        <v>35</v>
      </c>
      <c r="K688" s="5">
        <f>1748 / 86400</f>
        <v>2.0231481481481482E-2</v>
      </c>
      <c r="L688" s="5">
        <f>410 / 86400</f>
        <v>4.7453703703703703E-3</v>
      </c>
    </row>
    <row r="689" spans="1:12" x14ac:dyDescent="0.25">
      <c r="A689" s="3">
        <v>45702.807870370365</v>
      </c>
      <c r="B689" t="s">
        <v>372</v>
      </c>
      <c r="C689" s="3">
        <v>45702.811319444445</v>
      </c>
      <c r="D689" t="s">
        <v>29</v>
      </c>
      <c r="E689" s="4">
        <v>0.499</v>
      </c>
      <c r="F689" s="4">
        <v>13003.02</v>
      </c>
      <c r="G689" s="4">
        <v>13003.519</v>
      </c>
      <c r="H689" s="5">
        <f>130 / 86400</f>
        <v>1.5046296296296296E-3</v>
      </c>
      <c r="I689" t="s">
        <v>21</v>
      </c>
      <c r="J689" t="s">
        <v>132</v>
      </c>
      <c r="K689" s="5">
        <f>298 / 86400</f>
        <v>3.449074074074074E-3</v>
      </c>
      <c r="L689" s="5">
        <f>16301 / 86400</f>
        <v>0.18866898148148148</v>
      </c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2" s="10" customFormat="1" ht="20.100000000000001" customHeight="1" x14ac:dyDescent="0.35">
      <c r="A692" s="15" t="s">
        <v>436</v>
      </c>
      <c r="B692" s="15"/>
      <c r="C692" s="15"/>
      <c r="D692" s="15"/>
      <c r="E692" s="15"/>
      <c r="F692" s="15"/>
      <c r="G692" s="15"/>
      <c r="H692" s="15"/>
      <c r="I692" s="15"/>
      <c r="J692" s="15"/>
    </row>
    <row r="693" spans="1:1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ht="30" x14ac:dyDescent="0.25">
      <c r="A694" s="2" t="s">
        <v>6</v>
      </c>
      <c r="B694" s="2" t="s">
        <v>7</v>
      </c>
      <c r="C694" s="2" t="s">
        <v>8</v>
      </c>
      <c r="D694" s="2" t="s">
        <v>9</v>
      </c>
      <c r="E694" s="2" t="s">
        <v>10</v>
      </c>
      <c r="F694" s="2" t="s">
        <v>11</v>
      </c>
      <c r="G694" s="2" t="s">
        <v>12</v>
      </c>
      <c r="H694" s="2" t="s">
        <v>13</v>
      </c>
      <c r="I694" s="2" t="s">
        <v>14</v>
      </c>
      <c r="J694" s="2" t="s">
        <v>15</v>
      </c>
      <c r="K694" s="2" t="s">
        <v>16</v>
      </c>
      <c r="L694" s="2" t="s">
        <v>17</v>
      </c>
    </row>
    <row r="695" spans="1:12" x14ac:dyDescent="0.25">
      <c r="A695" s="3">
        <v>45702.177037037036</v>
      </c>
      <c r="B695" t="s">
        <v>60</v>
      </c>
      <c r="C695" s="3">
        <v>45702.37877314815</v>
      </c>
      <c r="D695" t="s">
        <v>125</v>
      </c>
      <c r="E695" s="4">
        <v>86.296999999999997</v>
      </c>
      <c r="F695" s="4">
        <v>138687.85500000001</v>
      </c>
      <c r="G695" s="4">
        <v>138774.152</v>
      </c>
      <c r="H695" s="5">
        <f>5577 / 86400</f>
        <v>6.4548611111111112E-2</v>
      </c>
      <c r="I695" t="s">
        <v>20</v>
      </c>
      <c r="J695" t="s">
        <v>24</v>
      </c>
      <c r="K695" s="5">
        <f>17429 / 86400</f>
        <v>0.20172453703703705</v>
      </c>
      <c r="L695" s="5">
        <f>16445 / 86400</f>
        <v>0.19033564814814816</v>
      </c>
    </row>
    <row r="696" spans="1:12" x14ac:dyDescent="0.25">
      <c r="A696" s="3">
        <v>45702.392071759255</v>
      </c>
      <c r="B696" t="s">
        <v>125</v>
      </c>
      <c r="C696" s="3">
        <v>45702.545949074076</v>
      </c>
      <c r="D696" t="s">
        <v>128</v>
      </c>
      <c r="E696" s="4">
        <v>72.007000000000005</v>
      </c>
      <c r="F696" s="4">
        <v>138774.152</v>
      </c>
      <c r="G696" s="4">
        <v>138846.15900000001</v>
      </c>
      <c r="H696" s="5">
        <f>3741 / 86400</f>
        <v>4.3298611111111114E-2</v>
      </c>
      <c r="I696" t="s">
        <v>49</v>
      </c>
      <c r="J696" t="s">
        <v>99</v>
      </c>
      <c r="K696" s="5">
        <f>13294 / 86400</f>
        <v>0.15386574074074075</v>
      </c>
      <c r="L696" s="5">
        <f>334 / 86400</f>
        <v>3.8657407407407408E-3</v>
      </c>
    </row>
    <row r="697" spans="1:12" x14ac:dyDescent="0.25">
      <c r="A697" s="3">
        <v>45702.549814814818</v>
      </c>
      <c r="B697" t="s">
        <v>128</v>
      </c>
      <c r="C697" s="3">
        <v>45702.550497685181</v>
      </c>
      <c r="D697" t="s">
        <v>128</v>
      </c>
      <c r="E697" s="4">
        <v>0.02</v>
      </c>
      <c r="F697" s="4">
        <v>138846.15900000001</v>
      </c>
      <c r="G697" s="4">
        <v>138846.179</v>
      </c>
      <c r="H697" s="5">
        <f>20 / 86400</f>
        <v>2.3148148148148149E-4</v>
      </c>
      <c r="I697" t="s">
        <v>140</v>
      </c>
      <c r="J697" t="s">
        <v>120</v>
      </c>
      <c r="K697" s="5">
        <f>59 / 86400</f>
        <v>6.8287037037037036E-4</v>
      </c>
      <c r="L697" s="5">
        <f>327 / 86400</f>
        <v>3.7847222222222223E-3</v>
      </c>
    </row>
    <row r="698" spans="1:12" x14ac:dyDescent="0.25">
      <c r="A698" s="3">
        <v>45702.554282407407</v>
      </c>
      <c r="B698" t="s">
        <v>128</v>
      </c>
      <c r="C698" s="3">
        <v>45702.772233796291</v>
      </c>
      <c r="D698" t="s">
        <v>373</v>
      </c>
      <c r="E698" s="4">
        <v>84.447999999999993</v>
      </c>
      <c r="F698" s="4">
        <v>138846.179</v>
      </c>
      <c r="G698" s="4">
        <v>138930.62700000001</v>
      </c>
      <c r="H698" s="5">
        <f>6040 / 86400</f>
        <v>6.9907407407407404E-2</v>
      </c>
      <c r="I698" t="s">
        <v>334</v>
      </c>
      <c r="J698" t="s">
        <v>34</v>
      </c>
      <c r="K698" s="5">
        <f>18831 / 86400</f>
        <v>0.21795138888888888</v>
      </c>
      <c r="L698" s="5">
        <f>492 / 86400</f>
        <v>5.6944444444444447E-3</v>
      </c>
    </row>
    <row r="699" spans="1:12" x14ac:dyDescent="0.25">
      <c r="A699" s="3">
        <v>45702.777928240743</v>
      </c>
      <c r="B699" t="s">
        <v>373</v>
      </c>
      <c r="C699" s="3">
        <v>45702.791261574079</v>
      </c>
      <c r="D699" t="s">
        <v>60</v>
      </c>
      <c r="E699" s="4">
        <v>3.4180000000000001</v>
      </c>
      <c r="F699" s="4">
        <v>138930.62700000001</v>
      </c>
      <c r="G699" s="4">
        <v>138934.04500000001</v>
      </c>
      <c r="H699" s="5">
        <f>320 / 86400</f>
        <v>3.7037037037037038E-3</v>
      </c>
      <c r="I699" t="s">
        <v>237</v>
      </c>
      <c r="J699" t="s">
        <v>53</v>
      </c>
      <c r="K699" s="5">
        <f>1152 / 86400</f>
        <v>1.3333333333333334E-2</v>
      </c>
      <c r="L699" s="5">
        <f>18034 / 86400</f>
        <v>0.20872685185185186</v>
      </c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 spans="1:12" s="10" customFormat="1" ht="20.100000000000001" customHeight="1" x14ac:dyDescent="0.35">
      <c r="A702" s="15" t="s">
        <v>437</v>
      </c>
      <c r="B702" s="15"/>
      <c r="C702" s="15"/>
      <c r="D702" s="15"/>
      <c r="E702" s="15"/>
      <c r="F702" s="15"/>
      <c r="G702" s="15"/>
      <c r="H702" s="15"/>
      <c r="I702" s="15"/>
      <c r="J702" s="15"/>
    </row>
    <row r="703" spans="1:1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ht="30" x14ac:dyDescent="0.25">
      <c r="A704" s="2" t="s">
        <v>6</v>
      </c>
      <c r="B704" s="2" t="s">
        <v>7</v>
      </c>
      <c r="C704" s="2" t="s">
        <v>8</v>
      </c>
      <c r="D704" s="2" t="s">
        <v>9</v>
      </c>
      <c r="E704" s="2" t="s">
        <v>10</v>
      </c>
      <c r="F704" s="2" t="s">
        <v>11</v>
      </c>
      <c r="G704" s="2" t="s">
        <v>12</v>
      </c>
      <c r="H704" s="2" t="s">
        <v>13</v>
      </c>
      <c r="I704" s="2" t="s">
        <v>14</v>
      </c>
      <c r="J704" s="2" t="s">
        <v>15</v>
      </c>
      <c r="K704" s="2" t="s">
        <v>16</v>
      </c>
      <c r="L704" s="2" t="s">
        <v>17</v>
      </c>
    </row>
    <row r="705" spans="1:12" x14ac:dyDescent="0.25">
      <c r="A705" s="3">
        <v>45702.230196759258</v>
      </c>
      <c r="B705" t="s">
        <v>29</v>
      </c>
      <c r="C705" s="3">
        <v>45702.233356481476</v>
      </c>
      <c r="D705" t="s">
        <v>29</v>
      </c>
      <c r="E705" s="4">
        <v>0</v>
      </c>
      <c r="F705" s="4">
        <v>5775.5609999999997</v>
      </c>
      <c r="G705" s="4">
        <v>5775.5609999999997</v>
      </c>
      <c r="H705" s="5">
        <f>259 / 86400</f>
        <v>2.9976851851851853E-3</v>
      </c>
      <c r="I705" t="s">
        <v>88</v>
      </c>
      <c r="J705" t="s">
        <v>88</v>
      </c>
      <c r="K705" s="5">
        <f>273 / 86400</f>
        <v>3.1597222222222222E-3</v>
      </c>
      <c r="L705" s="5">
        <f>21883 / 86400</f>
        <v>0.25327546296296294</v>
      </c>
    </row>
    <row r="706" spans="1:12" x14ac:dyDescent="0.25">
      <c r="A706" s="3">
        <v>45702.256435185191</v>
      </c>
      <c r="B706" t="s">
        <v>29</v>
      </c>
      <c r="C706" s="3">
        <v>45702.5309375</v>
      </c>
      <c r="D706" t="s">
        <v>128</v>
      </c>
      <c r="E706" s="4">
        <v>82.638999999999996</v>
      </c>
      <c r="F706" s="4">
        <v>5775.5609999999997</v>
      </c>
      <c r="G706" s="4">
        <v>5858.2</v>
      </c>
      <c r="H706" s="5">
        <f>11672 / 86400</f>
        <v>0.1350925925925926</v>
      </c>
      <c r="I706" t="s">
        <v>61</v>
      </c>
      <c r="J706" t="s">
        <v>35</v>
      </c>
      <c r="K706" s="5">
        <f>23717 / 86400</f>
        <v>0.2745023148148148</v>
      </c>
      <c r="L706" s="5">
        <f>373 / 86400</f>
        <v>4.31712962962963E-3</v>
      </c>
    </row>
    <row r="707" spans="1:12" x14ac:dyDescent="0.25">
      <c r="A707" s="3">
        <v>45702.535254629634</v>
      </c>
      <c r="B707" t="s">
        <v>128</v>
      </c>
      <c r="C707" s="3">
        <v>45702.539664351847</v>
      </c>
      <c r="D707" t="s">
        <v>124</v>
      </c>
      <c r="E707" s="4">
        <v>1.373</v>
      </c>
      <c r="F707" s="4">
        <v>5858.2</v>
      </c>
      <c r="G707" s="4">
        <v>5859.5730000000003</v>
      </c>
      <c r="H707" s="5">
        <f>20 / 86400</f>
        <v>2.3148148148148149E-4</v>
      </c>
      <c r="I707" t="s">
        <v>272</v>
      </c>
      <c r="J707" t="s">
        <v>35</v>
      </c>
      <c r="K707" s="5">
        <f>381 / 86400</f>
        <v>4.409722222222222E-3</v>
      </c>
      <c r="L707" s="5">
        <f>996 / 86400</f>
        <v>1.1527777777777777E-2</v>
      </c>
    </row>
    <row r="708" spans="1:12" x14ac:dyDescent="0.25">
      <c r="A708" s="3">
        <v>45702.551192129627</v>
      </c>
      <c r="B708" t="s">
        <v>124</v>
      </c>
      <c r="C708" s="3">
        <v>45702.553865740745</v>
      </c>
      <c r="D708" t="s">
        <v>82</v>
      </c>
      <c r="E708" s="4">
        <v>0.69299999999999995</v>
      </c>
      <c r="F708" s="4">
        <v>5859.5730000000003</v>
      </c>
      <c r="G708" s="4">
        <v>5860.2659999999996</v>
      </c>
      <c r="H708" s="5">
        <f>20 / 86400</f>
        <v>2.3148148148148149E-4</v>
      </c>
      <c r="I708" t="s">
        <v>145</v>
      </c>
      <c r="J708" t="s">
        <v>53</v>
      </c>
      <c r="K708" s="5">
        <f>230 / 86400</f>
        <v>2.662037037037037E-3</v>
      </c>
      <c r="L708" s="5">
        <f>3920 / 86400</f>
        <v>4.5370370370370373E-2</v>
      </c>
    </row>
    <row r="709" spans="1:12" x14ac:dyDescent="0.25">
      <c r="A709" s="3">
        <v>45702.599236111113</v>
      </c>
      <c r="B709" t="s">
        <v>82</v>
      </c>
      <c r="C709" s="3">
        <v>45702.749930555554</v>
      </c>
      <c r="D709" t="s">
        <v>374</v>
      </c>
      <c r="E709" s="4">
        <v>50.192999999999998</v>
      </c>
      <c r="F709" s="4">
        <v>5860.2659999999996</v>
      </c>
      <c r="G709" s="4">
        <v>5910.4589999999998</v>
      </c>
      <c r="H709" s="5">
        <f>6740 / 86400</f>
        <v>7.8009259259259264E-2</v>
      </c>
      <c r="I709" t="s">
        <v>134</v>
      </c>
      <c r="J709" t="s">
        <v>59</v>
      </c>
      <c r="K709" s="5">
        <f>13019 / 86400</f>
        <v>0.15068287037037037</v>
      </c>
      <c r="L709" s="5">
        <f>89 / 86400</f>
        <v>1.0300925925925926E-3</v>
      </c>
    </row>
    <row r="710" spans="1:12" x14ac:dyDescent="0.25">
      <c r="A710" s="3">
        <v>45702.750960648147</v>
      </c>
      <c r="B710" t="s">
        <v>375</v>
      </c>
      <c r="C710" s="3">
        <v>45702.947488425925</v>
      </c>
      <c r="D710" t="s">
        <v>26</v>
      </c>
      <c r="E710" s="4">
        <v>51.064</v>
      </c>
      <c r="F710" s="4">
        <v>5910.4589999999998</v>
      </c>
      <c r="G710" s="4">
        <v>5961.5230000000001</v>
      </c>
      <c r="H710" s="5">
        <f>9410 / 86400</f>
        <v>0.10891203703703704</v>
      </c>
      <c r="I710" t="s">
        <v>151</v>
      </c>
      <c r="J710" t="s">
        <v>53</v>
      </c>
      <c r="K710" s="5">
        <f>16980 / 86400</f>
        <v>0.19652777777777777</v>
      </c>
      <c r="L710" s="5">
        <f>482 / 86400</f>
        <v>5.5787037037037038E-3</v>
      </c>
    </row>
    <row r="711" spans="1:12" x14ac:dyDescent="0.25">
      <c r="A711" s="3">
        <v>45702.953067129631</v>
      </c>
      <c r="B711" t="s">
        <v>26</v>
      </c>
      <c r="C711" s="3">
        <v>45702.960995370369</v>
      </c>
      <c r="D711" t="s">
        <v>29</v>
      </c>
      <c r="E711" s="4">
        <v>0.40899999999999997</v>
      </c>
      <c r="F711" s="4">
        <v>5961.5230000000001</v>
      </c>
      <c r="G711" s="4">
        <v>5961.9319999999998</v>
      </c>
      <c r="H711" s="5">
        <f>500 / 86400</f>
        <v>5.7870370370370367E-3</v>
      </c>
      <c r="I711" t="s">
        <v>24</v>
      </c>
      <c r="J711" t="s">
        <v>140</v>
      </c>
      <c r="K711" s="5">
        <f>684 / 86400</f>
        <v>7.9166666666666673E-3</v>
      </c>
      <c r="L711" s="5">
        <f>3369 / 86400</f>
        <v>3.8993055555555559E-2</v>
      </c>
    </row>
    <row r="712" spans="1:1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 spans="1:12" s="10" customFormat="1" ht="20.100000000000001" customHeight="1" x14ac:dyDescent="0.35">
      <c r="A714" s="15" t="s">
        <v>438</v>
      </c>
      <c r="B714" s="15"/>
      <c r="C714" s="15"/>
      <c r="D714" s="15"/>
      <c r="E714" s="15"/>
      <c r="F714" s="15"/>
      <c r="G714" s="15"/>
      <c r="H714" s="15"/>
      <c r="I714" s="15"/>
      <c r="J714" s="15"/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ht="30" x14ac:dyDescent="0.25">
      <c r="A716" s="2" t="s">
        <v>6</v>
      </c>
      <c r="B716" s="2" t="s">
        <v>7</v>
      </c>
      <c r="C716" s="2" t="s">
        <v>8</v>
      </c>
      <c r="D716" s="2" t="s">
        <v>9</v>
      </c>
      <c r="E716" s="2" t="s">
        <v>10</v>
      </c>
      <c r="F716" s="2" t="s">
        <v>11</v>
      </c>
      <c r="G716" s="2" t="s">
        <v>12</v>
      </c>
      <c r="H716" s="2" t="s">
        <v>13</v>
      </c>
      <c r="I716" s="2" t="s">
        <v>14</v>
      </c>
      <c r="J716" s="2" t="s">
        <v>15</v>
      </c>
      <c r="K716" s="2" t="s">
        <v>16</v>
      </c>
      <c r="L716" s="2" t="s">
        <v>17</v>
      </c>
    </row>
    <row r="717" spans="1:12" x14ac:dyDescent="0.25">
      <c r="A717" s="3">
        <v>45702.21329861111</v>
      </c>
      <c r="B717" t="s">
        <v>38</v>
      </c>
      <c r="C717" s="3">
        <v>45702.442962962959</v>
      </c>
      <c r="D717" t="s">
        <v>87</v>
      </c>
      <c r="E717" s="4">
        <v>91.048000000000002</v>
      </c>
      <c r="F717" s="4">
        <v>386945.32</v>
      </c>
      <c r="G717" s="4">
        <v>387036.36800000002</v>
      </c>
      <c r="H717" s="5">
        <f>6560 / 86400</f>
        <v>7.5925925925925924E-2</v>
      </c>
      <c r="I717" t="s">
        <v>63</v>
      </c>
      <c r="J717" t="s">
        <v>28</v>
      </c>
      <c r="K717" s="5">
        <f>19842 / 86400</f>
        <v>0.22965277777777779</v>
      </c>
      <c r="L717" s="5">
        <f>20332 / 86400</f>
        <v>0.23532407407407407</v>
      </c>
    </row>
    <row r="718" spans="1:12" x14ac:dyDescent="0.25">
      <c r="A718" s="3">
        <v>45702.464988425927</v>
      </c>
      <c r="B718" t="s">
        <v>87</v>
      </c>
      <c r="C718" s="3">
        <v>45702.465011574073</v>
      </c>
      <c r="D718" t="s">
        <v>87</v>
      </c>
      <c r="E718" s="4">
        <v>0</v>
      </c>
      <c r="F718" s="4">
        <v>387036.36800000002</v>
      </c>
      <c r="G718" s="4">
        <v>387036.36800000002</v>
      </c>
      <c r="H718" s="5">
        <f t="shared" ref="H718:H726" si="8">0 / 86400</f>
        <v>0</v>
      </c>
      <c r="I718" t="s">
        <v>88</v>
      </c>
      <c r="J718" t="s">
        <v>88</v>
      </c>
      <c r="K718" s="5">
        <f>2 / 86400</f>
        <v>2.3148148148148147E-5</v>
      </c>
      <c r="L718" s="5">
        <f>3 / 86400</f>
        <v>3.4722222222222222E-5</v>
      </c>
    </row>
    <row r="719" spans="1:12" x14ac:dyDescent="0.25">
      <c r="A719" s="3">
        <v>45702.465046296296</v>
      </c>
      <c r="B719" t="s">
        <v>87</v>
      </c>
      <c r="C719" s="3">
        <v>45702.465069444443</v>
      </c>
      <c r="D719" t="s">
        <v>87</v>
      </c>
      <c r="E719" s="4">
        <v>0</v>
      </c>
      <c r="F719" s="4">
        <v>387036.36800000002</v>
      </c>
      <c r="G719" s="4">
        <v>387036.36800000002</v>
      </c>
      <c r="H719" s="5">
        <f t="shared" si="8"/>
        <v>0</v>
      </c>
      <c r="I719" t="s">
        <v>88</v>
      </c>
      <c r="J719" t="s">
        <v>88</v>
      </c>
      <c r="K719" s="5">
        <f>2 / 86400</f>
        <v>2.3148148148148147E-5</v>
      </c>
      <c r="L719" s="5">
        <f>2 / 86400</f>
        <v>2.3148148148148147E-5</v>
      </c>
    </row>
    <row r="720" spans="1:12" x14ac:dyDescent="0.25">
      <c r="A720" s="3">
        <v>45702.465092592596</v>
      </c>
      <c r="B720" t="s">
        <v>87</v>
      </c>
      <c r="C720" s="3">
        <v>45702.465127314819</v>
      </c>
      <c r="D720" t="s">
        <v>87</v>
      </c>
      <c r="E720" s="4">
        <v>0</v>
      </c>
      <c r="F720" s="4">
        <v>387036.36800000002</v>
      </c>
      <c r="G720" s="4">
        <v>387036.36800000002</v>
      </c>
      <c r="H720" s="5">
        <f t="shared" si="8"/>
        <v>0</v>
      </c>
      <c r="I720" t="s">
        <v>88</v>
      </c>
      <c r="J720" t="s">
        <v>88</v>
      </c>
      <c r="K720" s="5">
        <f>3 / 86400</f>
        <v>3.4722222222222222E-5</v>
      </c>
      <c r="L720" s="5">
        <f>11 / 86400</f>
        <v>1.273148148148148E-4</v>
      </c>
    </row>
    <row r="721" spans="1:12" x14ac:dyDescent="0.25">
      <c r="A721" s="3">
        <v>45702.465254629627</v>
      </c>
      <c r="B721" t="s">
        <v>87</v>
      </c>
      <c r="C721" s="3">
        <v>45702.465277777781</v>
      </c>
      <c r="D721" t="s">
        <v>87</v>
      </c>
      <c r="E721" s="4">
        <v>0</v>
      </c>
      <c r="F721" s="4">
        <v>387036.36800000002</v>
      </c>
      <c r="G721" s="4">
        <v>387036.36800000002</v>
      </c>
      <c r="H721" s="5">
        <f t="shared" si="8"/>
        <v>0</v>
      </c>
      <c r="I721" t="s">
        <v>88</v>
      </c>
      <c r="J721" t="s">
        <v>88</v>
      </c>
      <c r="K721" s="5">
        <f>2 / 86400</f>
        <v>2.3148148148148147E-5</v>
      </c>
      <c r="L721" s="5">
        <f>7 / 86400</f>
        <v>8.1018518518518516E-5</v>
      </c>
    </row>
    <row r="722" spans="1:12" x14ac:dyDescent="0.25">
      <c r="A722" s="3">
        <v>45702.465358796297</v>
      </c>
      <c r="B722" t="s">
        <v>87</v>
      </c>
      <c r="C722" s="3">
        <v>45702.465416666666</v>
      </c>
      <c r="D722" t="s">
        <v>87</v>
      </c>
      <c r="E722" s="4">
        <v>0</v>
      </c>
      <c r="F722" s="4">
        <v>387036.36800000002</v>
      </c>
      <c r="G722" s="4">
        <v>387036.36800000002</v>
      </c>
      <c r="H722" s="5">
        <f t="shared" si="8"/>
        <v>0</v>
      </c>
      <c r="I722" t="s">
        <v>88</v>
      </c>
      <c r="J722" t="s">
        <v>88</v>
      </c>
      <c r="K722" s="5">
        <f>5 / 86400</f>
        <v>5.7870370370370373E-5</v>
      </c>
      <c r="L722" s="5">
        <f>34 / 86400</f>
        <v>3.9351851851851852E-4</v>
      </c>
    </row>
    <row r="723" spans="1:12" x14ac:dyDescent="0.25">
      <c r="A723" s="3">
        <v>45702.465810185182</v>
      </c>
      <c r="B723" t="s">
        <v>87</v>
      </c>
      <c r="C723" s="3">
        <v>45702.465844907405</v>
      </c>
      <c r="D723" t="s">
        <v>87</v>
      </c>
      <c r="E723" s="4">
        <v>0</v>
      </c>
      <c r="F723" s="4">
        <v>387036.36800000002</v>
      </c>
      <c r="G723" s="4">
        <v>387036.36800000002</v>
      </c>
      <c r="H723" s="5">
        <f t="shared" si="8"/>
        <v>0</v>
      </c>
      <c r="I723" t="s">
        <v>88</v>
      </c>
      <c r="J723" t="s">
        <v>88</v>
      </c>
      <c r="K723" s="5">
        <f>3 / 86400</f>
        <v>3.4722222222222222E-5</v>
      </c>
      <c r="L723" s="5">
        <f>1 / 86400</f>
        <v>1.1574074074074073E-5</v>
      </c>
    </row>
    <row r="724" spans="1:12" x14ac:dyDescent="0.25">
      <c r="A724" s="3">
        <v>45702.465856481482</v>
      </c>
      <c r="B724" t="s">
        <v>87</v>
      </c>
      <c r="C724" s="3">
        <v>45702.465879629628</v>
      </c>
      <c r="D724" t="s">
        <v>87</v>
      </c>
      <c r="E724" s="4">
        <v>0</v>
      </c>
      <c r="F724" s="4">
        <v>387036.36800000002</v>
      </c>
      <c r="G724" s="4">
        <v>387036.36800000002</v>
      </c>
      <c r="H724" s="5">
        <f t="shared" si="8"/>
        <v>0</v>
      </c>
      <c r="I724" t="s">
        <v>88</v>
      </c>
      <c r="J724" t="s">
        <v>88</v>
      </c>
      <c r="K724" s="5">
        <f>2 / 86400</f>
        <v>2.3148148148148147E-5</v>
      </c>
      <c r="L724" s="5">
        <f>29 / 86400</f>
        <v>3.3564814814814812E-4</v>
      </c>
    </row>
    <row r="725" spans="1:12" x14ac:dyDescent="0.25">
      <c r="A725" s="3">
        <v>45702.466215277775</v>
      </c>
      <c r="B725" t="s">
        <v>87</v>
      </c>
      <c r="C725" s="3">
        <v>45702.466238425928</v>
      </c>
      <c r="D725" t="s">
        <v>87</v>
      </c>
      <c r="E725" s="4">
        <v>0</v>
      </c>
      <c r="F725" s="4">
        <v>387036.36800000002</v>
      </c>
      <c r="G725" s="4">
        <v>387036.36800000002</v>
      </c>
      <c r="H725" s="5">
        <f t="shared" si="8"/>
        <v>0</v>
      </c>
      <c r="I725" t="s">
        <v>88</v>
      </c>
      <c r="J725" t="s">
        <v>88</v>
      </c>
      <c r="K725" s="5">
        <f>1 / 86400</f>
        <v>1.1574074074074073E-5</v>
      </c>
      <c r="L725" s="5">
        <f>2 / 86400</f>
        <v>2.3148148148148147E-5</v>
      </c>
    </row>
    <row r="726" spans="1:12" x14ac:dyDescent="0.25">
      <c r="A726" s="3">
        <v>45702.466261574074</v>
      </c>
      <c r="B726" t="s">
        <v>87</v>
      </c>
      <c r="C726" s="3">
        <v>45702.466342592597</v>
      </c>
      <c r="D726" t="s">
        <v>87</v>
      </c>
      <c r="E726" s="4">
        <v>0</v>
      </c>
      <c r="F726" s="4">
        <v>387036.36800000002</v>
      </c>
      <c r="G726" s="4">
        <v>387036.36800000002</v>
      </c>
      <c r="H726" s="5">
        <f t="shared" si="8"/>
        <v>0</v>
      </c>
      <c r="I726" t="s">
        <v>88</v>
      </c>
      <c r="J726" t="s">
        <v>88</v>
      </c>
      <c r="K726" s="5">
        <f>7 / 86400</f>
        <v>8.1018518518518516E-5</v>
      </c>
      <c r="L726" s="5">
        <f>39 / 86400</f>
        <v>4.5138888888888887E-4</v>
      </c>
    </row>
    <row r="727" spans="1:12" x14ac:dyDescent="0.25">
      <c r="A727" s="3">
        <v>45702.466793981483</v>
      </c>
      <c r="B727" t="s">
        <v>87</v>
      </c>
      <c r="C727" s="3">
        <v>45702.468414351853</v>
      </c>
      <c r="D727" t="s">
        <v>82</v>
      </c>
      <c r="E727" s="4">
        <v>0.437</v>
      </c>
      <c r="F727" s="4">
        <v>387036.36800000002</v>
      </c>
      <c r="G727" s="4">
        <v>387036.80499999999</v>
      </c>
      <c r="H727" s="5">
        <f>20 / 86400</f>
        <v>2.3148148148148149E-4</v>
      </c>
      <c r="I727" t="s">
        <v>196</v>
      </c>
      <c r="J727" t="s">
        <v>53</v>
      </c>
      <c r="K727" s="5">
        <f>139 / 86400</f>
        <v>1.6087962962962963E-3</v>
      </c>
      <c r="L727" s="5">
        <f>4 / 86400</f>
        <v>4.6296296296296294E-5</v>
      </c>
    </row>
    <row r="728" spans="1:12" x14ac:dyDescent="0.25">
      <c r="A728" s="3">
        <v>45702.468460648146</v>
      </c>
      <c r="B728" t="s">
        <v>82</v>
      </c>
      <c r="C728" s="3">
        <v>45702.476967592593</v>
      </c>
      <c r="D728" t="s">
        <v>125</v>
      </c>
      <c r="E728" s="4">
        <v>0.76500000000000001</v>
      </c>
      <c r="F728" s="4">
        <v>387036.80499999999</v>
      </c>
      <c r="G728" s="4">
        <v>387037.57</v>
      </c>
      <c r="H728" s="5">
        <f>484 / 86400</f>
        <v>5.6018518518518518E-3</v>
      </c>
      <c r="I728" t="s">
        <v>178</v>
      </c>
      <c r="J728" t="s">
        <v>156</v>
      </c>
      <c r="K728" s="5">
        <f>735 / 86400</f>
        <v>8.5069444444444437E-3</v>
      </c>
      <c r="L728" s="5">
        <f>52 / 86400</f>
        <v>6.018518518518519E-4</v>
      </c>
    </row>
    <row r="729" spans="1:12" x14ac:dyDescent="0.25">
      <c r="A729" s="3">
        <v>45702.47756944444</v>
      </c>
      <c r="B729" t="s">
        <v>125</v>
      </c>
      <c r="C729" s="3">
        <v>45702.477604166663</v>
      </c>
      <c r="D729" t="s">
        <v>125</v>
      </c>
      <c r="E729" s="4">
        <v>0</v>
      </c>
      <c r="F729" s="4">
        <v>387037.57</v>
      </c>
      <c r="G729" s="4">
        <v>387037.57</v>
      </c>
      <c r="H729" s="5">
        <f>0 / 86400</f>
        <v>0</v>
      </c>
      <c r="I729" t="s">
        <v>88</v>
      </c>
      <c r="J729" t="s">
        <v>88</v>
      </c>
      <c r="K729" s="5">
        <f>2 / 86400</f>
        <v>2.3148148148148147E-5</v>
      </c>
      <c r="L729" s="5">
        <f>278 / 86400</f>
        <v>3.2175925925925926E-3</v>
      </c>
    </row>
    <row r="730" spans="1:12" x14ac:dyDescent="0.25">
      <c r="A730" s="3">
        <v>45702.480821759258</v>
      </c>
      <c r="B730" t="s">
        <v>125</v>
      </c>
      <c r="C730" s="3">
        <v>45702.581342592588</v>
      </c>
      <c r="D730" t="s">
        <v>311</v>
      </c>
      <c r="E730" s="4">
        <v>40.131</v>
      </c>
      <c r="F730" s="4">
        <v>387037.57</v>
      </c>
      <c r="G730" s="4">
        <v>387077.701</v>
      </c>
      <c r="H730" s="5">
        <f>3039 / 86400</f>
        <v>3.5173611111111114E-2</v>
      </c>
      <c r="I730" t="s">
        <v>235</v>
      </c>
      <c r="J730" t="s">
        <v>28</v>
      </c>
      <c r="K730" s="5">
        <f>8684 / 86400</f>
        <v>0.10050925925925926</v>
      </c>
      <c r="L730" s="5">
        <f>148 / 86400</f>
        <v>1.712962962962963E-3</v>
      </c>
    </row>
    <row r="731" spans="1:12" x14ac:dyDescent="0.25">
      <c r="A731" s="3">
        <v>45702.583055555559</v>
      </c>
      <c r="B731" t="s">
        <v>311</v>
      </c>
      <c r="C731" s="3">
        <v>45702.797719907408</v>
      </c>
      <c r="D731" t="s">
        <v>76</v>
      </c>
      <c r="E731" s="4">
        <v>90.305000000000007</v>
      </c>
      <c r="F731" s="4">
        <v>387077.701</v>
      </c>
      <c r="G731" s="4">
        <v>387168.00599999999</v>
      </c>
      <c r="H731" s="5">
        <f>5589 / 86400</f>
        <v>6.4687499999999995E-2</v>
      </c>
      <c r="I731" t="s">
        <v>61</v>
      </c>
      <c r="J731" t="s">
        <v>24</v>
      </c>
      <c r="K731" s="5">
        <f>18547 / 86400</f>
        <v>0.21466435185185184</v>
      </c>
      <c r="L731" s="5">
        <f>503 / 86400</f>
        <v>5.8217592592592592E-3</v>
      </c>
    </row>
    <row r="732" spans="1:12" x14ac:dyDescent="0.25">
      <c r="A732" s="3">
        <v>45702.803541666668</v>
      </c>
      <c r="B732" t="s">
        <v>76</v>
      </c>
      <c r="C732" s="3">
        <v>45702.809282407412</v>
      </c>
      <c r="D732" t="s">
        <v>38</v>
      </c>
      <c r="E732" s="4">
        <v>1.4</v>
      </c>
      <c r="F732" s="4">
        <v>387168.00599999999</v>
      </c>
      <c r="G732" s="4">
        <v>387169.40600000002</v>
      </c>
      <c r="H732" s="5">
        <f>320 / 86400</f>
        <v>3.7037037037037038E-3</v>
      </c>
      <c r="I732" t="s">
        <v>221</v>
      </c>
      <c r="J732" t="s">
        <v>126</v>
      </c>
      <c r="K732" s="5">
        <f>495 / 86400</f>
        <v>5.7291666666666663E-3</v>
      </c>
      <c r="L732" s="5">
        <f>16477 / 86400</f>
        <v>0.19070601851851851</v>
      </c>
    </row>
    <row r="733" spans="1:1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s="10" customFormat="1" ht="20.100000000000001" customHeight="1" x14ac:dyDescent="0.35">
      <c r="A735" s="15" t="s">
        <v>439</v>
      </c>
      <c r="B735" s="15"/>
      <c r="C735" s="15"/>
      <c r="D735" s="15"/>
      <c r="E735" s="15"/>
      <c r="F735" s="15"/>
      <c r="G735" s="15"/>
      <c r="H735" s="15"/>
      <c r="I735" s="15"/>
      <c r="J735" s="15"/>
    </row>
    <row r="736" spans="1:1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</row>
    <row r="737" spans="1:12" ht="30" x14ac:dyDescent="0.25">
      <c r="A737" s="2" t="s">
        <v>6</v>
      </c>
      <c r="B737" s="2" t="s">
        <v>7</v>
      </c>
      <c r="C737" s="2" t="s">
        <v>8</v>
      </c>
      <c r="D737" s="2" t="s">
        <v>9</v>
      </c>
      <c r="E737" s="2" t="s">
        <v>10</v>
      </c>
      <c r="F737" s="2" t="s">
        <v>11</v>
      </c>
      <c r="G737" s="2" t="s">
        <v>12</v>
      </c>
      <c r="H737" s="2" t="s">
        <v>13</v>
      </c>
      <c r="I737" s="2" t="s">
        <v>14</v>
      </c>
      <c r="J737" s="2" t="s">
        <v>15</v>
      </c>
      <c r="K737" s="2" t="s">
        <v>16</v>
      </c>
      <c r="L737" s="2" t="s">
        <v>17</v>
      </c>
    </row>
    <row r="738" spans="1:12" x14ac:dyDescent="0.25">
      <c r="A738" s="3">
        <v>45702.14770833333</v>
      </c>
      <c r="B738" t="s">
        <v>64</v>
      </c>
      <c r="C738" s="3">
        <v>45702.306550925925</v>
      </c>
      <c r="D738" t="s">
        <v>124</v>
      </c>
      <c r="E738" s="4">
        <v>81.423000000000002</v>
      </c>
      <c r="F738" s="4">
        <v>523358.97499999998</v>
      </c>
      <c r="G738" s="4">
        <v>523440.39799999999</v>
      </c>
      <c r="H738" s="5">
        <f>3458 / 86400</f>
        <v>4.0023148148148148E-2</v>
      </c>
      <c r="I738" t="s">
        <v>56</v>
      </c>
      <c r="J738" t="s">
        <v>21</v>
      </c>
      <c r="K738" s="5">
        <f>13724 / 86400</f>
        <v>0.15884259259259259</v>
      </c>
      <c r="L738" s="5">
        <f>13636 / 86400</f>
        <v>0.15782407407407406</v>
      </c>
    </row>
    <row r="739" spans="1:12" x14ac:dyDescent="0.25">
      <c r="A739" s="3">
        <v>45702.316666666666</v>
      </c>
      <c r="B739" t="s">
        <v>124</v>
      </c>
      <c r="C739" s="3">
        <v>45702.432025462964</v>
      </c>
      <c r="D739" t="s">
        <v>158</v>
      </c>
      <c r="E739" s="4">
        <v>51.15</v>
      </c>
      <c r="F739" s="4">
        <v>523440.39799999999</v>
      </c>
      <c r="G739" s="4">
        <v>523491.54800000001</v>
      </c>
      <c r="H739" s="5">
        <f>2720 / 86400</f>
        <v>3.1481481481481478E-2</v>
      </c>
      <c r="I739" t="s">
        <v>44</v>
      </c>
      <c r="J739" t="s">
        <v>24</v>
      </c>
      <c r="K739" s="5">
        <f>9966 / 86400</f>
        <v>0.11534722222222223</v>
      </c>
      <c r="L739" s="5">
        <f>161 / 86400</f>
        <v>1.8634259259259259E-3</v>
      </c>
    </row>
    <row r="740" spans="1:12" x14ac:dyDescent="0.25">
      <c r="A740" s="3">
        <v>45702.433888888889</v>
      </c>
      <c r="B740" t="s">
        <v>158</v>
      </c>
      <c r="C740" s="3">
        <v>45702.572604166664</v>
      </c>
      <c r="D740" t="s">
        <v>128</v>
      </c>
      <c r="E740" s="4">
        <v>50.485999999999997</v>
      </c>
      <c r="F740" s="4">
        <v>523491.54800000001</v>
      </c>
      <c r="G740" s="4">
        <v>523542.03399999999</v>
      </c>
      <c r="H740" s="5">
        <f>4220 / 86400</f>
        <v>4.884259259259259E-2</v>
      </c>
      <c r="I740" t="s">
        <v>106</v>
      </c>
      <c r="J740" t="s">
        <v>31</v>
      </c>
      <c r="K740" s="5">
        <f>11984 / 86400</f>
        <v>0.13870370370370369</v>
      </c>
      <c r="L740" s="5">
        <f>5607 / 86400</f>
        <v>6.4895833333333333E-2</v>
      </c>
    </row>
    <row r="741" spans="1:12" x14ac:dyDescent="0.25">
      <c r="A741" s="3">
        <v>45702.637499999997</v>
      </c>
      <c r="B741" t="s">
        <v>128</v>
      </c>
      <c r="C741" s="3">
        <v>45702.695532407408</v>
      </c>
      <c r="D741" t="s">
        <v>376</v>
      </c>
      <c r="E741" s="4">
        <v>26.326000000000001</v>
      </c>
      <c r="F741" s="4">
        <v>523542.03399999999</v>
      </c>
      <c r="G741" s="4">
        <v>523568.36</v>
      </c>
      <c r="H741" s="5">
        <f>1039 / 86400</f>
        <v>1.2025462962962963E-2</v>
      </c>
      <c r="I741" t="s">
        <v>67</v>
      </c>
      <c r="J741" t="s">
        <v>99</v>
      </c>
      <c r="K741" s="5">
        <f>5014 / 86400</f>
        <v>5.8032407407407408E-2</v>
      </c>
      <c r="L741" s="5">
        <f>1698 / 86400</f>
        <v>1.9652777777777779E-2</v>
      </c>
    </row>
    <row r="742" spans="1:12" x14ac:dyDescent="0.25">
      <c r="A742" s="3">
        <v>45702.715185185181</v>
      </c>
      <c r="B742" t="s">
        <v>376</v>
      </c>
      <c r="C742" s="3">
        <v>45702.717152777783</v>
      </c>
      <c r="D742" t="s">
        <v>64</v>
      </c>
      <c r="E742" s="4">
        <v>0.40200000000000002</v>
      </c>
      <c r="F742" s="4">
        <v>523568.36</v>
      </c>
      <c r="G742" s="4">
        <v>523568.76199999999</v>
      </c>
      <c r="H742" s="5">
        <f>0 / 86400</f>
        <v>0</v>
      </c>
      <c r="I742" t="s">
        <v>37</v>
      </c>
      <c r="J742" t="s">
        <v>57</v>
      </c>
      <c r="K742" s="5">
        <f>170 / 86400</f>
        <v>1.9675925925925924E-3</v>
      </c>
      <c r="L742" s="5">
        <f>24437 / 86400</f>
        <v>0.28283564814814816</v>
      </c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s="10" customFormat="1" ht="20.100000000000001" customHeight="1" x14ac:dyDescent="0.35">
      <c r="A745" s="15" t="s">
        <v>440</v>
      </c>
      <c r="B745" s="15"/>
      <c r="C745" s="15"/>
      <c r="D745" s="15"/>
      <c r="E745" s="15"/>
      <c r="F745" s="15"/>
      <c r="G745" s="15"/>
      <c r="H745" s="15"/>
      <c r="I745" s="15"/>
      <c r="J745" s="15"/>
    </row>
    <row r="746" spans="1:1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</row>
    <row r="747" spans="1:12" ht="30" x14ac:dyDescent="0.25">
      <c r="A747" s="2" t="s">
        <v>6</v>
      </c>
      <c r="B747" s="2" t="s">
        <v>7</v>
      </c>
      <c r="C747" s="2" t="s">
        <v>8</v>
      </c>
      <c r="D747" s="2" t="s">
        <v>9</v>
      </c>
      <c r="E747" s="2" t="s">
        <v>10</v>
      </c>
      <c r="F747" s="2" t="s">
        <v>11</v>
      </c>
      <c r="G747" s="2" t="s">
        <v>12</v>
      </c>
      <c r="H747" s="2" t="s">
        <v>13</v>
      </c>
      <c r="I747" s="2" t="s">
        <v>14</v>
      </c>
      <c r="J747" s="2" t="s">
        <v>15</v>
      </c>
      <c r="K747" s="2" t="s">
        <v>16</v>
      </c>
      <c r="L747" s="2" t="s">
        <v>17</v>
      </c>
    </row>
    <row r="748" spans="1:12" x14ac:dyDescent="0.25">
      <c r="A748" s="3">
        <v>45702</v>
      </c>
      <c r="B748" t="s">
        <v>65</v>
      </c>
      <c r="C748" s="3">
        <v>45702.008611111116</v>
      </c>
      <c r="D748" t="s">
        <v>377</v>
      </c>
      <c r="E748" s="4">
        <v>2.847</v>
      </c>
      <c r="F748" s="4">
        <v>411943.96799999999</v>
      </c>
      <c r="G748" s="4">
        <v>411946.815</v>
      </c>
      <c r="H748" s="5">
        <f>160 / 86400</f>
        <v>1.8518518518518519E-3</v>
      </c>
      <c r="I748" t="s">
        <v>221</v>
      </c>
      <c r="J748" t="s">
        <v>59</v>
      </c>
      <c r="K748" s="5">
        <f>744 / 86400</f>
        <v>8.611111111111111E-3</v>
      </c>
      <c r="L748" s="5">
        <f>40397 / 86400</f>
        <v>0.46755787037037039</v>
      </c>
    </row>
    <row r="749" spans="1:12" x14ac:dyDescent="0.25">
      <c r="A749" s="3">
        <v>45702.476168981477</v>
      </c>
      <c r="B749" t="s">
        <v>377</v>
      </c>
      <c r="C749" s="3">
        <v>45702.529166666667</v>
      </c>
      <c r="D749" t="s">
        <v>144</v>
      </c>
      <c r="E749" s="4">
        <v>21.356000000000002</v>
      </c>
      <c r="F749" s="4">
        <v>411946.815</v>
      </c>
      <c r="G749" s="4">
        <v>411968.17099999997</v>
      </c>
      <c r="H749" s="5">
        <f>1438 / 86400</f>
        <v>1.6643518518518519E-2</v>
      </c>
      <c r="I749" t="s">
        <v>151</v>
      </c>
      <c r="J749" t="s">
        <v>28</v>
      </c>
      <c r="K749" s="5">
        <f>4578 / 86400</f>
        <v>5.2986111111111109E-2</v>
      </c>
      <c r="L749" s="5">
        <f>444 / 86400</f>
        <v>5.138888888888889E-3</v>
      </c>
    </row>
    <row r="750" spans="1:12" x14ac:dyDescent="0.25">
      <c r="A750" s="3">
        <v>45702.534305555557</v>
      </c>
      <c r="B750" t="s">
        <v>144</v>
      </c>
      <c r="C750" s="3">
        <v>45702.53633101852</v>
      </c>
      <c r="D750" t="s">
        <v>370</v>
      </c>
      <c r="E750" s="4">
        <v>0.505</v>
      </c>
      <c r="F750" s="4">
        <v>411968.17099999997</v>
      </c>
      <c r="G750" s="4">
        <v>411968.67599999998</v>
      </c>
      <c r="H750" s="5">
        <f>79 / 86400</f>
        <v>9.1435185185185185E-4</v>
      </c>
      <c r="I750" t="s">
        <v>135</v>
      </c>
      <c r="J750" t="s">
        <v>126</v>
      </c>
      <c r="K750" s="5">
        <f>175 / 86400</f>
        <v>2.0254629629629629E-3</v>
      </c>
      <c r="L750" s="5">
        <f>3953 / 86400</f>
        <v>4.5752314814814815E-2</v>
      </c>
    </row>
    <row r="751" spans="1:12" x14ac:dyDescent="0.25">
      <c r="A751" s="3">
        <v>45702.582083333335</v>
      </c>
      <c r="B751" t="s">
        <v>370</v>
      </c>
      <c r="C751" s="3">
        <v>45702.99998842593</v>
      </c>
      <c r="D751" t="s">
        <v>66</v>
      </c>
      <c r="E751" s="4">
        <v>150.96899999999999</v>
      </c>
      <c r="F751" s="4">
        <v>411968.67599999998</v>
      </c>
      <c r="G751" s="4">
        <v>412119.64500000002</v>
      </c>
      <c r="H751" s="5">
        <f>12299 / 86400</f>
        <v>0.14234953703703704</v>
      </c>
      <c r="I751" t="s">
        <v>67</v>
      </c>
      <c r="J751" t="s">
        <v>31</v>
      </c>
      <c r="K751" s="5">
        <f>36107 / 86400</f>
        <v>0.41790509259259262</v>
      </c>
      <c r="L751" s="5">
        <f>0 / 86400</f>
        <v>0</v>
      </c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s="10" customFormat="1" ht="20.100000000000001" customHeight="1" x14ac:dyDescent="0.35">
      <c r="A754" s="15" t="s">
        <v>441</v>
      </c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ht="30" x14ac:dyDescent="0.25">
      <c r="A756" s="2" t="s">
        <v>6</v>
      </c>
      <c r="B756" s="2" t="s">
        <v>7</v>
      </c>
      <c r="C756" s="2" t="s">
        <v>8</v>
      </c>
      <c r="D756" s="2" t="s">
        <v>9</v>
      </c>
      <c r="E756" s="2" t="s">
        <v>10</v>
      </c>
      <c r="F756" s="2" t="s">
        <v>11</v>
      </c>
      <c r="G756" s="2" t="s">
        <v>12</v>
      </c>
      <c r="H756" s="2" t="s">
        <v>13</v>
      </c>
      <c r="I756" s="2" t="s">
        <v>14</v>
      </c>
      <c r="J756" s="2" t="s">
        <v>15</v>
      </c>
      <c r="K756" s="2" t="s">
        <v>16</v>
      </c>
      <c r="L756" s="2" t="s">
        <v>17</v>
      </c>
    </row>
    <row r="757" spans="1:12" x14ac:dyDescent="0.25">
      <c r="A757" s="3">
        <v>45702.224444444444</v>
      </c>
      <c r="B757" t="s">
        <v>68</v>
      </c>
      <c r="C757" s="3">
        <v>45702.376956018517</v>
      </c>
      <c r="D757" t="s">
        <v>188</v>
      </c>
      <c r="E757" s="4">
        <v>64.817999999999998</v>
      </c>
      <c r="F757" s="4">
        <v>402951.592</v>
      </c>
      <c r="G757" s="4">
        <v>403016.41</v>
      </c>
      <c r="H757" s="5">
        <f>4440 / 86400</f>
        <v>5.1388888888888887E-2</v>
      </c>
      <c r="I757" t="s">
        <v>33</v>
      </c>
      <c r="J757" t="s">
        <v>24</v>
      </c>
      <c r="K757" s="5">
        <f>13176 / 86400</f>
        <v>0.1525</v>
      </c>
      <c r="L757" s="5">
        <f>19449 / 86400</f>
        <v>0.22510416666666666</v>
      </c>
    </row>
    <row r="758" spans="1:12" x14ac:dyDescent="0.25">
      <c r="A758" s="3">
        <v>45702.377615740741</v>
      </c>
      <c r="B758" t="s">
        <v>188</v>
      </c>
      <c r="C758" s="3">
        <v>45702.459282407406</v>
      </c>
      <c r="D758" t="s">
        <v>87</v>
      </c>
      <c r="E758" s="4">
        <v>34.752000000000002</v>
      </c>
      <c r="F758" s="4">
        <v>403016.41</v>
      </c>
      <c r="G758" s="4">
        <v>403051.16200000001</v>
      </c>
      <c r="H758" s="5">
        <f>2080 / 86400</f>
        <v>2.4074074074074074E-2</v>
      </c>
      <c r="I758" t="s">
        <v>56</v>
      </c>
      <c r="J758" t="s">
        <v>24</v>
      </c>
      <c r="K758" s="5">
        <f>7055 / 86400</f>
        <v>8.1655092592592599E-2</v>
      </c>
      <c r="L758" s="5">
        <f>2026 / 86400</f>
        <v>2.3449074074074074E-2</v>
      </c>
    </row>
    <row r="759" spans="1:12" x14ac:dyDescent="0.25">
      <c r="A759" s="3">
        <v>45702.482731481483</v>
      </c>
      <c r="B759" t="s">
        <v>87</v>
      </c>
      <c r="C759" s="3">
        <v>45702.486689814818</v>
      </c>
      <c r="D759" t="s">
        <v>125</v>
      </c>
      <c r="E759" s="4">
        <v>1.2230000000000001</v>
      </c>
      <c r="F759" s="4">
        <v>403051.16200000001</v>
      </c>
      <c r="G759" s="4">
        <v>403052.38500000001</v>
      </c>
      <c r="H759" s="5">
        <f>19 / 86400</f>
        <v>2.199074074074074E-4</v>
      </c>
      <c r="I759" t="s">
        <v>272</v>
      </c>
      <c r="J759" t="s">
        <v>35</v>
      </c>
      <c r="K759" s="5">
        <f>341 / 86400</f>
        <v>3.9467592592592592E-3</v>
      </c>
      <c r="L759" s="5">
        <f>1341 / 86400</f>
        <v>1.5520833333333333E-2</v>
      </c>
    </row>
    <row r="760" spans="1:12" x14ac:dyDescent="0.25">
      <c r="A760" s="3">
        <v>45702.502210648148</v>
      </c>
      <c r="B760" t="s">
        <v>125</v>
      </c>
      <c r="C760" s="3">
        <v>45702.713136574079</v>
      </c>
      <c r="D760" t="s">
        <v>128</v>
      </c>
      <c r="E760" s="4">
        <v>93.974999999999994</v>
      </c>
      <c r="F760" s="4">
        <v>403052.38500000001</v>
      </c>
      <c r="G760" s="4">
        <v>403146.36</v>
      </c>
      <c r="H760" s="5">
        <f>5579 / 86400</f>
        <v>6.4571759259259259E-2</v>
      </c>
      <c r="I760" t="s">
        <v>30</v>
      </c>
      <c r="J760" t="s">
        <v>99</v>
      </c>
      <c r="K760" s="5">
        <f>18224 / 86400</f>
        <v>0.21092592592592593</v>
      </c>
      <c r="L760" s="5">
        <f>280 / 86400</f>
        <v>3.2407407407407406E-3</v>
      </c>
    </row>
    <row r="761" spans="1:12" x14ac:dyDescent="0.25">
      <c r="A761" s="3">
        <v>45702.716377314813</v>
      </c>
      <c r="B761" t="s">
        <v>128</v>
      </c>
      <c r="C761" s="3">
        <v>45702.71769675926</v>
      </c>
      <c r="D761" t="s">
        <v>356</v>
      </c>
      <c r="E761" s="4">
        <v>0.314</v>
      </c>
      <c r="F761" s="4">
        <v>403146.36</v>
      </c>
      <c r="G761" s="4">
        <v>403146.674</v>
      </c>
      <c r="H761" s="5">
        <f>20 / 86400</f>
        <v>2.3148148148148149E-4</v>
      </c>
      <c r="I761" t="s">
        <v>135</v>
      </c>
      <c r="J761" t="s">
        <v>126</v>
      </c>
      <c r="K761" s="5">
        <f>113 / 86400</f>
        <v>1.3078703703703703E-3</v>
      </c>
      <c r="L761" s="5">
        <f>434 / 86400</f>
        <v>5.0231481481481481E-3</v>
      </c>
    </row>
    <row r="762" spans="1:12" x14ac:dyDescent="0.25">
      <c r="A762" s="3">
        <v>45702.722719907411</v>
      </c>
      <c r="B762" t="s">
        <v>356</v>
      </c>
      <c r="C762" s="3">
        <v>45702.725717592592</v>
      </c>
      <c r="D762" t="s">
        <v>68</v>
      </c>
      <c r="E762" s="4">
        <v>0.31</v>
      </c>
      <c r="F762" s="4">
        <v>403146.674</v>
      </c>
      <c r="G762" s="4">
        <v>403146.984</v>
      </c>
      <c r="H762" s="5">
        <f>119 / 86400</f>
        <v>1.3773148148148147E-3</v>
      </c>
      <c r="I762" t="s">
        <v>34</v>
      </c>
      <c r="J762" t="s">
        <v>156</v>
      </c>
      <c r="K762" s="5">
        <f>258 / 86400</f>
        <v>2.9861111111111113E-3</v>
      </c>
      <c r="L762" s="5">
        <f>23697 / 86400</f>
        <v>0.27427083333333335</v>
      </c>
    </row>
    <row r="763" spans="1:1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s="10" customFormat="1" ht="20.100000000000001" customHeight="1" x14ac:dyDescent="0.35">
      <c r="A765" s="15" t="s">
        <v>442</v>
      </c>
      <c r="B765" s="15"/>
      <c r="C765" s="15"/>
      <c r="D765" s="15"/>
      <c r="E765" s="15"/>
      <c r="F765" s="15"/>
      <c r="G765" s="15"/>
      <c r="H765" s="15"/>
      <c r="I765" s="15"/>
      <c r="J765" s="15"/>
    </row>
    <row r="766" spans="1:1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</row>
    <row r="767" spans="1:12" ht="30" x14ac:dyDescent="0.25">
      <c r="A767" s="2" t="s">
        <v>6</v>
      </c>
      <c r="B767" s="2" t="s">
        <v>7</v>
      </c>
      <c r="C767" s="2" t="s">
        <v>8</v>
      </c>
      <c r="D767" s="2" t="s">
        <v>9</v>
      </c>
      <c r="E767" s="2" t="s">
        <v>10</v>
      </c>
      <c r="F767" s="2" t="s">
        <v>11</v>
      </c>
      <c r="G767" s="2" t="s">
        <v>12</v>
      </c>
      <c r="H767" s="2" t="s">
        <v>13</v>
      </c>
      <c r="I767" s="2" t="s">
        <v>14</v>
      </c>
      <c r="J767" s="2" t="s">
        <v>15</v>
      </c>
      <c r="K767" s="2" t="s">
        <v>16</v>
      </c>
      <c r="L767" s="2" t="s">
        <v>17</v>
      </c>
    </row>
    <row r="768" spans="1:12" x14ac:dyDescent="0.25">
      <c r="A768" s="3">
        <v>45702.667708333334</v>
      </c>
      <c r="B768" t="s">
        <v>69</v>
      </c>
      <c r="C768" s="3">
        <v>45702.764884259261</v>
      </c>
      <c r="D768" t="s">
        <v>146</v>
      </c>
      <c r="E768" s="4">
        <v>38.345999999999997</v>
      </c>
      <c r="F768" s="4">
        <v>407559.42099999997</v>
      </c>
      <c r="G768" s="4">
        <v>407597.76699999999</v>
      </c>
      <c r="H768" s="5">
        <f>3372 / 86400</f>
        <v>3.9027777777777779E-2</v>
      </c>
      <c r="I768" t="s">
        <v>338</v>
      </c>
      <c r="J768" t="s">
        <v>34</v>
      </c>
      <c r="K768" s="5">
        <f>8396 / 86400</f>
        <v>9.7175925925925929E-2</v>
      </c>
      <c r="L768" s="5">
        <f>57913 / 86400</f>
        <v>0.6702893518518519</v>
      </c>
    </row>
    <row r="769" spans="1:12" x14ac:dyDescent="0.25">
      <c r="A769" s="3">
        <v>45702.767465277779</v>
      </c>
      <c r="B769" t="s">
        <v>146</v>
      </c>
      <c r="C769" s="3">
        <v>45702.76761574074</v>
      </c>
      <c r="D769" t="s">
        <v>146</v>
      </c>
      <c r="E769" s="4">
        <v>5.0000000000000001E-3</v>
      </c>
      <c r="F769" s="4">
        <v>407597.76699999999</v>
      </c>
      <c r="G769" s="4">
        <v>407597.772</v>
      </c>
      <c r="H769" s="5">
        <f>0 / 86400</f>
        <v>0</v>
      </c>
      <c r="I769" t="s">
        <v>88</v>
      </c>
      <c r="J769" t="s">
        <v>140</v>
      </c>
      <c r="K769" s="5">
        <f>12 / 86400</f>
        <v>1.3888888888888889E-4</v>
      </c>
      <c r="L769" s="5">
        <f>308 / 86400</f>
        <v>3.5648148148148149E-3</v>
      </c>
    </row>
    <row r="770" spans="1:12" x14ac:dyDescent="0.25">
      <c r="A770" s="3">
        <v>45702.771180555559</v>
      </c>
      <c r="B770" t="s">
        <v>146</v>
      </c>
      <c r="C770" s="3">
        <v>45702.838958333334</v>
      </c>
      <c r="D770" t="s">
        <v>70</v>
      </c>
      <c r="E770" s="4">
        <v>26.812000000000001</v>
      </c>
      <c r="F770" s="4">
        <v>407597.772</v>
      </c>
      <c r="G770" s="4">
        <v>407624.58399999997</v>
      </c>
      <c r="H770" s="5">
        <f>1888 / 86400</f>
        <v>2.1851851851851851E-2</v>
      </c>
      <c r="I770" t="s">
        <v>71</v>
      </c>
      <c r="J770" t="s">
        <v>34</v>
      </c>
      <c r="K770" s="5">
        <f>5855 / 86400</f>
        <v>6.7766203703703703E-2</v>
      </c>
      <c r="L770" s="5">
        <f>613 / 86400</f>
        <v>7.0949074074074074E-3</v>
      </c>
    </row>
    <row r="771" spans="1:12" x14ac:dyDescent="0.25">
      <c r="A771" s="3">
        <v>45702.846053240741</v>
      </c>
      <c r="B771" t="s">
        <v>70</v>
      </c>
      <c r="C771" s="3">
        <v>45702.846724537041</v>
      </c>
      <c r="D771" t="s">
        <v>70</v>
      </c>
      <c r="E771" s="4">
        <v>5.0000000000000001E-3</v>
      </c>
      <c r="F771" s="4">
        <v>407624.58399999997</v>
      </c>
      <c r="G771" s="4">
        <v>407624.58899999998</v>
      </c>
      <c r="H771" s="5">
        <f>20 / 86400</f>
        <v>2.3148148148148149E-4</v>
      </c>
      <c r="I771" t="s">
        <v>140</v>
      </c>
      <c r="J771" t="s">
        <v>88</v>
      </c>
      <c r="K771" s="5">
        <f>58 / 86400</f>
        <v>6.7129629629629625E-4</v>
      </c>
      <c r="L771" s="5">
        <f>13242 / 86400</f>
        <v>0.15326388888888889</v>
      </c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s="10" customFormat="1" ht="20.100000000000001" customHeight="1" x14ac:dyDescent="0.35">
      <c r="A774" s="15" t="s">
        <v>443</v>
      </c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ht="30" x14ac:dyDescent="0.25">
      <c r="A776" s="2" t="s">
        <v>6</v>
      </c>
      <c r="B776" s="2" t="s">
        <v>7</v>
      </c>
      <c r="C776" s="2" t="s">
        <v>8</v>
      </c>
      <c r="D776" s="2" t="s">
        <v>9</v>
      </c>
      <c r="E776" s="2" t="s">
        <v>10</v>
      </c>
      <c r="F776" s="2" t="s">
        <v>11</v>
      </c>
      <c r="G776" s="2" t="s">
        <v>12</v>
      </c>
      <c r="H776" s="2" t="s">
        <v>13</v>
      </c>
      <c r="I776" s="2" t="s">
        <v>14</v>
      </c>
      <c r="J776" s="2" t="s">
        <v>15</v>
      </c>
      <c r="K776" s="2" t="s">
        <v>16</v>
      </c>
      <c r="L776" s="2" t="s">
        <v>17</v>
      </c>
    </row>
    <row r="777" spans="1:12" x14ac:dyDescent="0.25">
      <c r="A777" s="3">
        <v>45702.313032407408</v>
      </c>
      <c r="B777" t="s">
        <v>72</v>
      </c>
      <c r="C777" s="3">
        <v>45702.43949074074</v>
      </c>
      <c r="D777" t="s">
        <v>128</v>
      </c>
      <c r="E777" s="4">
        <v>44.441000000000003</v>
      </c>
      <c r="F777" s="4">
        <v>348241.40899999999</v>
      </c>
      <c r="G777" s="4">
        <v>348285.85</v>
      </c>
      <c r="H777" s="5">
        <f>4160 / 86400</f>
        <v>4.8148148148148148E-2</v>
      </c>
      <c r="I777" t="s">
        <v>56</v>
      </c>
      <c r="J777" t="s">
        <v>31</v>
      </c>
      <c r="K777" s="5">
        <f>10925 / 86400</f>
        <v>0.12644675925925927</v>
      </c>
      <c r="L777" s="5">
        <f>27197 / 86400</f>
        <v>0.3147800925925926</v>
      </c>
    </row>
    <row r="778" spans="1:12" x14ac:dyDescent="0.25">
      <c r="A778" s="3">
        <v>45702.441238425927</v>
      </c>
      <c r="B778" t="s">
        <v>128</v>
      </c>
      <c r="C778" s="3">
        <v>45702.447743055556</v>
      </c>
      <c r="D778" t="s">
        <v>125</v>
      </c>
      <c r="E778" s="4">
        <v>1.3089999999999999</v>
      </c>
      <c r="F778" s="4">
        <v>348285.85</v>
      </c>
      <c r="G778" s="4">
        <v>348287.15899999999</v>
      </c>
      <c r="H778" s="5">
        <f>240 / 86400</f>
        <v>2.7777777777777779E-3</v>
      </c>
      <c r="I778" t="s">
        <v>189</v>
      </c>
      <c r="J778" t="s">
        <v>123</v>
      </c>
      <c r="K778" s="5">
        <f>562 / 86400</f>
        <v>6.5046296296296293E-3</v>
      </c>
      <c r="L778" s="5">
        <f>2567 / 86400</f>
        <v>2.9710648148148149E-2</v>
      </c>
    </row>
    <row r="779" spans="1:12" x14ac:dyDescent="0.25">
      <c r="A779" s="3">
        <v>45702.477453703701</v>
      </c>
      <c r="B779" t="s">
        <v>125</v>
      </c>
      <c r="C779" s="3">
        <v>45702.70144675926</v>
      </c>
      <c r="D779" t="s">
        <v>72</v>
      </c>
      <c r="E779" s="4">
        <v>74.956000000000003</v>
      </c>
      <c r="F779" s="4">
        <v>348287.15899999999</v>
      </c>
      <c r="G779" s="4">
        <v>348362.11499999999</v>
      </c>
      <c r="H779" s="5">
        <f>7478 / 86400</f>
        <v>8.655092592592592E-2</v>
      </c>
      <c r="I779" t="s">
        <v>73</v>
      </c>
      <c r="J779" t="s">
        <v>59</v>
      </c>
      <c r="K779" s="5">
        <f>19352 / 86400</f>
        <v>0.22398148148148148</v>
      </c>
      <c r="L779" s="5">
        <f>25794 / 86400</f>
        <v>0.29854166666666665</v>
      </c>
    </row>
    <row r="780" spans="1:1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s="10" customFormat="1" ht="20.100000000000001" customHeight="1" x14ac:dyDescent="0.35">
      <c r="A782" s="15" t="s">
        <v>444</v>
      </c>
      <c r="B782" s="15"/>
      <c r="C782" s="15"/>
      <c r="D782" s="15"/>
      <c r="E782" s="15"/>
      <c r="F782" s="15"/>
      <c r="G782" s="15"/>
      <c r="H782" s="15"/>
      <c r="I782" s="15"/>
      <c r="J782" s="15"/>
    </row>
    <row r="783" spans="1:1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 spans="1:12" ht="30" x14ac:dyDescent="0.25">
      <c r="A784" s="2" t="s">
        <v>6</v>
      </c>
      <c r="B784" s="2" t="s">
        <v>7</v>
      </c>
      <c r="C784" s="2" t="s">
        <v>8</v>
      </c>
      <c r="D784" s="2" t="s">
        <v>9</v>
      </c>
      <c r="E784" s="2" t="s">
        <v>10</v>
      </c>
      <c r="F784" s="2" t="s">
        <v>11</v>
      </c>
      <c r="G784" s="2" t="s">
        <v>12</v>
      </c>
      <c r="H784" s="2" t="s">
        <v>13</v>
      </c>
      <c r="I784" s="2" t="s">
        <v>14</v>
      </c>
      <c r="J784" s="2" t="s">
        <v>15</v>
      </c>
      <c r="K784" s="2" t="s">
        <v>16</v>
      </c>
      <c r="L784" s="2" t="s">
        <v>17</v>
      </c>
    </row>
    <row r="785" spans="1:12" x14ac:dyDescent="0.25">
      <c r="A785" s="3">
        <v>45702.119988425926</v>
      </c>
      <c r="B785" t="s">
        <v>74</v>
      </c>
      <c r="C785" s="3">
        <v>45702.19667824074</v>
      </c>
      <c r="D785" t="s">
        <v>378</v>
      </c>
      <c r="E785" s="4">
        <v>39.280999999999999</v>
      </c>
      <c r="F785" s="4">
        <v>41117.756999999998</v>
      </c>
      <c r="G785" s="4">
        <v>41157.038</v>
      </c>
      <c r="H785" s="5">
        <f>1900 / 86400</f>
        <v>2.1990740740740741E-2</v>
      </c>
      <c r="I785" t="s">
        <v>63</v>
      </c>
      <c r="J785" t="s">
        <v>21</v>
      </c>
      <c r="K785" s="5">
        <f>6626 / 86400</f>
        <v>7.6689814814814808E-2</v>
      </c>
      <c r="L785" s="5">
        <f>10457 / 86400</f>
        <v>0.12103009259259259</v>
      </c>
    </row>
    <row r="786" spans="1:12" x14ac:dyDescent="0.25">
      <c r="A786" s="3">
        <v>45702.197719907403</v>
      </c>
      <c r="B786" t="s">
        <v>378</v>
      </c>
      <c r="C786" s="3">
        <v>45702.30537037037</v>
      </c>
      <c r="D786" t="s">
        <v>125</v>
      </c>
      <c r="E786" s="4">
        <v>53.076000000000001</v>
      </c>
      <c r="F786" s="4">
        <v>41157.038</v>
      </c>
      <c r="G786" s="4">
        <v>41210.114000000001</v>
      </c>
      <c r="H786" s="5">
        <f>2279 / 86400</f>
        <v>2.6377314814814815E-2</v>
      </c>
      <c r="I786" t="s">
        <v>61</v>
      </c>
      <c r="J786" t="s">
        <v>21</v>
      </c>
      <c r="K786" s="5">
        <f>9300 / 86400</f>
        <v>0.1076388888888889</v>
      </c>
      <c r="L786" s="5">
        <f>218 / 86400</f>
        <v>2.5231481481481481E-3</v>
      </c>
    </row>
    <row r="787" spans="1:12" x14ac:dyDescent="0.25">
      <c r="A787" s="3">
        <v>45702.307893518519</v>
      </c>
      <c r="B787" t="s">
        <v>125</v>
      </c>
      <c r="C787" s="3">
        <v>45702.313298611116</v>
      </c>
      <c r="D787" t="s">
        <v>87</v>
      </c>
      <c r="E787" s="4">
        <v>1.1379999999999999</v>
      </c>
      <c r="F787" s="4">
        <v>41210.114000000001</v>
      </c>
      <c r="G787" s="4">
        <v>41211.252</v>
      </c>
      <c r="H787" s="5">
        <f>180 / 86400</f>
        <v>2.0833333333333333E-3</v>
      </c>
      <c r="I787" t="s">
        <v>272</v>
      </c>
      <c r="J787" t="s">
        <v>57</v>
      </c>
      <c r="K787" s="5">
        <f>467 / 86400</f>
        <v>5.4050925925925924E-3</v>
      </c>
      <c r="L787" s="5">
        <f>1554 / 86400</f>
        <v>1.7986111111111112E-2</v>
      </c>
    </row>
    <row r="788" spans="1:12" x14ac:dyDescent="0.25">
      <c r="A788" s="3">
        <v>45702.331284722226</v>
      </c>
      <c r="B788" t="s">
        <v>87</v>
      </c>
      <c r="C788" s="3">
        <v>45702.5783912037</v>
      </c>
      <c r="D788" t="s">
        <v>176</v>
      </c>
      <c r="E788" s="4">
        <v>84.849000000000004</v>
      </c>
      <c r="F788" s="4">
        <v>41211.252</v>
      </c>
      <c r="G788" s="4">
        <v>41296.101000000002</v>
      </c>
      <c r="H788" s="5">
        <f>8161 / 86400</f>
        <v>9.4456018518518522E-2</v>
      </c>
      <c r="I788" t="s">
        <v>71</v>
      </c>
      <c r="J788" t="s">
        <v>59</v>
      </c>
      <c r="K788" s="5">
        <f>21350 / 86400</f>
        <v>0.24710648148148148</v>
      </c>
      <c r="L788" s="5">
        <f>2 / 86400</f>
        <v>2.3148148148148147E-5</v>
      </c>
    </row>
    <row r="789" spans="1:12" x14ac:dyDescent="0.25">
      <c r="A789" s="3">
        <v>45702.578414351854</v>
      </c>
      <c r="B789" t="s">
        <v>176</v>
      </c>
      <c r="C789" s="3">
        <v>45702.5784837963</v>
      </c>
      <c r="D789" t="s">
        <v>176</v>
      </c>
      <c r="E789" s="4">
        <v>0</v>
      </c>
      <c r="F789" s="4">
        <v>41296.101000000002</v>
      </c>
      <c r="G789" s="4">
        <v>41296.101000000002</v>
      </c>
      <c r="H789" s="5">
        <f>0 / 86400</f>
        <v>0</v>
      </c>
      <c r="I789" t="s">
        <v>88</v>
      </c>
      <c r="J789" t="s">
        <v>88</v>
      </c>
      <c r="K789" s="5">
        <f>6 / 86400</f>
        <v>6.9444444444444444E-5</v>
      </c>
      <c r="L789" s="5">
        <f>6 / 86400</f>
        <v>6.9444444444444444E-5</v>
      </c>
    </row>
    <row r="790" spans="1:12" x14ac:dyDescent="0.25">
      <c r="A790" s="3">
        <v>45702.578553240739</v>
      </c>
      <c r="B790" t="s">
        <v>176</v>
      </c>
      <c r="C790" s="3">
        <v>45702.611747685187</v>
      </c>
      <c r="D790" t="s">
        <v>128</v>
      </c>
      <c r="E790" s="4">
        <v>16.169</v>
      </c>
      <c r="F790" s="4">
        <v>41296.101000000002</v>
      </c>
      <c r="G790" s="4">
        <v>41312.269999999997</v>
      </c>
      <c r="H790" s="5">
        <f>547 / 86400</f>
        <v>6.3310185185185188E-3</v>
      </c>
      <c r="I790" t="s">
        <v>237</v>
      </c>
      <c r="J790" t="s">
        <v>145</v>
      </c>
      <c r="K790" s="5">
        <f>2868 / 86400</f>
        <v>3.3194444444444443E-2</v>
      </c>
      <c r="L790" s="5">
        <f>121 / 86400</f>
        <v>1.4004629629629629E-3</v>
      </c>
    </row>
    <row r="791" spans="1:12" x14ac:dyDescent="0.25">
      <c r="A791" s="3">
        <v>45702.61314814815</v>
      </c>
      <c r="B791" t="s">
        <v>128</v>
      </c>
      <c r="C791" s="3">
        <v>45702.61440972222</v>
      </c>
      <c r="D791" t="s">
        <v>128</v>
      </c>
      <c r="E791" s="4">
        <v>3.6999999999999998E-2</v>
      </c>
      <c r="F791" s="4">
        <v>41312.269999999997</v>
      </c>
      <c r="G791" s="4">
        <v>41312.307000000001</v>
      </c>
      <c r="H791" s="5">
        <f>59 / 86400</f>
        <v>6.8287037037037036E-4</v>
      </c>
      <c r="I791" t="s">
        <v>140</v>
      </c>
      <c r="J791" t="s">
        <v>120</v>
      </c>
      <c r="K791" s="5">
        <f>108 / 86400</f>
        <v>1.25E-3</v>
      </c>
      <c r="L791" s="5">
        <f>1029 / 86400</f>
        <v>1.1909722222222223E-2</v>
      </c>
    </row>
    <row r="792" spans="1:12" x14ac:dyDescent="0.25">
      <c r="A792" s="3">
        <v>45702.626319444447</v>
      </c>
      <c r="B792" t="s">
        <v>128</v>
      </c>
      <c r="C792" s="3">
        <v>45702.627928240741</v>
      </c>
      <c r="D792" t="s">
        <v>128</v>
      </c>
      <c r="E792" s="4">
        <v>3.5000000000000003E-2</v>
      </c>
      <c r="F792" s="4">
        <v>41312.307000000001</v>
      </c>
      <c r="G792" s="4">
        <v>41312.341999999997</v>
      </c>
      <c r="H792" s="5">
        <f>99 / 86400</f>
        <v>1.1458333333333333E-3</v>
      </c>
      <c r="I792" t="s">
        <v>132</v>
      </c>
      <c r="J792" t="s">
        <v>120</v>
      </c>
      <c r="K792" s="5">
        <f>138 / 86400</f>
        <v>1.5972222222222223E-3</v>
      </c>
      <c r="L792" s="5">
        <f>1952 / 86400</f>
        <v>2.2592592592592591E-2</v>
      </c>
    </row>
    <row r="793" spans="1:12" x14ac:dyDescent="0.25">
      <c r="A793" s="3">
        <v>45702.650520833333</v>
      </c>
      <c r="B793" t="s">
        <v>128</v>
      </c>
      <c r="C793" s="3">
        <v>45702.988217592589</v>
      </c>
      <c r="D793" t="s">
        <v>379</v>
      </c>
      <c r="E793" s="4">
        <v>154.91900000000001</v>
      </c>
      <c r="F793" s="4">
        <v>41312.341999999997</v>
      </c>
      <c r="G793" s="4">
        <v>41467.260999999999</v>
      </c>
      <c r="H793" s="5">
        <f>9536 / 86400</f>
        <v>0.11037037037037037</v>
      </c>
      <c r="I793" t="s">
        <v>73</v>
      </c>
      <c r="J793" t="s">
        <v>99</v>
      </c>
      <c r="K793" s="5">
        <f>29177 / 86400</f>
        <v>0.33769675925925924</v>
      </c>
      <c r="L793" s="5">
        <f>418 / 86400</f>
        <v>4.8379629629629632E-3</v>
      </c>
    </row>
    <row r="794" spans="1:12" x14ac:dyDescent="0.25">
      <c r="A794" s="3">
        <v>45702.993055555555</v>
      </c>
      <c r="B794" t="s">
        <v>379</v>
      </c>
      <c r="C794" s="3">
        <v>45702.99998842593</v>
      </c>
      <c r="D794" t="s">
        <v>75</v>
      </c>
      <c r="E794" s="4">
        <v>1.365</v>
      </c>
      <c r="F794" s="4">
        <v>41467.260999999999</v>
      </c>
      <c r="G794" s="4">
        <v>41468.625999999997</v>
      </c>
      <c r="H794" s="5">
        <f>360 / 86400</f>
        <v>4.1666666666666666E-3</v>
      </c>
      <c r="I794" t="s">
        <v>209</v>
      </c>
      <c r="J794" t="s">
        <v>123</v>
      </c>
      <c r="K794" s="5">
        <f>599 / 86400</f>
        <v>6.9328703703703705E-3</v>
      </c>
      <c r="L794" s="5">
        <f>0 / 86400</f>
        <v>0</v>
      </c>
    </row>
    <row r="795" spans="1:1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 spans="1:1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2" s="10" customFormat="1" ht="20.100000000000001" customHeight="1" x14ac:dyDescent="0.35">
      <c r="A797" s="15" t="s">
        <v>445</v>
      </c>
      <c r="B797" s="15"/>
      <c r="C797" s="15"/>
      <c r="D797" s="15"/>
      <c r="E797" s="15"/>
      <c r="F797" s="15"/>
      <c r="G797" s="15"/>
      <c r="H797" s="15"/>
      <c r="I797" s="15"/>
      <c r="J797" s="15"/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ht="30" x14ac:dyDescent="0.25">
      <c r="A799" s="2" t="s">
        <v>6</v>
      </c>
      <c r="B799" s="2" t="s">
        <v>7</v>
      </c>
      <c r="C799" s="2" t="s">
        <v>8</v>
      </c>
      <c r="D799" s="2" t="s">
        <v>9</v>
      </c>
      <c r="E799" s="2" t="s">
        <v>10</v>
      </c>
      <c r="F799" s="2" t="s">
        <v>11</v>
      </c>
      <c r="G799" s="2" t="s">
        <v>12</v>
      </c>
      <c r="H799" s="2" t="s">
        <v>13</v>
      </c>
      <c r="I799" s="2" t="s">
        <v>14</v>
      </c>
      <c r="J799" s="2" t="s">
        <v>15</v>
      </c>
      <c r="K799" s="2" t="s">
        <v>16</v>
      </c>
      <c r="L799" s="2" t="s">
        <v>17</v>
      </c>
    </row>
    <row r="800" spans="1:12" x14ac:dyDescent="0.25">
      <c r="A800" s="3">
        <v>45702.187442129631</v>
      </c>
      <c r="B800" t="s">
        <v>38</v>
      </c>
      <c r="C800" s="3">
        <v>45702.188101851847</v>
      </c>
      <c r="D800" t="s">
        <v>38</v>
      </c>
      <c r="E800" s="4">
        <v>3.4000000000000002E-2</v>
      </c>
      <c r="F800" s="4">
        <v>46594.099000000002</v>
      </c>
      <c r="G800" s="4">
        <v>46594.133000000002</v>
      </c>
      <c r="H800" s="5">
        <f>0 / 86400</f>
        <v>0</v>
      </c>
      <c r="I800" t="s">
        <v>127</v>
      </c>
      <c r="J800" t="s">
        <v>140</v>
      </c>
      <c r="K800" s="5">
        <f>56 / 86400</f>
        <v>6.4814814814814813E-4</v>
      </c>
      <c r="L800" s="5">
        <f>16254 / 86400</f>
        <v>0.18812499999999999</v>
      </c>
    </row>
    <row r="801" spans="1:12" x14ac:dyDescent="0.25">
      <c r="A801" s="3">
        <v>45702.188784722224</v>
      </c>
      <c r="B801" t="s">
        <v>38</v>
      </c>
      <c r="C801" s="3">
        <v>45702.376284722224</v>
      </c>
      <c r="D801" t="s">
        <v>380</v>
      </c>
      <c r="E801" s="4">
        <v>60.921999999999997</v>
      </c>
      <c r="F801" s="4">
        <v>46594.133000000002</v>
      </c>
      <c r="G801" s="4">
        <v>46655.055</v>
      </c>
      <c r="H801" s="5">
        <f>7638 / 86400</f>
        <v>8.8402777777777775E-2</v>
      </c>
      <c r="I801" t="s">
        <v>77</v>
      </c>
      <c r="J801" t="s">
        <v>59</v>
      </c>
      <c r="K801" s="5">
        <f>16200 / 86400</f>
        <v>0.1875</v>
      </c>
      <c r="L801" s="5">
        <f>75 / 86400</f>
        <v>8.6805555555555551E-4</v>
      </c>
    </row>
    <row r="802" spans="1:12" x14ac:dyDescent="0.25">
      <c r="A802" s="3">
        <v>45702.377152777779</v>
      </c>
      <c r="B802" t="s">
        <v>380</v>
      </c>
      <c r="C802" s="3">
        <v>45702.396064814813</v>
      </c>
      <c r="D802" t="s">
        <v>29</v>
      </c>
      <c r="E802" s="4">
        <v>6.7629999999999999</v>
      </c>
      <c r="F802" s="4">
        <v>46655.055</v>
      </c>
      <c r="G802" s="4">
        <v>46661.817999999999</v>
      </c>
      <c r="H802" s="5">
        <f>220 / 86400</f>
        <v>2.5462962962962965E-3</v>
      </c>
      <c r="I802" t="s">
        <v>173</v>
      </c>
      <c r="J802" t="s">
        <v>31</v>
      </c>
      <c r="K802" s="5">
        <f>1633 / 86400</f>
        <v>1.8900462962962963E-2</v>
      </c>
      <c r="L802" s="5">
        <f>228 / 86400</f>
        <v>2.638888888888889E-3</v>
      </c>
    </row>
    <row r="803" spans="1:12" x14ac:dyDescent="0.25">
      <c r="A803" s="3">
        <v>45702.3987037037</v>
      </c>
      <c r="B803" t="s">
        <v>29</v>
      </c>
      <c r="C803" s="3">
        <v>45702.411516203705</v>
      </c>
      <c r="D803" t="s">
        <v>29</v>
      </c>
      <c r="E803" s="4">
        <v>0</v>
      </c>
      <c r="F803" s="4">
        <v>46661.817999999999</v>
      </c>
      <c r="G803" s="4">
        <v>46661.817999999999</v>
      </c>
      <c r="H803" s="5">
        <f>1099 / 86400</f>
        <v>1.2719907407407407E-2</v>
      </c>
      <c r="I803" t="s">
        <v>88</v>
      </c>
      <c r="J803" t="s">
        <v>88</v>
      </c>
      <c r="K803" s="5">
        <f>1107 / 86400</f>
        <v>1.2812499999999999E-2</v>
      </c>
      <c r="L803" s="5">
        <f>1053 / 86400</f>
        <v>1.21875E-2</v>
      </c>
    </row>
    <row r="804" spans="1:12" x14ac:dyDescent="0.25">
      <c r="A804" s="3">
        <v>45702.423703703702</v>
      </c>
      <c r="B804" t="s">
        <v>29</v>
      </c>
      <c r="C804" s="3">
        <v>45702.424340277779</v>
      </c>
      <c r="D804" t="s">
        <v>29</v>
      </c>
      <c r="E804" s="4">
        <v>0</v>
      </c>
      <c r="F804" s="4">
        <v>46661.817999999999</v>
      </c>
      <c r="G804" s="4">
        <v>46661.817999999999</v>
      </c>
      <c r="H804" s="5">
        <f>39 / 86400</f>
        <v>4.5138888888888887E-4</v>
      </c>
      <c r="I804" t="s">
        <v>88</v>
      </c>
      <c r="J804" t="s">
        <v>88</v>
      </c>
      <c r="K804" s="5">
        <f>55 / 86400</f>
        <v>6.3657407407407413E-4</v>
      </c>
      <c r="L804" s="5">
        <f>61 / 86400</f>
        <v>7.0601851851851847E-4</v>
      </c>
    </row>
    <row r="805" spans="1:12" x14ac:dyDescent="0.25">
      <c r="A805" s="3">
        <v>45702.425046296295</v>
      </c>
      <c r="B805" t="s">
        <v>29</v>
      </c>
      <c r="C805" s="3">
        <v>45702.427141203705</v>
      </c>
      <c r="D805" t="s">
        <v>29</v>
      </c>
      <c r="E805" s="4">
        <v>1.4999999999999999E-2</v>
      </c>
      <c r="F805" s="4">
        <v>46661.817999999999</v>
      </c>
      <c r="G805" s="4">
        <v>46661.832999999999</v>
      </c>
      <c r="H805" s="5">
        <f>160 / 86400</f>
        <v>1.8518518518518519E-3</v>
      </c>
      <c r="I805" t="s">
        <v>140</v>
      </c>
      <c r="J805" t="s">
        <v>88</v>
      </c>
      <c r="K805" s="5">
        <f>181 / 86400</f>
        <v>2.0949074074074073E-3</v>
      </c>
      <c r="L805" s="5">
        <f>585 / 86400</f>
        <v>6.7708333333333336E-3</v>
      </c>
    </row>
    <row r="806" spans="1:12" x14ac:dyDescent="0.25">
      <c r="A806" s="3">
        <v>45702.433912037042</v>
      </c>
      <c r="B806" t="s">
        <v>29</v>
      </c>
      <c r="C806" s="3">
        <v>45702.4378125</v>
      </c>
      <c r="D806" t="s">
        <v>29</v>
      </c>
      <c r="E806" s="4">
        <v>0.97799999999999998</v>
      </c>
      <c r="F806" s="4">
        <v>46661.832999999999</v>
      </c>
      <c r="G806" s="4">
        <v>46662.811000000002</v>
      </c>
      <c r="H806" s="5">
        <f>120 / 86400</f>
        <v>1.3888888888888889E-3</v>
      </c>
      <c r="I806" t="s">
        <v>196</v>
      </c>
      <c r="J806" t="s">
        <v>126</v>
      </c>
      <c r="K806" s="5">
        <f>337 / 86400</f>
        <v>3.9004629629629628E-3</v>
      </c>
      <c r="L806" s="5">
        <f>2526 / 86400</f>
        <v>2.9236111111111112E-2</v>
      </c>
    </row>
    <row r="807" spans="1:12" x14ac:dyDescent="0.25">
      <c r="A807" s="3">
        <v>45702.467048611114</v>
      </c>
      <c r="B807" t="s">
        <v>29</v>
      </c>
      <c r="C807" s="3">
        <v>45702.521331018521</v>
      </c>
      <c r="D807" t="s">
        <v>29</v>
      </c>
      <c r="E807" s="4">
        <v>0</v>
      </c>
      <c r="F807" s="4">
        <v>46662.811000000002</v>
      </c>
      <c r="G807" s="4">
        <v>46662.811000000002</v>
      </c>
      <c r="H807" s="5">
        <f>4680 / 86400</f>
        <v>5.4166666666666669E-2</v>
      </c>
      <c r="I807" t="s">
        <v>88</v>
      </c>
      <c r="J807" t="s">
        <v>88</v>
      </c>
      <c r="K807" s="5">
        <f>4690 / 86400</f>
        <v>5.4282407407407404E-2</v>
      </c>
      <c r="L807" s="5">
        <f>626 / 86400</f>
        <v>7.2453703703703708E-3</v>
      </c>
    </row>
    <row r="808" spans="1:12" x14ac:dyDescent="0.25">
      <c r="A808" s="3">
        <v>45702.52857638889</v>
      </c>
      <c r="B808" t="s">
        <v>29</v>
      </c>
      <c r="C808" s="3">
        <v>45702.530833333338</v>
      </c>
      <c r="D808" t="s">
        <v>29</v>
      </c>
      <c r="E808" s="4">
        <v>0</v>
      </c>
      <c r="F808" s="4">
        <v>46662.811000000002</v>
      </c>
      <c r="G808" s="4">
        <v>46662.811000000002</v>
      </c>
      <c r="H808" s="5">
        <f>178 / 86400</f>
        <v>2.0601851851851853E-3</v>
      </c>
      <c r="I808" t="s">
        <v>88</v>
      </c>
      <c r="J808" t="s">
        <v>88</v>
      </c>
      <c r="K808" s="5">
        <f>194 / 86400</f>
        <v>2.2453703703703702E-3</v>
      </c>
      <c r="L808" s="5">
        <f>5597 / 86400</f>
        <v>6.4780092592592597E-2</v>
      </c>
    </row>
    <row r="809" spans="1:12" x14ac:dyDescent="0.25">
      <c r="A809" s="3">
        <v>45702.595613425925</v>
      </c>
      <c r="B809" t="s">
        <v>29</v>
      </c>
      <c r="C809" s="3">
        <v>45702.6403125</v>
      </c>
      <c r="D809" t="s">
        <v>29</v>
      </c>
      <c r="E809" s="4">
        <v>4.0839999999999996</v>
      </c>
      <c r="F809" s="4">
        <v>46662.811000000002</v>
      </c>
      <c r="G809" s="4">
        <v>46666.894999999997</v>
      </c>
      <c r="H809" s="5">
        <f>2959 / 86400</f>
        <v>3.4247685185185187E-2</v>
      </c>
      <c r="I809" t="s">
        <v>157</v>
      </c>
      <c r="J809" t="s">
        <v>156</v>
      </c>
      <c r="K809" s="5">
        <f>3861 / 86400</f>
        <v>4.4687499999999998E-2</v>
      </c>
      <c r="L809" s="5">
        <f>391 / 86400</f>
        <v>4.5254629629629629E-3</v>
      </c>
    </row>
    <row r="810" spans="1:12" x14ac:dyDescent="0.25">
      <c r="A810" s="3">
        <v>45702.644837962958</v>
      </c>
      <c r="B810" t="s">
        <v>29</v>
      </c>
      <c r="C810" s="3">
        <v>45702.65924768518</v>
      </c>
      <c r="D810" t="s">
        <v>38</v>
      </c>
      <c r="E810" s="4">
        <v>6.3949999999999996</v>
      </c>
      <c r="F810" s="4">
        <v>46666.894999999997</v>
      </c>
      <c r="G810" s="4">
        <v>46673.29</v>
      </c>
      <c r="H810" s="5">
        <f>220 / 86400</f>
        <v>2.5462962962962965E-3</v>
      </c>
      <c r="I810" t="s">
        <v>236</v>
      </c>
      <c r="J810" t="s">
        <v>24</v>
      </c>
      <c r="K810" s="5">
        <f>1245 / 86400</f>
        <v>1.4409722222222223E-2</v>
      </c>
      <c r="L810" s="5">
        <f>522 / 86400</f>
        <v>6.0416666666666665E-3</v>
      </c>
    </row>
    <row r="811" spans="1:12" x14ac:dyDescent="0.25">
      <c r="A811" s="3">
        <v>45702.665289351848</v>
      </c>
      <c r="B811" t="s">
        <v>38</v>
      </c>
      <c r="C811" s="3">
        <v>45702.722453703704</v>
      </c>
      <c r="D811" t="s">
        <v>330</v>
      </c>
      <c r="E811" s="4">
        <v>26.707999999999998</v>
      </c>
      <c r="F811" s="4">
        <v>46673.29</v>
      </c>
      <c r="G811" s="4">
        <v>46699.998</v>
      </c>
      <c r="H811" s="5">
        <f>1260 / 86400</f>
        <v>1.4583333333333334E-2</v>
      </c>
      <c r="I811" t="s">
        <v>52</v>
      </c>
      <c r="J811" t="s">
        <v>99</v>
      </c>
      <c r="K811" s="5">
        <f>4939 / 86400</f>
        <v>5.7164351851851855E-2</v>
      </c>
      <c r="L811" s="5">
        <f>69 / 86400</f>
        <v>7.9861111111111116E-4</v>
      </c>
    </row>
    <row r="812" spans="1:12" x14ac:dyDescent="0.25">
      <c r="A812" s="3">
        <v>45702.723252314812</v>
      </c>
      <c r="B812" t="s">
        <v>330</v>
      </c>
      <c r="C812" s="3">
        <v>45702.895844907413</v>
      </c>
      <c r="D812" t="s">
        <v>228</v>
      </c>
      <c r="E812" s="4">
        <v>73.072999999999993</v>
      </c>
      <c r="F812" s="4">
        <v>46699.998</v>
      </c>
      <c r="G812" s="4">
        <v>46773.071000000004</v>
      </c>
      <c r="H812" s="5">
        <f>5101 / 86400</f>
        <v>5.903935185185185E-2</v>
      </c>
      <c r="I812" t="s">
        <v>46</v>
      </c>
      <c r="J812" t="s">
        <v>24</v>
      </c>
      <c r="K812" s="5">
        <f>14912 / 86400</f>
        <v>0.1725925925925926</v>
      </c>
      <c r="L812" s="5">
        <f>948 / 86400</f>
        <v>1.0972222222222222E-2</v>
      </c>
    </row>
    <row r="813" spans="1:12" x14ac:dyDescent="0.25">
      <c r="A813" s="3">
        <v>45702.906817129631</v>
      </c>
      <c r="B813" t="s">
        <v>228</v>
      </c>
      <c r="C813" s="3">
        <v>45702.970173611116</v>
      </c>
      <c r="D813" t="s">
        <v>313</v>
      </c>
      <c r="E813" s="4">
        <v>35.359000000000002</v>
      </c>
      <c r="F813" s="4">
        <v>46773.071000000004</v>
      </c>
      <c r="G813" s="4">
        <v>46808.43</v>
      </c>
      <c r="H813" s="5">
        <f>1420 / 86400</f>
        <v>1.6435185185185185E-2</v>
      </c>
      <c r="I813" t="s">
        <v>39</v>
      </c>
      <c r="J813" t="s">
        <v>37</v>
      </c>
      <c r="K813" s="5">
        <f>5474 / 86400</f>
        <v>6.3356481481481486E-2</v>
      </c>
      <c r="L813" s="5">
        <f>152 / 86400</f>
        <v>1.7592592592592592E-3</v>
      </c>
    </row>
    <row r="814" spans="1:12" x14ac:dyDescent="0.25">
      <c r="A814" s="3">
        <v>45702.971932870365</v>
      </c>
      <c r="B814" t="s">
        <v>313</v>
      </c>
      <c r="C814" s="3">
        <v>45702.99998842593</v>
      </c>
      <c r="D814" t="s">
        <v>69</v>
      </c>
      <c r="E814" s="4">
        <v>11.029</v>
      </c>
      <c r="F814" s="4">
        <v>46808.43</v>
      </c>
      <c r="G814" s="4">
        <v>46819.459000000003</v>
      </c>
      <c r="H814" s="5">
        <f>919 / 86400</f>
        <v>1.0636574074074074E-2</v>
      </c>
      <c r="I814" t="s">
        <v>63</v>
      </c>
      <c r="J814" t="s">
        <v>34</v>
      </c>
      <c r="K814" s="5">
        <f>2424 / 86400</f>
        <v>2.8055555555555556E-2</v>
      </c>
      <c r="L814" s="5">
        <f>0 / 86400</f>
        <v>0</v>
      </c>
    </row>
    <row r="815" spans="1:1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</row>
    <row r="817" spans="1:12" s="10" customFormat="1" ht="20.100000000000001" customHeight="1" x14ac:dyDescent="0.35">
      <c r="A817" s="15" t="s">
        <v>446</v>
      </c>
      <c r="B817" s="15"/>
      <c r="C817" s="15"/>
      <c r="D817" s="15"/>
      <c r="E817" s="15"/>
      <c r="F817" s="15"/>
      <c r="G817" s="15"/>
      <c r="H817" s="15"/>
      <c r="I817" s="15"/>
      <c r="J817" s="15"/>
    </row>
    <row r="818" spans="1:1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</row>
    <row r="819" spans="1:12" ht="30" x14ac:dyDescent="0.25">
      <c r="A819" s="2" t="s">
        <v>6</v>
      </c>
      <c r="B819" s="2" t="s">
        <v>7</v>
      </c>
      <c r="C819" s="2" t="s">
        <v>8</v>
      </c>
      <c r="D819" s="2" t="s">
        <v>9</v>
      </c>
      <c r="E819" s="2" t="s">
        <v>10</v>
      </c>
      <c r="F819" s="2" t="s">
        <v>11</v>
      </c>
      <c r="G819" s="2" t="s">
        <v>12</v>
      </c>
      <c r="H819" s="2" t="s">
        <v>13</v>
      </c>
      <c r="I819" s="2" t="s">
        <v>14</v>
      </c>
      <c r="J819" s="2" t="s">
        <v>15</v>
      </c>
      <c r="K819" s="2" t="s">
        <v>16</v>
      </c>
      <c r="L819" s="2" t="s">
        <v>17</v>
      </c>
    </row>
    <row r="820" spans="1:12" x14ac:dyDescent="0.25">
      <c r="A820" s="3">
        <v>45702.185798611114</v>
      </c>
      <c r="B820" t="s">
        <v>76</v>
      </c>
      <c r="C820" s="3">
        <v>45702.187025462961</v>
      </c>
      <c r="D820" t="s">
        <v>76</v>
      </c>
      <c r="E820" s="4">
        <v>0</v>
      </c>
      <c r="F820" s="4">
        <v>528178.24399999995</v>
      </c>
      <c r="G820" s="4">
        <v>528178.24399999995</v>
      </c>
      <c r="H820" s="5">
        <f>99 / 86400</f>
        <v>1.1458333333333333E-3</v>
      </c>
      <c r="I820" t="s">
        <v>88</v>
      </c>
      <c r="J820" t="s">
        <v>88</v>
      </c>
      <c r="K820" s="5">
        <f>105 / 86400</f>
        <v>1.2152777777777778E-3</v>
      </c>
      <c r="L820" s="5">
        <f>16056 / 86400</f>
        <v>0.18583333333333332</v>
      </c>
    </row>
    <row r="821" spans="1:12" x14ac:dyDescent="0.25">
      <c r="A821" s="3">
        <v>45702.187060185184</v>
      </c>
      <c r="B821" t="s">
        <v>76</v>
      </c>
      <c r="C821" s="3">
        <v>45702.390162037038</v>
      </c>
      <c r="D821" t="s">
        <v>87</v>
      </c>
      <c r="E821" s="4">
        <v>84.763000000059606</v>
      </c>
      <c r="F821" s="4">
        <v>528178.24399999995</v>
      </c>
      <c r="G821" s="4">
        <v>528263.00699999998</v>
      </c>
      <c r="H821" s="5">
        <f>6571 / 86400</f>
        <v>7.6053240740740741E-2</v>
      </c>
      <c r="I821" t="s">
        <v>52</v>
      </c>
      <c r="J821" t="s">
        <v>28</v>
      </c>
      <c r="K821" s="5">
        <f>17548 / 86400</f>
        <v>0.20310185185185184</v>
      </c>
      <c r="L821" s="5">
        <f>3630 / 86400</f>
        <v>4.2013888888888892E-2</v>
      </c>
    </row>
    <row r="822" spans="1:12" x14ac:dyDescent="0.25">
      <c r="A822" s="3">
        <v>45702.432175925926</v>
      </c>
      <c r="B822" t="s">
        <v>87</v>
      </c>
      <c r="C822" s="3">
        <v>45702.436481481476</v>
      </c>
      <c r="D822" t="s">
        <v>125</v>
      </c>
      <c r="E822" s="4">
        <v>1.1809999999403953</v>
      </c>
      <c r="F822" s="4">
        <v>528263.00699999998</v>
      </c>
      <c r="G822" s="4">
        <v>528264.18799999997</v>
      </c>
      <c r="H822" s="5">
        <f>20 / 86400</f>
        <v>2.3148148148148149E-4</v>
      </c>
      <c r="I822" t="s">
        <v>272</v>
      </c>
      <c r="J822" t="s">
        <v>53</v>
      </c>
      <c r="K822" s="5">
        <f>371 / 86400</f>
        <v>4.2939814814814811E-3</v>
      </c>
      <c r="L822" s="5">
        <f>422 / 86400</f>
        <v>4.8842592592592592E-3</v>
      </c>
    </row>
    <row r="823" spans="1:12" x14ac:dyDescent="0.25">
      <c r="A823" s="3">
        <v>45702.441365740742</v>
      </c>
      <c r="B823" t="s">
        <v>125</v>
      </c>
      <c r="C823" s="3">
        <v>45702.441608796296</v>
      </c>
      <c r="D823" t="s">
        <v>125</v>
      </c>
      <c r="E823" s="4">
        <v>2E-3</v>
      </c>
      <c r="F823" s="4">
        <v>528264.18799999997</v>
      </c>
      <c r="G823" s="4">
        <v>528264.18999999994</v>
      </c>
      <c r="H823" s="5">
        <f>0 / 86400</f>
        <v>0</v>
      </c>
      <c r="I823" t="s">
        <v>120</v>
      </c>
      <c r="J823" t="s">
        <v>88</v>
      </c>
      <c r="K823" s="5">
        <f>21 / 86400</f>
        <v>2.4305555555555555E-4</v>
      </c>
      <c r="L823" s="5">
        <f>779 / 86400</f>
        <v>9.0162037037037034E-3</v>
      </c>
    </row>
    <row r="824" spans="1:12" x14ac:dyDescent="0.25">
      <c r="A824" s="3">
        <v>45702.450624999998</v>
      </c>
      <c r="B824" t="s">
        <v>125</v>
      </c>
      <c r="C824" s="3">
        <v>45702.573854166665</v>
      </c>
      <c r="D824" t="s">
        <v>47</v>
      </c>
      <c r="E824" s="4">
        <v>47.628000000059608</v>
      </c>
      <c r="F824" s="4">
        <v>528264.18999999994</v>
      </c>
      <c r="G824" s="4">
        <v>528311.81799999997</v>
      </c>
      <c r="H824" s="5">
        <f>4299 / 86400</f>
        <v>4.9756944444444444E-2</v>
      </c>
      <c r="I824" t="s">
        <v>44</v>
      </c>
      <c r="J824" t="s">
        <v>34</v>
      </c>
      <c r="K824" s="5">
        <f>10647 / 86400</f>
        <v>0.12322916666666667</v>
      </c>
      <c r="L824" s="5">
        <f>87 / 86400</f>
        <v>1.0069444444444444E-3</v>
      </c>
    </row>
    <row r="825" spans="1:12" x14ac:dyDescent="0.25">
      <c r="A825" s="3">
        <v>45702.574861111112</v>
      </c>
      <c r="B825" t="s">
        <v>47</v>
      </c>
      <c r="C825" s="3">
        <v>45702.691886574074</v>
      </c>
      <c r="D825" t="s">
        <v>128</v>
      </c>
      <c r="E825" s="4">
        <v>47.238</v>
      </c>
      <c r="F825" s="4">
        <v>528311.81799999997</v>
      </c>
      <c r="G825" s="4">
        <v>528359.05599999998</v>
      </c>
      <c r="H825" s="5">
        <f>3579 / 86400</f>
        <v>4.1423611111111112E-2</v>
      </c>
      <c r="I825" t="s">
        <v>338</v>
      </c>
      <c r="J825" t="s">
        <v>28</v>
      </c>
      <c r="K825" s="5">
        <f>10111 / 86400</f>
        <v>0.11702546296296296</v>
      </c>
      <c r="L825" s="5">
        <f>594 / 86400</f>
        <v>6.875E-3</v>
      </c>
    </row>
    <row r="826" spans="1:12" x14ac:dyDescent="0.25">
      <c r="A826" s="3">
        <v>45702.698761574073</v>
      </c>
      <c r="B826" t="s">
        <v>128</v>
      </c>
      <c r="C826" s="3">
        <v>45702.698935185181</v>
      </c>
      <c r="D826" t="s">
        <v>128</v>
      </c>
      <c r="E826" s="4">
        <v>8.9999999403953552E-3</v>
      </c>
      <c r="F826" s="4">
        <v>528359.05599999998</v>
      </c>
      <c r="G826" s="4">
        <v>528359.06499999994</v>
      </c>
      <c r="H826" s="5">
        <f>0 / 86400</f>
        <v>0</v>
      </c>
      <c r="I826" t="s">
        <v>127</v>
      </c>
      <c r="J826" t="s">
        <v>140</v>
      </c>
      <c r="K826" s="5">
        <f>14 / 86400</f>
        <v>1.6203703703703703E-4</v>
      </c>
      <c r="L826" s="5">
        <f>268 / 86400</f>
        <v>3.1018518518518517E-3</v>
      </c>
    </row>
    <row r="827" spans="1:12" x14ac:dyDescent="0.25">
      <c r="A827" s="3">
        <v>45702.702037037037</v>
      </c>
      <c r="B827" t="s">
        <v>128</v>
      </c>
      <c r="C827" s="3">
        <v>45702.704247685186</v>
      </c>
      <c r="D827" t="s">
        <v>358</v>
      </c>
      <c r="E827" s="4">
        <v>0.86400000005960464</v>
      </c>
      <c r="F827" s="4">
        <v>528359.06499999994</v>
      </c>
      <c r="G827" s="4">
        <v>528359.929</v>
      </c>
      <c r="H827" s="5">
        <f>39 / 86400</f>
        <v>4.5138888888888887E-4</v>
      </c>
      <c r="I827" t="s">
        <v>173</v>
      </c>
      <c r="J827" t="s">
        <v>34</v>
      </c>
      <c r="K827" s="5">
        <f>191 / 86400</f>
        <v>2.2106481481481482E-3</v>
      </c>
      <c r="L827" s="5">
        <f>100 / 86400</f>
        <v>1.1574074074074073E-3</v>
      </c>
    </row>
    <row r="828" spans="1:12" x14ac:dyDescent="0.25">
      <c r="A828" s="3">
        <v>45702.705405092594</v>
      </c>
      <c r="B828" t="s">
        <v>358</v>
      </c>
      <c r="C828" s="3">
        <v>45702.706539351857</v>
      </c>
      <c r="D828" t="s">
        <v>358</v>
      </c>
      <c r="E828" s="4">
        <v>0.09</v>
      </c>
      <c r="F828" s="4">
        <v>528359.929</v>
      </c>
      <c r="G828" s="4">
        <v>528360.01899999997</v>
      </c>
      <c r="H828" s="5">
        <f>40 / 86400</f>
        <v>4.6296296296296298E-4</v>
      </c>
      <c r="I828" t="s">
        <v>53</v>
      </c>
      <c r="J828" t="s">
        <v>152</v>
      </c>
      <c r="K828" s="5">
        <f>97 / 86400</f>
        <v>1.1226851851851851E-3</v>
      </c>
      <c r="L828" s="5">
        <f>3265 / 86400</f>
        <v>3.7789351851851852E-2</v>
      </c>
    </row>
    <row r="829" spans="1:12" x14ac:dyDescent="0.25">
      <c r="A829" s="3">
        <v>45702.744328703702</v>
      </c>
      <c r="B829" t="s">
        <v>358</v>
      </c>
      <c r="C829" s="3">
        <v>45702.773553240739</v>
      </c>
      <c r="D829" t="s">
        <v>381</v>
      </c>
      <c r="E829" s="4">
        <v>14.486000000000001</v>
      </c>
      <c r="F829" s="4">
        <v>528360.01899999997</v>
      </c>
      <c r="G829" s="4">
        <v>528374.505</v>
      </c>
      <c r="H829" s="5">
        <f>360 / 86400</f>
        <v>4.1666666666666666E-3</v>
      </c>
      <c r="I829" t="s">
        <v>150</v>
      </c>
      <c r="J829" t="s">
        <v>21</v>
      </c>
      <c r="K829" s="5">
        <f>2525 / 86400</f>
        <v>2.9224537037037038E-2</v>
      </c>
      <c r="L829" s="5">
        <f>12471 / 86400</f>
        <v>0.14434027777777778</v>
      </c>
    </row>
    <row r="830" spans="1:12" x14ac:dyDescent="0.25">
      <c r="A830" s="3">
        <v>45702.917893518519</v>
      </c>
      <c r="B830" t="s">
        <v>381</v>
      </c>
      <c r="C830" s="3">
        <v>45702.927824074075</v>
      </c>
      <c r="D830" t="s">
        <v>76</v>
      </c>
      <c r="E830" s="4">
        <v>5.6160000000596044</v>
      </c>
      <c r="F830" s="4">
        <v>528374.505</v>
      </c>
      <c r="G830" s="4">
        <v>528380.12100000004</v>
      </c>
      <c r="H830" s="5">
        <f>119 / 86400</f>
        <v>1.3773148148148147E-3</v>
      </c>
      <c r="I830" t="s">
        <v>56</v>
      </c>
      <c r="J830" t="s">
        <v>196</v>
      </c>
      <c r="K830" s="5">
        <f>858 / 86400</f>
        <v>9.9305555555555553E-3</v>
      </c>
      <c r="L830" s="5">
        <f>35 / 86400</f>
        <v>4.0509259259259258E-4</v>
      </c>
    </row>
    <row r="831" spans="1:12" x14ac:dyDescent="0.25">
      <c r="A831" s="3">
        <v>45702.928229166668</v>
      </c>
      <c r="B831" t="s">
        <v>76</v>
      </c>
      <c r="C831" s="3">
        <v>45702.928854166668</v>
      </c>
      <c r="D831" t="s">
        <v>76</v>
      </c>
      <c r="E831" s="4">
        <v>2.7999999940395356E-2</v>
      </c>
      <c r="F831" s="4">
        <v>528380.12100000004</v>
      </c>
      <c r="G831" s="4">
        <v>528380.14899999998</v>
      </c>
      <c r="H831" s="5">
        <f>0 / 86400</f>
        <v>0</v>
      </c>
      <c r="I831" t="s">
        <v>138</v>
      </c>
      <c r="J831" t="s">
        <v>140</v>
      </c>
      <c r="K831" s="5">
        <f>54 / 86400</f>
        <v>6.2500000000000001E-4</v>
      </c>
      <c r="L831" s="5">
        <f>39 / 86400</f>
        <v>4.5138888888888887E-4</v>
      </c>
    </row>
    <row r="832" spans="1:12" x14ac:dyDescent="0.25">
      <c r="A832" s="3">
        <v>45702.929305555561</v>
      </c>
      <c r="B832" t="s">
        <v>76</v>
      </c>
      <c r="C832" s="3">
        <v>45702.930798611109</v>
      </c>
      <c r="D832" t="s">
        <v>76</v>
      </c>
      <c r="E832" s="4">
        <v>4.0000000596046451E-3</v>
      </c>
      <c r="F832" s="4">
        <v>528380.14899999998</v>
      </c>
      <c r="G832" s="4">
        <v>528380.15300000005</v>
      </c>
      <c r="H832" s="5">
        <f>100 / 86400</f>
        <v>1.1574074074074073E-3</v>
      </c>
      <c r="I832" t="s">
        <v>120</v>
      </c>
      <c r="J832" t="s">
        <v>88</v>
      </c>
      <c r="K832" s="5">
        <f>128 / 86400</f>
        <v>1.4814814814814814E-3</v>
      </c>
      <c r="L832" s="5">
        <f>5978 / 86400</f>
        <v>6.9189814814814815E-2</v>
      </c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2" s="10" customFormat="1" ht="20.100000000000001" customHeight="1" x14ac:dyDescent="0.35">
      <c r="A835" s="15" t="s">
        <v>447</v>
      </c>
      <c r="B835" s="15"/>
      <c r="C835" s="15"/>
      <c r="D835" s="15"/>
      <c r="E835" s="15"/>
      <c r="F835" s="15"/>
      <c r="G835" s="15"/>
      <c r="H835" s="15"/>
      <c r="I835" s="15"/>
      <c r="J835" s="15"/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2" ht="30" x14ac:dyDescent="0.25">
      <c r="A837" s="2" t="s">
        <v>6</v>
      </c>
      <c r="B837" s="2" t="s">
        <v>7</v>
      </c>
      <c r="C837" s="2" t="s">
        <v>8</v>
      </c>
      <c r="D837" s="2" t="s">
        <v>9</v>
      </c>
      <c r="E837" s="2" t="s">
        <v>10</v>
      </c>
      <c r="F837" s="2" t="s">
        <v>11</v>
      </c>
      <c r="G837" s="2" t="s">
        <v>12</v>
      </c>
      <c r="H837" s="2" t="s">
        <v>13</v>
      </c>
      <c r="I837" s="2" t="s">
        <v>14</v>
      </c>
      <c r="J837" s="2" t="s">
        <v>15</v>
      </c>
      <c r="K837" s="2" t="s">
        <v>16</v>
      </c>
      <c r="L837" s="2" t="s">
        <v>17</v>
      </c>
    </row>
    <row r="838" spans="1:12" x14ac:dyDescent="0.25">
      <c r="A838" s="3">
        <v>45702.213680555556</v>
      </c>
      <c r="B838" t="s">
        <v>38</v>
      </c>
      <c r="C838" s="3">
        <v>45702.215763888889</v>
      </c>
      <c r="D838" t="s">
        <v>177</v>
      </c>
      <c r="E838" s="4">
        <v>0.38300000000000001</v>
      </c>
      <c r="F838" s="4">
        <v>568122.73899999994</v>
      </c>
      <c r="G838" s="4">
        <v>568123.12199999997</v>
      </c>
      <c r="H838" s="5">
        <f>79 / 86400</f>
        <v>9.1435185185185185E-4</v>
      </c>
      <c r="I838" t="s">
        <v>130</v>
      </c>
      <c r="J838" t="s">
        <v>123</v>
      </c>
      <c r="K838" s="5">
        <f>179 / 86400</f>
        <v>2.0717592592592593E-3</v>
      </c>
      <c r="L838" s="5">
        <f>18494 / 86400</f>
        <v>0.21405092592592592</v>
      </c>
    </row>
    <row r="839" spans="1:12" x14ac:dyDescent="0.25">
      <c r="A839" s="3">
        <v>45702.216134259259</v>
      </c>
      <c r="B839" t="s">
        <v>177</v>
      </c>
      <c r="C839" s="3">
        <v>45702.216354166667</v>
      </c>
      <c r="D839" t="s">
        <v>177</v>
      </c>
      <c r="E839" s="4">
        <v>5.0000000000000001E-3</v>
      </c>
      <c r="F839" s="4">
        <v>568123.12199999997</v>
      </c>
      <c r="G839" s="4">
        <v>568123.12699999998</v>
      </c>
      <c r="H839" s="5">
        <f>0 / 86400</f>
        <v>0</v>
      </c>
      <c r="I839" t="s">
        <v>88</v>
      </c>
      <c r="J839" t="s">
        <v>120</v>
      </c>
      <c r="K839" s="5">
        <f>19 / 86400</f>
        <v>2.199074074074074E-4</v>
      </c>
      <c r="L839" s="5">
        <f>376 / 86400</f>
        <v>4.3518518518518515E-3</v>
      </c>
    </row>
    <row r="840" spans="1:12" x14ac:dyDescent="0.25">
      <c r="A840" s="3">
        <v>45702.220706018517</v>
      </c>
      <c r="B840" t="s">
        <v>177</v>
      </c>
      <c r="C840" s="3">
        <v>45702.221006944441</v>
      </c>
      <c r="D840" t="s">
        <v>180</v>
      </c>
      <c r="E840" s="4">
        <v>5.0000000000000001E-3</v>
      </c>
      <c r="F840" s="4">
        <v>568123.12699999998</v>
      </c>
      <c r="G840" s="4">
        <v>568123.13199999998</v>
      </c>
      <c r="H840" s="5">
        <f>20 / 86400</f>
        <v>2.3148148148148149E-4</v>
      </c>
      <c r="I840" t="s">
        <v>138</v>
      </c>
      <c r="J840" t="s">
        <v>120</v>
      </c>
      <c r="K840" s="5">
        <f>26 / 86400</f>
        <v>3.0092592592592595E-4</v>
      </c>
      <c r="L840" s="5">
        <f>151 / 86400</f>
        <v>1.7476851851851852E-3</v>
      </c>
    </row>
    <row r="841" spans="1:12" x14ac:dyDescent="0.25">
      <c r="A841" s="3">
        <v>45702.222754629634</v>
      </c>
      <c r="B841" t="s">
        <v>180</v>
      </c>
      <c r="C841" s="3">
        <v>45702.223067129627</v>
      </c>
      <c r="D841" t="s">
        <v>180</v>
      </c>
      <c r="E841" s="4">
        <v>1E-3</v>
      </c>
      <c r="F841" s="4">
        <v>568123.13199999998</v>
      </c>
      <c r="G841" s="4">
        <v>568123.13300000003</v>
      </c>
      <c r="H841" s="5">
        <f>19 / 86400</f>
        <v>2.199074074074074E-4</v>
      </c>
      <c r="I841" t="s">
        <v>88</v>
      </c>
      <c r="J841" t="s">
        <v>88</v>
      </c>
      <c r="K841" s="5">
        <f>27 / 86400</f>
        <v>3.1250000000000001E-4</v>
      </c>
      <c r="L841" s="5">
        <f>68 / 86400</f>
        <v>7.8703703703703705E-4</v>
      </c>
    </row>
    <row r="842" spans="1:12" x14ac:dyDescent="0.25">
      <c r="A842" s="3">
        <v>45702.223854166667</v>
      </c>
      <c r="B842" t="s">
        <v>180</v>
      </c>
      <c r="C842" s="3">
        <v>45702.227627314816</v>
      </c>
      <c r="D842" t="s">
        <v>180</v>
      </c>
      <c r="E842" s="4">
        <v>7.0000000000000001E-3</v>
      </c>
      <c r="F842" s="4">
        <v>568123.13300000003</v>
      </c>
      <c r="G842" s="4">
        <v>568123.14</v>
      </c>
      <c r="H842" s="5">
        <f>320 / 86400</f>
        <v>3.7037037037037038E-3</v>
      </c>
      <c r="I842" t="s">
        <v>127</v>
      </c>
      <c r="J842" t="s">
        <v>88</v>
      </c>
      <c r="K842" s="5">
        <f>326 / 86400</f>
        <v>3.7731481481481483E-3</v>
      </c>
      <c r="L842" s="5">
        <f>274 / 86400</f>
        <v>3.1712962962962962E-3</v>
      </c>
    </row>
    <row r="843" spans="1:12" x14ac:dyDescent="0.25">
      <c r="A843" s="3">
        <v>45702.230798611112</v>
      </c>
      <c r="B843" t="s">
        <v>180</v>
      </c>
      <c r="C843" s="3">
        <v>45702.316550925927</v>
      </c>
      <c r="D843" t="s">
        <v>158</v>
      </c>
      <c r="E843" s="4">
        <v>31.306000000000001</v>
      </c>
      <c r="F843" s="4">
        <v>568123.14</v>
      </c>
      <c r="G843" s="4">
        <v>568154.446</v>
      </c>
      <c r="H843" s="5">
        <f>3020 / 86400</f>
        <v>3.4953703703703702E-2</v>
      </c>
      <c r="I843" t="s">
        <v>233</v>
      </c>
      <c r="J843" t="s">
        <v>31</v>
      </c>
      <c r="K843" s="5">
        <f>7408 / 86400</f>
        <v>8.5740740740740742E-2</v>
      </c>
      <c r="L843" s="5">
        <f>209 / 86400</f>
        <v>2.4189814814814816E-3</v>
      </c>
    </row>
    <row r="844" spans="1:12" x14ac:dyDescent="0.25">
      <c r="A844" s="3">
        <v>45702.318969907406</v>
      </c>
      <c r="B844" t="s">
        <v>158</v>
      </c>
      <c r="C844" s="3">
        <v>45702.528425925921</v>
      </c>
      <c r="D844" t="s">
        <v>188</v>
      </c>
      <c r="E844" s="4">
        <v>76.259</v>
      </c>
      <c r="F844" s="4">
        <v>568154.446</v>
      </c>
      <c r="G844" s="4">
        <v>568230.70499999996</v>
      </c>
      <c r="H844" s="5">
        <f>6939 / 86400</f>
        <v>8.0312499999999995E-2</v>
      </c>
      <c r="I844" t="s">
        <v>77</v>
      </c>
      <c r="J844" t="s">
        <v>31</v>
      </c>
      <c r="K844" s="5">
        <f>18097 / 86400</f>
        <v>0.20945601851851853</v>
      </c>
      <c r="L844" s="5">
        <f>318 / 86400</f>
        <v>3.6805555555555554E-3</v>
      </c>
    </row>
    <row r="845" spans="1:12" x14ac:dyDescent="0.25">
      <c r="A845" s="3">
        <v>45702.532106481478</v>
      </c>
      <c r="B845" t="s">
        <v>188</v>
      </c>
      <c r="C845" s="3">
        <v>45702.611076388886</v>
      </c>
      <c r="D845" t="s">
        <v>330</v>
      </c>
      <c r="E845" s="4">
        <v>30.521999999999998</v>
      </c>
      <c r="F845" s="4">
        <v>568230.70499999996</v>
      </c>
      <c r="G845" s="4">
        <v>568261.22699999996</v>
      </c>
      <c r="H845" s="5">
        <f>2138 / 86400</f>
        <v>2.4745370370370369E-2</v>
      </c>
      <c r="I845" t="s">
        <v>67</v>
      </c>
      <c r="J845" t="s">
        <v>34</v>
      </c>
      <c r="K845" s="5">
        <f>6823 / 86400</f>
        <v>7.8969907407407405E-2</v>
      </c>
      <c r="L845" s="5">
        <f>35 / 86400</f>
        <v>4.0509259259259258E-4</v>
      </c>
    </row>
    <row r="846" spans="1:12" x14ac:dyDescent="0.25">
      <c r="A846" s="3">
        <v>45702.611481481479</v>
      </c>
      <c r="B846" t="s">
        <v>330</v>
      </c>
      <c r="C846" s="3">
        <v>45702.855567129634</v>
      </c>
      <c r="D846" t="s">
        <v>227</v>
      </c>
      <c r="E846" s="4">
        <v>84.363</v>
      </c>
      <c r="F846" s="4">
        <v>568261.22699999996</v>
      </c>
      <c r="G846" s="4">
        <v>568345.59</v>
      </c>
      <c r="H846" s="5">
        <f>8040 / 86400</f>
        <v>9.3055555555555558E-2</v>
      </c>
      <c r="I846" t="s">
        <v>39</v>
      </c>
      <c r="J846" t="s">
        <v>59</v>
      </c>
      <c r="K846" s="5">
        <f>21089 / 86400</f>
        <v>0.24408564814814815</v>
      </c>
      <c r="L846" s="5">
        <f>333 / 86400</f>
        <v>3.8541666666666668E-3</v>
      </c>
    </row>
    <row r="847" spans="1:12" x14ac:dyDescent="0.25">
      <c r="A847" s="3">
        <v>45702.859421296293</v>
      </c>
      <c r="B847" t="s">
        <v>227</v>
      </c>
      <c r="C847" s="3">
        <v>45702.859953703708</v>
      </c>
      <c r="D847" t="s">
        <v>330</v>
      </c>
      <c r="E847" s="4">
        <v>0.112</v>
      </c>
      <c r="F847" s="4">
        <v>568345.59</v>
      </c>
      <c r="G847" s="4">
        <v>568345.70200000005</v>
      </c>
      <c r="H847" s="5">
        <f>0 / 86400</f>
        <v>0</v>
      </c>
      <c r="I847" t="s">
        <v>57</v>
      </c>
      <c r="J847" t="s">
        <v>57</v>
      </c>
      <c r="K847" s="5">
        <f>46 / 86400</f>
        <v>5.3240740740740744E-4</v>
      </c>
      <c r="L847" s="5">
        <f>81 / 86400</f>
        <v>9.3749999999999997E-4</v>
      </c>
    </row>
    <row r="848" spans="1:12" x14ac:dyDescent="0.25">
      <c r="A848" s="3">
        <v>45702.860891203702</v>
      </c>
      <c r="B848" t="s">
        <v>330</v>
      </c>
      <c r="C848" s="3">
        <v>45702.898541666669</v>
      </c>
      <c r="D848" t="s">
        <v>80</v>
      </c>
      <c r="E848" s="4">
        <v>18.184000000000001</v>
      </c>
      <c r="F848" s="4">
        <v>568345.70200000005</v>
      </c>
      <c r="G848" s="4">
        <v>568363.88600000006</v>
      </c>
      <c r="H848" s="5">
        <f>920 / 86400</f>
        <v>1.0648148148148148E-2</v>
      </c>
      <c r="I848" t="s">
        <v>52</v>
      </c>
      <c r="J848" t="s">
        <v>145</v>
      </c>
      <c r="K848" s="5">
        <f>3252 / 86400</f>
        <v>3.7638888888888888E-2</v>
      </c>
      <c r="L848" s="5">
        <f>607 / 86400</f>
        <v>7.0254629629629634E-3</v>
      </c>
    </row>
    <row r="849" spans="1:12" x14ac:dyDescent="0.25">
      <c r="A849" s="3">
        <v>45702.90556712963</v>
      </c>
      <c r="B849" t="s">
        <v>80</v>
      </c>
      <c r="C849" s="3">
        <v>45702.906053240746</v>
      </c>
      <c r="D849" t="s">
        <v>80</v>
      </c>
      <c r="E849" s="4">
        <v>3.5000000000000003E-2</v>
      </c>
      <c r="F849" s="4">
        <v>568363.88600000006</v>
      </c>
      <c r="G849" s="4">
        <v>568363.92099999997</v>
      </c>
      <c r="H849" s="5">
        <f>0 / 86400</f>
        <v>0</v>
      </c>
      <c r="I849" t="s">
        <v>123</v>
      </c>
      <c r="J849" t="s">
        <v>152</v>
      </c>
      <c r="K849" s="5">
        <f>41 / 86400</f>
        <v>4.7453703703703704E-4</v>
      </c>
      <c r="L849" s="5">
        <f>325 / 86400</f>
        <v>3.7615740740740739E-3</v>
      </c>
    </row>
    <row r="850" spans="1:12" x14ac:dyDescent="0.25">
      <c r="A850" s="3">
        <v>45702.909814814819</v>
      </c>
      <c r="B850" t="s">
        <v>80</v>
      </c>
      <c r="C850" s="3">
        <v>45702.918229166666</v>
      </c>
      <c r="D850" t="s">
        <v>38</v>
      </c>
      <c r="E850" s="4">
        <v>2.7549999999999999</v>
      </c>
      <c r="F850" s="4">
        <v>568363.92099999997</v>
      </c>
      <c r="G850" s="4">
        <v>568366.67599999998</v>
      </c>
      <c r="H850" s="5">
        <f>300 / 86400</f>
        <v>3.472222222222222E-3</v>
      </c>
      <c r="I850" t="s">
        <v>187</v>
      </c>
      <c r="J850" t="s">
        <v>59</v>
      </c>
      <c r="K850" s="5">
        <f>727 / 86400</f>
        <v>8.4143518518518517E-3</v>
      </c>
      <c r="L850" s="5">
        <f>7064 / 86400</f>
        <v>8.1759259259259254E-2</v>
      </c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</row>
    <row r="853" spans="1:12" s="10" customFormat="1" ht="20.100000000000001" customHeight="1" x14ac:dyDescent="0.35">
      <c r="A853" s="15" t="s">
        <v>448</v>
      </c>
      <c r="B853" s="15"/>
      <c r="C853" s="15"/>
      <c r="D853" s="15"/>
      <c r="E853" s="15"/>
      <c r="F853" s="15"/>
      <c r="G853" s="15"/>
      <c r="H853" s="15"/>
      <c r="I853" s="15"/>
      <c r="J853" s="15"/>
    </row>
    <row r="854" spans="1:1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2" ht="30" x14ac:dyDescent="0.25">
      <c r="A855" s="2" t="s">
        <v>6</v>
      </c>
      <c r="B855" s="2" t="s">
        <v>7</v>
      </c>
      <c r="C855" s="2" t="s">
        <v>8</v>
      </c>
      <c r="D855" s="2" t="s">
        <v>9</v>
      </c>
      <c r="E855" s="2" t="s">
        <v>10</v>
      </c>
      <c r="F855" s="2" t="s">
        <v>11</v>
      </c>
      <c r="G855" s="2" t="s">
        <v>12</v>
      </c>
      <c r="H855" s="2" t="s">
        <v>13</v>
      </c>
      <c r="I855" s="2" t="s">
        <v>14</v>
      </c>
      <c r="J855" s="2" t="s">
        <v>15</v>
      </c>
      <c r="K855" s="2" t="s">
        <v>16</v>
      </c>
      <c r="L855" s="2" t="s">
        <v>17</v>
      </c>
    </row>
    <row r="856" spans="1:12" x14ac:dyDescent="0.25">
      <c r="A856" s="3">
        <v>45702.25408564815</v>
      </c>
      <c r="B856" t="s">
        <v>78</v>
      </c>
      <c r="C856" s="3">
        <v>45702.34003472222</v>
      </c>
      <c r="D856" t="s">
        <v>125</v>
      </c>
      <c r="E856" s="4">
        <v>37.753</v>
      </c>
      <c r="F856" s="4">
        <v>435546.34499999997</v>
      </c>
      <c r="G856" s="4">
        <v>435584.098</v>
      </c>
      <c r="H856" s="5">
        <f>2379 / 86400</f>
        <v>2.7534722222222221E-2</v>
      </c>
      <c r="I856" t="s">
        <v>63</v>
      </c>
      <c r="J856" t="s">
        <v>24</v>
      </c>
      <c r="K856" s="5">
        <f>7425 / 86400</f>
        <v>8.59375E-2</v>
      </c>
      <c r="L856" s="5">
        <f>24286 / 86400</f>
        <v>0.28108796296296296</v>
      </c>
    </row>
    <row r="857" spans="1:12" x14ac:dyDescent="0.25">
      <c r="A857" s="3">
        <v>45702.367037037038</v>
      </c>
      <c r="B857" t="s">
        <v>125</v>
      </c>
      <c r="C857" s="3">
        <v>45702.370081018518</v>
      </c>
      <c r="D857" t="s">
        <v>137</v>
      </c>
      <c r="E857" s="4">
        <v>1.022</v>
      </c>
      <c r="F857" s="4">
        <v>435584.098</v>
      </c>
      <c r="G857" s="4">
        <v>435585.12</v>
      </c>
      <c r="H857" s="5">
        <f>20 / 86400</f>
        <v>2.3148148148148149E-4</v>
      </c>
      <c r="I857" t="s">
        <v>196</v>
      </c>
      <c r="J857" t="s">
        <v>59</v>
      </c>
      <c r="K857" s="5">
        <f>262 / 86400</f>
        <v>3.0324074074074073E-3</v>
      </c>
      <c r="L857" s="5">
        <f>154 / 86400</f>
        <v>1.7824074074074075E-3</v>
      </c>
    </row>
    <row r="858" spans="1:12" x14ac:dyDescent="0.25">
      <c r="A858" s="3">
        <v>45702.371863425928</v>
      </c>
      <c r="B858" t="s">
        <v>137</v>
      </c>
      <c r="C858" s="3">
        <v>45702.372569444444</v>
      </c>
      <c r="D858" t="s">
        <v>128</v>
      </c>
      <c r="E858" s="4">
        <v>7.9000000000000001E-2</v>
      </c>
      <c r="F858" s="4">
        <v>435585.12</v>
      </c>
      <c r="G858" s="4">
        <v>435585.19900000002</v>
      </c>
      <c r="H858" s="5">
        <f>20 / 86400</f>
        <v>2.3148148148148149E-4</v>
      </c>
      <c r="I858" t="s">
        <v>57</v>
      </c>
      <c r="J858" t="s">
        <v>127</v>
      </c>
      <c r="K858" s="5">
        <f>60 / 86400</f>
        <v>6.9444444444444447E-4</v>
      </c>
      <c r="L858" s="5">
        <f>5017 / 86400</f>
        <v>5.8067129629629628E-2</v>
      </c>
    </row>
    <row r="859" spans="1:12" x14ac:dyDescent="0.25">
      <c r="A859" s="3">
        <v>45702.430636574078</v>
      </c>
      <c r="B859" t="s">
        <v>128</v>
      </c>
      <c r="C859" s="3">
        <v>45702.432268518518</v>
      </c>
      <c r="D859" t="s">
        <v>129</v>
      </c>
      <c r="E859" s="4">
        <v>0.38300000000000001</v>
      </c>
      <c r="F859" s="4">
        <v>435585.19900000002</v>
      </c>
      <c r="G859" s="4">
        <v>435585.58199999999</v>
      </c>
      <c r="H859" s="5">
        <f>39 / 86400</f>
        <v>4.5138888888888887E-4</v>
      </c>
      <c r="I859" t="s">
        <v>173</v>
      </c>
      <c r="J859" t="s">
        <v>126</v>
      </c>
      <c r="K859" s="5">
        <f>141 / 86400</f>
        <v>1.6319444444444445E-3</v>
      </c>
      <c r="L859" s="5">
        <f>313 / 86400</f>
        <v>3.6226851851851854E-3</v>
      </c>
    </row>
    <row r="860" spans="1:12" x14ac:dyDescent="0.25">
      <c r="A860" s="3">
        <v>45702.435891203699</v>
      </c>
      <c r="B860" t="s">
        <v>86</v>
      </c>
      <c r="C860" s="3">
        <v>45702.612650462965</v>
      </c>
      <c r="D860" t="s">
        <v>128</v>
      </c>
      <c r="E860" s="4">
        <v>76.989999999999995</v>
      </c>
      <c r="F860" s="4">
        <v>435585.58199999999</v>
      </c>
      <c r="G860" s="4">
        <v>435662.57199999999</v>
      </c>
      <c r="H860" s="5">
        <f>4340 / 86400</f>
        <v>5.0231481481481481E-2</v>
      </c>
      <c r="I860" t="s">
        <v>58</v>
      </c>
      <c r="J860" t="s">
        <v>24</v>
      </c>
      <c r="K860" s="5">
        <f>15272 / 86400</f>
        <v>0.17675925925925925</v>
      </c>
      <c r="L860" s="5">
        <f>8085 / 86400</f>
        <v>9.357638888888889E-2</v>
      </c>
    </row>
    <row r="861" spans="1:12" x14ac:dyDescent="0.25">
      <c r="A861" s="3">
        <v>45702.706226851849</v>
      </c>
      <c r="B861" t="s">
        <v>128</v>
      </c>
      <c r="C861" s="3">
        <v>45702.70821759259</v>
      </c>
      <c r="D861" t="s">
        <v>128</v>
      </c>
      <c r="E861" s="4">
        <v>0</v>
      </c>
      <c r="F861" s="4">
        <v>435662.57199999999</v>
      </c>
      <c r="G861" s="4">
        <v>435662.57199999999</v>
      </c>
      <c r="H861" s="5">
        <f>159 / 86400</f>
        <v>1.8402777777777777E-3</v>
      </c>
      <c r="I861" t="s">
        <v>88</v>
      </c>
      <c r="J861" t="s">
        <v>88</v>
      </c>
      <c r="K861" s="5">
        <f>172 / 86400</f>
        <v>1.9907407407407408E-3</v>
      </c>
      <c r="L861" s="5">
        <f>2 / 86400</f>
        <v>2.3148148148148147E-5</v>
      </c>
    </row>
    <row r="862" spans="1:12" x14ac:dyDescent="0.25">
      <c r="A862" s="3">
        <v>45702.708240740743</v>
      </c>
      <c r="B862" t="s">
        <v>128</v>
      </c>
      <c r="C862" s="3">
        <v>45702.718414351853</v>
      </c>
      <c r="D862" t="s">
        <v>128</v>
      </c>
      <c r="E862" s="4">
        <v>0</v>
      </c>
      <c r="F862" s="4">
        <v>435662.57199999999</v>
      </c>
      <c r="G862" s="4">
        <v>435662.57199999999</v>
      </c>
      <c r="H862" s="5">
        <f>865 / 86400</f>
        <v>1.0011574074074074E-2</v>
      </c>
      <c r="I862" t="s">
        <v>88</v>
      </c>
      <c r="J862" t="s">
        <v>88</v>
      </c>
      <c r="K862" s="5">
        <f>879 / 86400</f>
        <v>1.0173611111111111E-2</v>
      </c>
      <c r="L862" s="5">
        <f>978 / 86400</f>
        <v>1.1319444444444444E-2</v>
      </c>
    </row>
    <row r="863" spans="1:12" x14ac:dyDescent="0.25">
      <c r="A863" s="3">
        <v>45702.729733796295</v>
      </c>
      <c r="B863" t="s">
        <v>128</v>
      </c>
      <c r="C863" s="3">
        <v>45702.769293981481</v>
      </c>
      <c r="D863" t="s">
        <v>128</v>
      </c>
      <c r="E863" s="4">
        <v>1.6E-2</v>
      </c>
      <c r="F863" s="4">
        <v>435662.57199999999</v>
      </c>
      <c r="G863" s="4">
        <v>435662.58799999999</v>
      </c>
      <c r="H863" s="5">
        <f>3379 / 86400</f>
        <v>3.9108796296296294E-2</v>
      </c>
      <c r="I863" t="s">
        <v>126</v>
      </c>
      <c r="J863" t="s">
        <v>88</v>
      </c>
      <c r="K863" s="5">
        <f>3417 / 86400</f>
        <v>3.9548611111111111E-2</v>
      </c>
      <c r="L863" s="5">
        <f>387 / 86400</f>
        <v>4.4791666666666669E-3</v>
      </c>
    </row>
    <row r="864" spans="1:12" x14ac:dyDescent="0.25">
      <c r="A864" s="3">
        <v>45702.773773148147</v>
      </c>
      <c r="B864" t="s">
        <v>128</v>
      </c>
      <c r="C864" s="3">
        <v>45702.776273148149</v>
      </c>
      <c r="D864" t="s">
        <v>128</v>
      </c>
      <c r="E864" s="4">
        <v>0.40799999999999997</v>
      </c>
      <c r="F864" s="4">
        <v>435662.58799999999</v>
      </c>
      <c r="G864" s="4">
        <v>435662.99599999998</v>
      </c>
      <c r="H864" s="5">
        <f>20 / 86400</f>
        <v>2.3148148148148149E-4</v>
      </c>
      <c r="I864" t="s">
        <v>130</v>
      </c>
      <c r="J864" t="s">
        <v>138</v>
      </c>
      <c r="K864" s="5">
        <f>216 / 86400</f>
        <v>2.5000000000000001E-3</v>
      </c>
      <c r="L864" s="5">
        <f>815 / 86400</f>
        <v>9.432870370370371E-3</v>
      </c>
    </row>
    <row r="865" spans="1:12" x14ac:dyDescent="0.25">
      <c r="A865" s="3">
        <v>45702.78570601852</v>
      </c>
      <c r="B865" t="s">
        <v>128</v>
      </c>
      <c r="C865" s="3">
        <v>45702.792314814811</v>
      </c>
      <c r="D865" t="s">
        <v>137</v>
      </c>
      <c r="E865" s="4">
        <v>1.0389999999999999</v>
      </c>
      <c r="F865" s="4">
        <v>435662.99599999998</v>
      </c>
      <c r="G865" s="4">
        <v>435664.03499999997</v>
      </c>
      <c r="H865" s="5">
        <f>320 / 86400</f>
        <v>3.7037037037037038E-3</v>
      </c>
      <c r="I865" t="s">
        <v>147</v>
      </c>
      <c r="J865" t="s">
        <v>138</v>
      </c>
      <c r="K865" s="5">
        <f>571 / 86400</f>
        <v>6.6087962962962966E-3</v>
      </c>
      <c r="L865" s="5">
        <f>36 / 86400</f>
        <v>4.1666666666666669E-4</v>
      </c>
    </row>
    <row r="866" spans="1:12" x14ac:dyDescent="0.25">
      <c r="A866" s="3">
        <v>45702.792731481481</v>
      </c>
      <c r="B866" t="s">
        <v>137</v>
      </c>
      <c r="C866" s="3">
        <v>45702.912361111114</v>
      </c>
      <c r="D866" t="s">
        <v>382</v>
      </c>
      <c r="E866" s="4">
        <v>50.139000000000003</v>
      </c>
      <c r="F866" s="4">
        <v>435664.03499999997</v>
      </c>
      <c r="G866" s="4">
        <v>435714.174</v>
      </c>
      <c r="H866" s="5">
        <f>3000 / 86400</f>
        <v>3.4722222222222224E-2</v>
      </c>
      <c r="I866" t="s">
        <v>73</v>
      </c>
      <c r="J866" t="s">
        <v>28</v>
      </c>
      <c r="K866" s="5">
        <f>10336 / 86400</f>
        <v>0.11962962962962963</v>
      </c>
      <c r="L866" s="5">
        <f>332 / 86400</f>
        <v>3.8425925925925928E-3</v>
      </c>
    </row>
    <row r="867" spans="1:12" x14ac:dyDescent="0.25">
      <c r="A867" s="3">
        <v>45702.916203703702</v>
      </c>
      <c r="B867" t="s">
        <v>382</v>
      </c>
      <c r="C867" s="3">
        <v>45702.916724537034</v>
      </c>
      <c r="D867" t="s">
        <v>382</v>
      </c>
      <c r="E867" s="4">
        <v>0.04</v>
      </c>
      <c r="F867" s="4">
        <v>435714.174</v>
      </c>
      <c r="G867" s="4">
        <v>435714.21399999998</v>
      </c>
      <c r="H867" s="5">
        <f>20 / 86400</f>
        <v>2.3148148148148149E-4</v>
      </c>
      <c r="I867" t="s">
        <v>57</v>
      </c>
      <c r="J867" t="s">
        <v>152</v>
      </c>
      <c r="K867" s="5">
        <f>45 / 86400</f>
        <v>5.2083333333333333E-4</v>
      </c>
      <c r="L867" s="5">
        <f>30 / 86400</f>
        <v>3.4722222222222224E-4</v>
      </c>
    </row>
    <row r="868" spans="1:12" x14ac:dyDescent="0.25">
      <c r="A868" s="3">
        <v>45702.917071759264</v>
      </c>
      <c r="B868" t="s">
        <v>382</v>
      </c>
      <c r="C868" s="3">
        <v>45702.924305555556</v>
      </c>
      <c r="D868" t="s">
        <v>79</v>
      </c>
      <c r="E868" s="4">
        <v>0.81799999999999995</v>
      </c>
      <c r="F868" s="4">
        <v>435714.21399999998</v>
      </c>
      <c r="G868" s="4">
        <v>435715.03200000001</v>
      </c>
      <c r="H868" s="5">
        <f>420 / 86400</f>
        <v>4.8611111111111112E-3</v>
      </c>
      <c r="I868" t="s">
        <v>122</v>
      </c>
      <c r="J868" t="s">
        <v>127</v>
      </c>
      <c r="K868" s="5">
        <f>625 / 86400</f>
        <v>7.2337962962962963E-3</v>
      </c>
      <c r="L868" s="5">
        <f>83 / 86400</f>
        <v>9.6064814814814819E-4</v>
      </c>
    </row>
    <row r="869" spans="1:12" x14ac:dyDescent="0.25">
      <c r="A869" s="3">
        <v>45702.925266203703</v>
      </c>
      <c r="B869" t="s">
        <v>79</v>
      </c>
      <c r="C869" s="3">
        <v>45702.926134259258</v>
      </c>
      <c r="D869" t="s">
        <v>79</v>
      </c>
      <c r="E869" s="4">
        <v>2.1000000000000001E-2</v>
      </c>
      <c r="F869" s="4">
        <v>435715.03200000001</v>
      </c>
      <c r="G869" s="4">
        <v>435715.05300000001</v>
      </c>
      <c r="H869" s="5">
        <f>40 / 86400</f>
        <v>4.6296296296296298E-4</v>
      </c>
      <c r="I869" t="s">
        <v>127</v>
      </c>
      <c r="J869" t="s">
        <v>120</v>
      </c>
      <c r="K869" s="5">
        <f>74 / 86400</f>
        <v>8.564814814814815E-4</v>
      </c>
      <c r="L869" s="5">
        <f>6381 / 86400</f>
        <v>7.3854166666666665E-2</v>
      </c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</row>
    <row r="872" spans="1:12" s="10" customFormat="1" ht="20.100000000000001" customHeight="1" x14ac:dyDescent="0.35">
      <c r="A872" s="15" t="s">
        <v>449</v>
      </c>
      <c r="B872" s="15"/>
      <c r="C872" s="15"/>
      <c r="D872" s="15"/>
      <c r="E872" s="15"/>
      <c r="F872" s="15"/>
      <c r="G872" s="15"/>
      <c r="H872" s="15"/>
      <c r="I872" s="15"/>
      <c r="J872" s="15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ht="30" x14ac:dyDescent="0.25">
      <c r="A874" s="2" t="s">
        <v>6</v>
      </c>
      <c r="B874" s="2" t="s">
        <v>7</v>
      </c>
      <c r="C874" s="2" t="s">
        <v>8</v>
      </c>
      <c r="D874" s="2" t="s">
        <v>9</v>
      </c>
      <c r="E874" s="2" t="s">
        <v>10</v>
      </c>
      <c r="F874" s="2" t="s">
        <v>11</v>
      </c>
      <c r="G874" s="2" t="s">
        <v>12</v>
      </c>
      <c r="H874" s="2" t="s">
        <v>13</v>
      </c>
      <c r="I874" s="2" t="s">
        <v>14</v>
      </c>
      <c r="J874" s="2" t="s">
        <v>15</v>
      </c>
      <c r="K874" s="2" t="s">
        <v>16</v>
      </c>
      <c r="L874" s="2" t="s">
        <v>17</v>
      </c>
    </row>
    <row r="875" spans="1:12" x14ac:dyDescent="0.25">
      <c r="A875" s="3">
        <v>45702.238067129627</v>
      </c>
      <c r="B875" t="s">
        <v>48</v>
      </c>
      <c r="C875" s="3">
        <v>45702.483865740738</v>
      </c>
      <c r="D875" t="s">
        <v>137</v>
      </c>
      <c r="E875" s="4">
        <v>101.636</v>
      </c>
      <c r="F875" s="4">
        <v>515622.39600000001</v>
      </c>
      <c r="G875" s="4">
        <v>515724.03200000001</v>
      </c>
      <c r="H875" s="5">
        <f>6657 / 86400</f>
        <v>7.7048611111111109E-2</v>
      </c>
      <c r="I875" t="s">
        <v>338</v>
      </c>
      <c r="J875" t="s">
        <v>28</v>
      </c>
      <c r="K875" s="5">
        <f>21237 / 86400</f>
        <v>0.24579861111111112</v>
      </c>
      <c r="L875" s="5">
        <f>22339 / 86400</f>
        <v>0.25855324074074076</v>
      </c>
    </row>
    <row r="876" spans="1:12" x14ac:dyDescent="0.25">
      <c r="A876" s="3">
        <v>45702.504351851851</v>
      </c>
      <c r="B876" t="s">
        <v>137</v>
      </c>
      <c r="C876" s="3">
        <v>45702.509641203702</v>
      </c>
      <c r="D876" t="s">
        <v>124</v>
      </c>
      <c r="E876" s="4">
        <v>1.244</v>
      </c>
      <c r="F876" s="4">
        <v>515724.03200000001</v>
      </c>
      <c r="G876" s="4">
        <v>515725.27600000001</v>
      </c>
      <c r="H876" s="5">
        <f>90 / 86400</f>
        <v>1.0416666666666667E-3</v>
      </c>
      <c r="I876" t="s">
        <v>133</v>
      </c>
      <c r="J876" t="s">
        <v>126</v>
      </c>
      <c r="K876" s="5">
        <f>457 / 86400</f>
        <v>5.2893518518518515E-3</v>
      </c>
      <c r="L876" s="5">
        <f>2333 / 86400</f>
        <v>2.7002314814814816E-2</v>
      </c>
    </row>
    <row r="877" spans="1:12" x14ac:dyDescent="0.25">
      <c r="A877" s="3">
        <v>45702.536643518513</v>
      </c>
      <c r="B877" t="s">
        <v>124</v>
      </c>
      <c r="C877" s="3">
        <v>45702.695787037039</v>
      </c>
      <c r="D877" t="s">
        <v>302</v>
      </c>
      <c r="E877" s="4">
        <v>55.768000000000001</v>
      </c>
      <c r="F877" s="4">
        <v>515725.27600000001</v>
      </c>
      <c r="G877" s="4">
        <v>515781.04399999999</v>
      </c>
      <c r="H877" s="5">
        <f>5460 / 86400</f>
        <v>6.3194444444444442E-2</v>
      </c>
      <c r="I877" t="s">
        <v>44</v>
      </c>
      <c r="J877" t="s">
        <v>31</v>
      </c>
      <c r="K877" s="5">
        <f>13750 / 86400</f>
        <v>0.15914351851851852</v>
      </c>
      <c r="L877" s="5">
        <f>4 / 86400</f>
        <v>4.6296296296296294E-5</v>
      </c>
    </row>
    <row r="878" spans="1:12" x14ac:dyDescent="0.25">
      <c r="A878" s="3">
        <v>45702.695833333331</v>
      </c>
      <c r="B878" t="s">
        <v>383</v>
      </c>
      <c r="C878" s="3">
        <v>45702.822824074072</v>
      </c>
      <c r="D878" t="s">
        <v>128</v>
      </c>
      <c r="E878" s="4">
        <v>45.662999999999997</v>
      </c>
      <c r="F878" s="4">
        <v>515781.05099999998</v>
      </c>
      <c r="G878" s="4">
        <v>515826.71399999998</v>
      </c>
      <c r="H878" s="5">
        <f>3540 / 86400</f>
        <v>4.0972222222222222E-2</v>
      </c>
      <c r="I878" t="s">
        <v>106</v>
      </c>
      <c r="J878" t="s">
        <v>31</v>
      </c>
      <c r="K878" s="5">
        <f>10972 / 86400</f>
        <v>0.12699074074074074</v>
      </c>
      <c r="L878" s="5">
        <f>1939 / 86400</f>
        <v>2.2442129629629631E-2</v>
      </c>
    </row>
    <row r="879" spans="1:12" x14ac:dyDescent="0.25">
      <c r="A879" s="3">
        <v>45702.845266203702</v>
      </c>
      <c r="B879" t="s">
        <v>137</v>
      </c>
      <c r="C879" s="3">
        <v>45702.854039351849</v>
      </c>
      <c r="D879" t="s">
        <v>48</v>
      </c>
      <c r="E879" s="4">
        <v>0.93100000000000005</v>
      </c>
      <c r="F879" s="4">
        <v>515826.71399999998</v>
      </c>
      <c r="G879" s="4">
        <v>515827.64500000002</v>
      </c>
      <c r="H879" s="5">
        <f>420 / 86400</f>
        <v>4.8611111111111112E-3</v>
      </c>
      <c r="I879" t="s">
        <v>139</v>
      </c>
      <c r="J879" t="s">
        <v>156</v>
      </c>
      <c r="K879" s="5">
        <f>758 / 86400</f>
        <v>8.773148148148148E-3</v>
      </c>
      <c r="L879" s="5">
        <f>12610 / 86400</f>
        <v>0.14594907407407406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450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45702.223125000004</v>
      </c>
      <c r="B885" t="s">
        <v>80</v>
      </c>
      <c r="C885" s="3">
        <v>45702.792037037041</v>
      </c>
      <c r="D885" t="s">
        <v>81</v>
      </c>
      <c r="E885" s="4">
        <v>199.33799999999999</v>
      </c>
      <c r="F885" s="4">
        <v>505476.55</v>
      </c>
      <c r="G885" s="4">
        <v>505675.88799999998</v>
      </c>
      <c r="H885" s="5">
        <f>20181 / 86400</f>
        <v>0.23357638888888888</v>
      </c>
      <c r="I885" t="s">
        <v>71</v>
      </c>
      <c r="J885" t="s">
        <v>31</v>
      </c>
      <c r="K885" s="5">
        <f>49154 / 86400</f>
        <v>0.56891203703703708</v>
      </c>
      <c r="L885" s="5">
        <f>37245 / 86400</f>
        <v>0.43107638888888888</v>
      </c>
    </row>
    <row r="886" spans="1:1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</row>
    <row r="887" spans="1:1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 spans="1:12" s="10" customFormat="1" ht="20.100000000000001" customHeight="1" x14ac:dyDescent="0.35">
      <c r="A888" s="15" t="s">
        <v>451</v>
      </c>
      <c r="B888" s="15"/>
      <c r="C888" s="15"/>
      <c r="D888" s="15"/>
      <c r="E888" s="15"/>
      <c r="F888" s="15"/>
      <c r="G888" s="15"/>
      <c r="H888" s="15"/>
      <c r="I888" s="15"/>
      <c r="J888" s="15"/>
    </row>
    <row r="889" spans="1:1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</row>
    <row r="890" spans="1:12" ht="30" x14ac:dyDescent="0.25">
      <c r="A890" s="2" t="s">
        <v>6</v>
      </c>
      <c r="B890" s="2" t="s">
        <v>7</v>
      </c>
      <c r="C890" s="2" t="s">
        <v>8</v>
      </c>
      <c r="D890" s="2" t="s">
        <v>9</v>
      </c>
      <c r="E890" s="2" t="s">
        <v>10</v>
      </c>
      <c r="F890" s="2" t="s">
        <v>11</v>
      </c>
      <c r="G890" s="2" t="s">
        <v>12</v>
      </c>
      <c r="H890" s="2" t="s">
        <v>13</v>
      </c>
      <c r="I890" s="2" t="s">
        <v>14</v>
      </c>
      <c r="J890" s="2" t="s">
        <v>15</v>
      </c>
      <c r="K890" s="2" t="s">
        <v>16</v>
      </c>
      <c r="L890" s="2" t="s">
        <v>17</v>
      </c>
    </row>
    <row r="891" spans="1:12" x14ac:dyDescent="0.25">
      <c r="A891" s="3">
        <v>45702</v>
      </c>
      <c r="B891" t="s">
        <v>69</v>
      </c>
      <c r="C891" s="3">
        <v>45702.040543981479</v>
      </c>
      <c r="D891" t="s">
        <v>384</v>
      </c>
      <c r="E891" s="4">
        <v>26.364999999999998</v>
      </c>
      <c r="F891" s="4">
        <v>352476.42300000001</v>
      </c>
      <c r="G891" s="4">
        <v>352502.788</v>
      </c>
      <c r="H891" s="5">
        <f>700 / 86400</f>
        <v>8.1018518518518514E-3</v>
      </c>
      <c r="I891" t="s">
        <v>63</v>
      </c>
      <c r="J891" t="s">
        <v>135</v>
      </c>
      <c r="K891" s="5">
        <f>3503 / 86400</f>
        <v>4.0543981481481479E-2</v>
      </c>
      <c r="L891" s="5">
        <f>361 / 86400</f>
        <v>4.178240740740741E-3</v>
      </c>
    </row>
    <row r="892" spans="1:12" x14ac:dyDescent="0.25">
      <c r="A892" s="3">
        <v>45702.044722222221</v>
      </c>
      <c r="B892" t="s">
        <v>384</v>
      </c>
      <c r="C892" s="3">
        <v>45702.05164351852</v>
      </c>
      <c r="D892" t="s">
        <v>227</v>
      </c>
      <c r="E892" s="4">
        <v>0.81</v>
      </c>
      <c r="F892" s="4">
        <v>352502.788</v>
      </c>
      <c r="G892" s="4">
        <v>352503.598</v>
      </c>
      <c r="H892" s="5">
        <f>338 / 86400</f>
        <v>3.9120370370370368E-3</v>
      </c>
      <c r="I892" t="s">
        <v>168</v>
      </c>
      <c r="J892" t="s">
        <v>127</v>
      </c>
      <c r="K892" s="5">
        <f>598 / 86400</f>
        <v>6.9212962962962961E-3</v>
      </c>
      <c r="L892" s="5">
        <f>19793 / 86400</f>
        <v>0.22908564814814814</v>
      </c>
    </row>
    <row r="893" spans="1:12" x14ac:dyDescent="0.25">
      <c r="A893" s="3">
        <v>45702.280729166669</v>
      </c>
      <c r="B893" t="s">
        <v>228</v>
      </c>
      <c r="C893" s="3">
        <v>45702.293333333335</v>
      </c>
      <c r="D893" t="s">
        <v>82</v>
      </c>
      <c r="E893" s="4">
        <v>4.7060000000000004</v>
      </c>
      <c r="F893" s="4">
        <v>352503.598</v>
      </c>
      <c r="G893" s="4">
        <v>352508.304</v>
      </c>
      <c r="H893" s="5">
        <f>200 / 86400</f>
        <v>2.3148148148148147E-3</v>
      </c>
      <c r="I893" t="s">
        <v>245</v>
      </c>
      <c r="J893" t="s">
        <v>34</v>
      </c>
      <c r="K893" s="5">
        <f>1089 / 86400</f>
        <v>1.2604166666666666E-2</v>
      </c>
      <c r="L893" s="5">
        <f>14 / 86400</f>
        <v>1.6203703703703703E-4</v>
      </c>
    </row>
    <row r="894" spans="1:12" x14ac:dyDescent="0.25">
      <c r="A894" s="3">
        <v>45702.293495370366</v>
      </c>
      <c r="B894" t="s">
        <v>82</v>
      </c>
      <c r="C894" s="3">
        <v>45702.29619212963</v>
      </c>
      <c r="D894" t="s">
        <v>82</v>
      </c>
      <c r="E894" s="4">
        <v>1E-3</v>
      </c>
      <c r="F894" s="4">
        <v>352508.304</v>
      </c>
      <c r="G894" s="4">
        <v>352508.30499999999</v>
      </c>
      <c r="H894" s="5">
        <f>219 / 86400</f>
        <v>2.5347222222222221E-3</v>
      </c>
      <c r="I894" t="s">
        <v>88</v>
      </c>
      <c r="J894" t="s">
        <v>88</v>
      </c>
      <c r="K894" s="5">
        <f>233 / 86400</f>
        <v>2.6967592592592594E-3</v>
      </c>
      <c r="L894" s="5">
        <f>41 / 86400</f>
        <v>4.7453703703703704E-4</v>
      </c>
    </row>
    <row r="895" spans="1:12" x14ac:dyDescent="0.25">
      <c r="A895" s="3">
        <v>45702.296666666662</v>
      </c>
      <c r="B895" t="s">
        <v>82</v>
      </c>
      <c r="C895" s="3">
        <v>45702.296851851846</v>
      </c>
      <c r="D895" t="s">
        <v>82</v>
      </c>
      <c r="E895" s="4">
        <v>0</v>
      </c>
      <c r="F895" s="4">
        <v>352508.30499999999</v>
      </c>
      <c r="G895" s="4">
        <v>352508.30499999999</v>
      </c>
      <c r="H895" s="5">
        <f>0 / 86400</f>
        <v>0</v>
      </c>
      <c r="I895" t="s">
        <v>88</v>
      </c>
      <c r="J895" t="s">
        <v>88</v>
      </c>
      <c r="K895" s="5">
        <f>15 / 86400</f>
        <v>1.7361111111111112E-4</v>
      </c>
      <c r="L895" s="5">
        <f>29 / 86400</f>
        <v>3.3564814814814812E-4</v>
      </c>
    </row>
    <row r="896" spans="1:12" x14ac:dyDescent="0.25">
      <c r="A896" s="3">
        <v>45702.2971875</v>
      </c>
      <c r="B896" t="s">
        <v>82</v>
      </c>
      <c r="C896" s="3">
        <v>45702.297662037032</v>
      </c>
      <c r="D896" t="s">
        <v>82</v>
      </c>
      <c r="E896" s="4">
        <v>0</v>
      </c>
      <c r="F896" s="4">
        <v>352508.30499999999</v>
      </c>
      <c r="G896" s="4">
        <v>352508.30499999999</v>
      </c>
      <c r="H896" s="5">
        <f>19 / 86400</f>
        <v>2.199074074074074E-4</v>
      </c>
      <c r="I896" t="s">
        <v>88</v>
      </c>
      <c r="J896" t="s">
        <v>88</v>
      </c>
      <c r="K896" s="5">
        <f>40 / 86400</f>
        <v>4.6296296296296298E-4</v>
      </c>
      <c r="L896" s="5">
        <f>60681 / 86400</f>
        <v>0.70232638888888888</v>
      </c>
    </row>
    <row r="897" spans="1:1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2" s="10" customFormat="1" ht="20.100000000000001" customHeight="1" x14ac:dyDescent="0.35">
      <c r="A899" s="15" t="s">
        <v>452</v>
      </c>
      <c r="B899" s="15"/>
      <c r="C899" s="15"/>
      <c r="D899" s="15"/>
      <c r="E899" s="15"/>
      <c r="F899" s="15"/>
      <c r="G899" s="15"/>
      <c r="H899" s="15"/>
      <c r="I899" s="15"/>
      <c r="J899" s="15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ht="30" x14ac:dyDescent="0.25">
      <c r="A901" s="2" t="s">
        <v>6</v>
      </c>
      <c r="B901" s="2" t="s">
        <v>7</v>
      </c>
      <c r="C901" s="2" t="s">
        <v>8</v>
      </c>
      <c r="D901" s="2" t="s">
        <v>9</v>
      </c>
      <c r="E901" s="2" t="s">
        <v>10</v>
      </c>
      <c r="F901" s="2" t="s">
        <v>11</v>
      </c>
      <c r="G901" s="2" t="s">
        <v>12</v>
      </c>
      <c r="H901" s="2" t="s">
        <v>13</v>
      </c>
      <c r="I901" s="2" t="s">
        <v>14</v>
      </c>
      <c r="J901" s="2" t="s">
        <v>15</v>
      </c>
      <c r="K901" s="2" t="s">
        <v>16</v>
      </c>
      <c r="L901" s="2" t="s">
        <v>17</v>
      </c>
    </row>
    <row r="902" spans="1:12" x14ac:dyDescent="0.25">
      <c r="A902" s="3">
        <v>45702.214004629626</v>
      </c>
      <c r="B902" t="s">
        <v>83</v>
      </c>
      <c r="C902" s="3">
        <v>45702.214849537035</v>
      </c>
      <c r="D902" t="s">
        <v>83</v>
      </c>
      <c r="E902" s="4">
        <v>0</v>
      </c>
      <c r="F902" s="4">
        <v>411034.88</v>
      </c>
      <c r="G902" s="4">
        <v>411034.88</v>
      </c>
      <c r="H902" s="5">
        <f>59 / 86400</f>
        <v>6.8287037037037036E-4</v>
      </c>
      <c r="I902" t="s">
        <v>88</v>
      </c>
      <c r="J902" t="s">
        <v>88</v>
      </c>
      <c r="K902" s="5">
        <f>72 / 86400</f>
        <v>8.3333333333333339E-4</v>
      </c>
      <c r="L902" s="5">
        <f>18548 / 86400</f>
        <v>0.21467592592592594</v>
      </c>
    </row>
    <row r="903" spans="1:12" x14ac:dyDescent="0.25">
      <c r="A903" s="3">
        <v>45702.215520833328</v>
      </c>
      <c r="B903" t="s">
        <v>83</v>
      </c>
      <c r="C903" s="3">
        <v>45702.463344907403</v>
      </c>
      <c r="D903" t="s">
        <v>128</v>
      </c>
      <c r="E903" s="4">
        <v>95.445999999999998</v>
      </c>
      <c r="F903" s="4">
        <v>411034.88</v>
      </c>
      <c r="G903" s="4">
        <v>411130.326</v>
      </c>
      <c r="H903" s="5">
        <f>7698 / 86400</f>
        <v>8.9097222222222217E-2</v>
      </c>
      <c r="I903" t="s">
        <v>71</v>
      </c>
      <c r="J903" t="s">
        <v>34</v>
      </c>
      <c r="K903" s="5">
        <f>21411 / 86400</f>
        <v>0.24781249999999999</v>
      </c>
      <c r="L903" s="5">
        <f>253 / 86400</f>
        <v>2.9282407407407408E-3</v>
      </c>
    </row>
    <row r="904" spans="1:12" x14ac:dyDescent="0.25">
      <c r="A904" s="3">
        <v>45702.466273148151</v>
      </c>
      <c r="B904" t="s">
        <v>128</v>
      </c>
      <c r="C904" s="3">
        <v>45702.468715277777</v>
      </c>
      <c r="D904" t="s">
        <v>82</v>
      </c>
      <c r="E904" s="4">
        <v>0.59099999999999997</v>
      </c>
      <c r="F904" s="4">
        <v>411130.326</v>
      </c>
      <c r="G904" s="4">
        <v>411130.91700000002</v>
      </c>
      <c r="H904" s="5">
        <f>66 / 86400</f>
        <v>7.6388888888888893E-4</v>
      </c>
      <c r="I904" t="s">
        <v>147</v>
      </c>
      <c r="J904" t="s">
        <v>126</v>
      </c>
      <c r="K904" s="5">
        <f>210 / 86400</f>
        <v>2.4305555555555556E-3</v>
      </c>
      <c r="L904" s="5">
        <f>2803 / 86400</f>
        <v>3.2442129629629626E-2</v>
      </c>
    </row>
    <row r="905" spans="1:12" x14ac:dyDescent="0.25">
      <c r="A905" s="3">
        <v>45702.501157407409</v>
      </c>
      <c r="B905" t="s">
        <v>82</v>
      </c>
      <c r="C905" s="3">
        <v>45702.503784722227</v>
      </c>
      <c r="D905" t="s">
        <v>125</v>
      </c>
      <c r="E905" s="4">
        <v>0.66300000000000003</v>
      </c>
      <c r="F905" s="4">
        <v>411130.91700000002</v>
      </c>
      <c r="G905" s="4">
        <v>411131.58</v>
      </c>
      <c r="H905" s="5">
        <f>0 / 86400</f>
        <v>0</v>
      </c>
      <c r="I905" t="s">
        <v>31</v>
      </c>
      <c r="J905" t="s">
        <v>53</v>
      </c>
      <c r="K905" s="5">
        <f>226 / 86400</f>
        <v>2.6157407407407405E-3</v>
      </c>
      <c r="L905" s="5">
        <f>1637 / 86400</f>
        <v>1.894675925925926E-2</v>
      </c>
    </row>
    <row r="906" spans="1:12" x14ac:dyDescent="0.25">
      <c r="A906" s="3">
        <v>45702.522731481484</v>
      </c>
      <c r="B906" t="s">
        <v>125</v>
      </c>
      <c r="C906" s="3">
        <v>45702.801469907412</v>
      </c>
      <c r="D906" t="s">
        <v>83</v>
      </c>
      <c r="E906" s="4">
        <v>112.557</v>
      </c>
      <c r="F906" s="4">
        <v>411131.58</v>
      </c>
      <c r="G906" s="4">
        <v>411244.13699999999</v>
      </c>
      <c r="H906" s="5">
        <f>7598 / 86400</f>
        <v>8.7939814814814818E-2</v>
      </c>
      <c r="I906" t="s">
        <v>233</v>
      </c>
      <c r="J906" t="s">
        <v>28</v>
      </c>
      <c r="K906" s="5">
        <f>24083 / 86400</f>
        <v>0.2787384259259259</v>
      </c>
      <c r="L906" s="5">
        <f>17152 / 86400</f>
        <v>0.19851851851851851</v>
      </c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 spans="1:12" s="10" customFormat="1" ht="20.100000000000001" customHeight="1" x14ac:dyDescent="0.35">
      <c r="A909" s="15" t="s">
        <v>453</v>
      </c>
      <c r="B909" s="15"/>
      <c r="C909" s="15"/>
      <c r="D909" s="15"/>
      <c r="E909" s="15"/>
      <c r="F909" s="15"/>
      <c r="G909" s="15"/>
      <c r="H909" s="15"/>
      <c r="I909" s="15"/>
      <c r="J909" s="15"/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ht="30" x14ac:dyDescent="0.25">
      <c r="A911" s="2" t="s">
        <v>6</v>
      </c>
      <c r="B911" s="2" t="s">
        <v>7</v>
      </c>
      <c r="C911" s="2" t="s">
        <v>8</v>
      </c>
      <c r="D911" s="2" t="s">
        <v>9</v>
      </c>
      <c r="E911" s="2" t="s">
        <v>10</v>
      </c>
      <c r="F911" s="2" t="s">
        <v>11</v>
      </c>
      <c r="G911" s="2" t="s">
        <v>12</v>
      </c>
      <c r="H911" s="2" t="s">
        <v>13</v>
      </c>
      <c r="I911" s="2" t="s">
        <v>14</v>
      </c>
      <c r="J911" s="2" t="s">
        <v>15</v>
      </c>
      <c r="K911" s="2" t="s">
        <v>16</v>
      </c>
      <c r="L911" s="2" t="s">
        <v>17</v>
      </c>
    </row>
    <row r="912" spans="1:12" x14ac:dyDescent="0.25">
      <c r="A912" s="3">
        <v>45702.152037037042</v>
      </c>
      <c r="B912" t="s">
        <v>29</v>
      </c>
      <c r="C912" s="3">
        <v>45702.217511574076</v>
      </c>
      <c r="D912" t="s">
        <v>158</v>
      </c>
      <c r="E912" s="4">
        <v>34.597999999999999</v>
      </c>
      <c r="F912" s="4">
        <v>441983.11099999998</v>
      </c>
      <c r="G912" s="4">
        <v>442017.70899999997</v>
      </c>
      <c r="H912" s="5">
        <f>1221 / 86400</f>
        <v>1.4131944444444445E-2</v>
      </c>
      <c r="I912" t="s">
        <v>30</v>
      </c>
      <c r="J912" t="s">
        <v>130</v>
      </c>
      <c r="K912" s="5">
        <f>5657 / 86400</f>
        <v>6.5474537037037039E-2</v>
      </c>
      <c r="L912" s="5">
        <f>14061 / 86400</f>
        <v>0.16274305555555554</v>
      </c>
    </row>
    <row r="913" spans="1:12" x14ac:dyDescent="0.25">
      <c r="A913" s="3">
        <v>45702.228217592594</v>
      </c>
      <c r="B913" t="s">
        <v>158</v>
      </c>
      <c r="C913" s="3">
        <v>45702.327743055561</v>
      </c>
      <c r="D913" t="s">
        <v>125</v>
      </c>
      <c r="E913" s="4">
        <v>50.674999999999997</v>
      </c>
      <c r="F913" s="4">
        <v>442017.70899999997</v>
      </c>
      <c r="G913" s="4">
        <v>442068.38400000002</v>
      </c>
      <c r="H913" s="5">
        <f>1780 / 86400</f>
        <v>2.060185185185185E-2</v>
      </c>
      <c r="I913" t="s">
        <v>73</v>
      </c>
      <c r="J913" t="s">
        <v>21</v>
      </c>
      <c r="K913" s="5">
        <f>8599 / 86400</f>
        <v>9.9525462962962968E-2</v>
      </c>
      <c r="L913" s="5">
        <f>1558 / 86400</f>
        <v>1.8032407407407407E-2</v>
      </c>
    </row>
    <row r="914" spans="1:12" x14ac:dyDescent="0.25">
      <c r="A914" s="3">
        <v>45702.345775462964</v>
      </c>
      <c r="B914" t="s">
        <v>125</v>
      </c>
      <c r="C914" s="3">
        <v>45702.351655092592</v>
      </c>
      <c r="D914" t="s">
        <v>128</v>
      </c>
      <c r="E914" s="4">
        <v>1.3360000000000001</v>
      </c>
      <c r="F914" s="4">
        <v>442068.38400000002</v>
      </c>
      <c r="G914" s="4">
        <v>442069.72</v>
      </c>
      <c r="H914" s="5">
        <f>159 / 86400</f>
        <v>1.8402777777777777E-3</v>
      </c>
      <c r="I914" t="s">
        <v>178</v>
      </c>
      <c r="J914" t="s">
        <v>57</v>
      </c>
      <c r="K914" s="5">
        <f>507 / 86400</f>
        <v>5.8680555555555552E-3</v>
      </c>
      <c r="L914" s="5">
        <f>289 / 86400</f>
        <v>3.3449074074074076E-3</v>
      </c>
    </row>
    <row r="915" spans="1:12" x14ac:dyDescent="0.25">
      <c r="A915" s="3">
        <v>45702.354999999996</v>
      </c>
      <c r="B915" t="s">
        <v>128</v>
      </c>
      <c r="C915" s="3">
        <v>45702.356180555551</v>
      </c>
      <c r="D915" t="s">
        <v>137</v>
      </c>
      <c r="E915" s="4">
        <v>4.7E-2</v>
      </c>
      <c r="F915" s="4">
        <v>442069.72</v>
      </c>
      <c r="G915" s="4">
        <v>442069.76699999999</v>
      </c>
      <c r="H915" s="5">
        <f>40 / 86400</f>
        <v>4.6296296296296298E-4</v>
      </c>
      <c r="I915" t="s">
        <v>57</v>
      </c>
      <c r="J915" t="s">
        <v>140</v>
      </c>
      <c r="K915" s="5">
        <f>101 / 86400</f>
        <v>1.1689814814814816E-3</v>
      </c>
      <c r="L915" s="5">
        <f>86 / 86400</f>
        <v>9.9537037037037042E-4</v>
      </c>
    </row>
    <row r="916" spans="1:12" x14ac:dyDescent="0.25">
      <c r="A916" s="3">
        <v>45702.357175925921</v>
      </c>
      <c r="B916" t="s">
        <v>137</v>
      </c>
      <c r="C916" s="3">
        <v>45702.481932870374</v>
      </c>
      <c r="D916" t="s">
        <v>148</v>
      </c>
      <c r="E916" s="4">
        <v>49.511000000000003</v>
      </c>
      <c r="F916" s="4">
        <v>442069.76699999999</v>
      </c>
      <c r="G916" s="4">
        <v>442119.27799999999</v>
      </c>
      <c r="H916" s="5">
        <f>3540 / 86400</f>
        <v>4.0972222222222222E-2</v>
      </c>
      <c r="I916" t="s">
        <v>27</v>
      </c>
      <c r="J916" t="s">
        <v>28</v>
      </c>
      <c r="K916" s="5">
        <f>10778 / 86400</f>
        <v>0.12474537037037037</v>
      </c>
      <c r="L916" s="5">
        <f>3830 / 86400</f>
        <v>4.4328703703703703E-2</v>
      </c>
    </row>
    <row r="917" spans="1:12" x14ac:dyDescent="0.25">
      <c r="A917" s="3">
        <v>45702.526261574079</v>
      </c>
      <c r="B917" t="s">
        <v>148</v>
      </c>
      <c r="C917" s="3">
        <v>45702.6796875</v>
      </c>
      <c r="D917" t="s">
        <v>85</v>
      </c>
      <c r="E917" s="4">
        <v>67.442999999999998</v>
      </c>
      <c r="F917" s="4">
        <v>442119.27799999999</v>
      </c>
      <c r="G917" s="4">
        <v>442186.72100000002</v>
      </c>
      <c r="H917" s="5">
        <f>3659 / 86400</f>
        <v>4.234953703703704E-2</v>
      </c>
      <c r="I917" t="s">
        <v>61</v>
      </c>
      <c r="J917" t="s">
        <v>24</v>
      </c>
      <c r="K917" s="5">
        <f>13256 / 86400</f>
        <v>0.15342592592592594</v>
      </c>
      <c r="L917" s="5">
        <f>97 / 86400</f>
        <v>1.1226851851851851E-3</v>
      </c>
    </row>
    <row r="918" spans="1:12" x14ac:dyDescent="0.25">
      <c r="A918" s="3">
        <v>45702.680810185186</v>
      </c>
      <c r="B918" t="s">
        <v>85</v>
      </c>
      <c r="C918" s="3">
        <v>45702.691481481481</v>
      </c>
      <c r="D918" t="s">
        <v>26</v>
      </c>
      <c r="E918" s="4">
        <v>2.6160000000000001</v>
      </c>
      <c r="F918" s="4">
        <v>442186.72100000002</v>
      </c>
      <c r="G918" s="4">
        <v>442189.337</v>
      </c>
      <c r="H918" s="5">
        <f>340 / 86400</f>
        <v>3.9351851851851848E-3</v>
      </c>
      <c r="I918" t="s">
        <v>184</v>
      </c>
      <c r="J918" t="s">
        <v>126</v>
      </c>
      <c r="K918" s="5">
        <f>921 / 86400</f>
        <v>1.0659722222222221E-2</v>
      </c>
      <c r="L918" s="5">
        <f>1219 / 86400</f>
        <v>1.4108796296296296E-2</v>
      </c>
    </row>
    <row r="919" spans="1:12" x14ac:dyDescent="0.25">
      <c r="A919" s="3">
        <v>45702.705590277779</v>
      </c>
      <c r="B919" t="s">
        <v>26</v>
      </c>
      <c r="C919" s="3">
        <v>45702.723553240736</v>
      </c>
      <c r="D919" t="s">
        <v>385</v>
      </c>
      <c r="E919" s="4">
        <v>7.2919999999999998</v>
      </c>
      <c r="F919" s="4">
        <v>442189.337</v>
      </c>
      <c r="G919" s="4">
        <v>442196.62900000002</v>
      </c>
      <c r="H919" s="5">
        <f>459 / 86400</f>
        <v>5.3125000000000004E-3</v>
      </c>
      <c r="I919" t="s">
        <v>335</v>
      </c>
      <c r="J919" t="s">
        <v>28</v>
      </c>
      <c r="K919" s="5">
        <f>1551 / 86400</f>
        <v>1.7951388888888888E-2</v>
      </c>
      <c r="L919" s="5">
        <f>3415 / 86400</f>
        <v>3.9525462962962964E-2</v>
      </c>
    </row>
    <row r="920" spans="1:12" x14ac:dyDescent="0.25">
      <c r="A920" s="3">
        <v>45702.763078703705</v>
      </c>
      <c r="B920" t="s">
        <v>385</v>
      </c>
      <c r="C920" s="3">
        <v>45702.803865740745</v>
      </c>
      <c r="D920" t="s">
        <v>165</v>
      </c>
      <c r="E920" s="4">
        <v>14.173999999999999</v>
      </c>
      <c r="F920" s="4">
        <v>442196.62900000002</v>
      </c>
      <c r="G920" s="4">
        <v>442210.80300000001</v>
      </c>
      <c r="H920" s="5">
        <f>880 / 86400</f>
        <v>1.0185185185185186E-2</v>
      </c>
      <c r="I920" t="s">
        <v>337</v>
      </c>
      <c r="J920" t="s">
        <v>59</v>
      </c>
      <c r="K920" s="5">
        <f>3524 / 86400</f>
        <v>4.0787037037037038E-2</v>
      </c>
      <c r="L920" s="5">
        <f>344 / 86400</f>
        <v>3.9814814814814817E-3</v>
      </c>
    </row>
    <row r="921" spans="1:12" x14ac:dyDescent="0.25">
      <c r="A921" s="3">
        <v>45702.807847222226</v>
      </c>
      <c r="B921" t="s">
        <v>165</v>
      </c>
      <c r="C921" s="3">
        <v>45702.812094907407</v>
      </c>
      <c r="D921" t="s">
        <v>29</v>
      </c>
      <c r="E921" s="4">
        <v>0.626</v>
      </c>
      <c r="F921" s="4">
        <v>442210.80300000001</v>
      </c>
      <c r="G921" s="4">
        <v>442211.429</v>
      </c>
      <c r="H921" s="5">
        <f>140 / 86400</f>
        <v>1.6203703703703703E-3</v>
      </c>
      <c r="I921" t="s">
        <v>35</v>
      </c>
      <c r="J921" t="s">
        <v>132</v>
      </c>
      <c r="K921" s="5">
        <f>367 / 86400</f>
        <v>4.2476851851851851E-3</v>
      </c>
      <c r="L921" s="5">
        <f>16234 / 86400</f>
        <v>0.18789351851851852</v>
      </c>
    </row>
    <row r="922" spans="1:1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2" s="10" customFormat="1" ht="20.100000000000001" customHeight="1" x14ac:dyDescent="0.35">
      <c r="A924" s="15" t="s">
        <v>454</v>
      </c>
      <c r="B924" s="15"/>
      <c r="C924" s="15"/>
      <c r="D924" s="15"/>
      <c r="E924" s="15"/>
      <c r="F924" s="15"/>
      <c r="G924" s="15"/>
      <c r="H924" s="15"/>
      <c r="I924" s="15"/>
      <c r="J924" s="15"/>
    </row>
    <row r="925" spans="1:1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</row>
    <row r="926" spans="1:12" ht="30" x14ac:dyDescent="0.25">
      <c r="A926" s="2" t="s">
        <v>6</v>
      </c>
      <c r="B926" s="2" t="s">
        <v>7</v>
      </c>
      <c r="C926" s="2" t="s">
        <v>8</v>
      </c>
      <c r="D926" s="2" t="s">
        <v>9</v>
      </c>
      <c r="E926" s="2" t="s">
        <v>10</v>
      </c>
      <c r="F926" s="2" t="s">
        <v>11</v>
      </c>
      <c r="G926" s="2" t="s">
        <v>12</v>
      </c>
      <c r="H926" s="2" t="s">
        <v>13</v>
      </c>
      <c r="I926" s="2" t="s">
        <v>14</v>
      </c>
      <c r="J926" s="2" t="s">
        <v>15</v>
      </c>
      <c r="K926" s="2" t="s">
        <v>16</v>
      </c>
      <c r="L926" s="2" t="s">
        <v>17</v>
      </c>
    </row>
    <row r="927" spans="1:12" x14ac:dyDescent="0.25">
      <c r="A927" s="3">
        <v>45702.00608796296</v>
      </c>
      <c r="B927" t="s">
        <v>80</v>
      </c>
      <c r="C927" s="3">
        <v>45702.00881944444</v>
      </c>
      <c r="D927" t="s">
        <v>386</v>
      </c>
      <c r="E927" s="4">
        <v>1.0129999999999999</v>
      </c>
      <c r="F927" s="4">
        <v>414081.185</v>
      </c>
      <c r="G927" s="4">
        <v>414082.19799999997</v>
      </c>
      <c r="H927" s="5">
        <f>40 / 86400</f>
        <v>4.6296296296296298E-4</v>
      </c>
      <c r="I927" t="s">
        <v>195</v>
      </c>
      <c r="J927" t="s">
        <v>31</v>
      </c>
      <c r="K927" s="5">
        <f>236 / 86400</f>
        <v>2.7314814814814814E-3</v>
      </c>
      <c r="L927" s="5">
        <f>610 / 86400</f>
        <v>7.060185185185185E-3</v>
      </c>
    </row>
    <row r="928" spans="1:12" x14ac:dyDescent="0.25">
      <c r="A928" s="3">
        <v>45702.009791666671</v>
      </c>
      <c r="B928" t="s">
        <v>386</v>
      </c>
      <c r="C928" s="3">
        <v>45702.010347222225</v>
      </c>
      <c r="D928" t="s">
        <v>81</v>
      </c>
      <c r="E928" s="4">
        <v>0.19600000000000001</v>
      </c>
      <c r="F928" s="4">
        <v>414082.19799999997</v>
      </c>
      <c r="G928" s="4">
        <v>414082.39399999997</v>
      </c>
      <c r="H928" s="5">
        <f>20 / 86400</f>
        <v>2.3148148148148149E-4</v>
      </c>
      <c r="I928" t="s">
        <v>24</v>
      </c>
      <c r="J928" t="s">
        <v>31</v>
      </c>
      <c r="K928" s="5">
        <f>48 / 86400</f>
        <v>5.5555555555555556E-4</v>
      </c>
      <c r="L928" s="5">
        <f>1788 / 86400</f>
        <v>2.0694444444444446E-2</v>
      </c>
    </row>
    <row r="929" spans="1:12" x14ac:dyDescent="0.25">
      <c r="A929" s="3">
        <v>45702.031041666662</v>
      </c>
      <c r="B929" t="s">
        <v>81</v>
      </c>
      <c r="C929" s="3">
        <v>45702.033217592594</v>
      </c>
      <c r="D929" t="s">
        <v>81</v>
      </c>
      <c r="E929" s="4">
        <v>0.38800000000000001</v>
      </c>
      <c r="F929" s="4">
        <v>414082.39399999997</v>
      </c>
      <c r="G929" s="4">
        <v>414082.78200000001</v>
      </c>
      <c r="H929" s="5">
        <f>80 / 86400</f>
        <v>9.2592592592592596E-4</v>
      </c>
      <c r="I929" t="s">
        <v>99</v>
      </c>
      <c r="J929" t="s">
        <v>138</v>
      </c>
      <c r="K929" s="5">
        <f>188 / 86400</f>
        <v>2.1759259259259258E-3</v>
      </c>
      <c r="L929" s="5">
        <f>9650 / 86400</f>
        <v>0.11168981481481481</v>
      </c>
    </row>
    <row r="930" spans="1:12" x14ac:dyDescent="0.25">
      <c r="A930" s="3">
        <v>45702.144907407404</v>
      </c>
      <c r="B930" t="s">
        <v>81</v>
      </c>
      <c r="C930" s="3">
        <v>45702.317997685182</v>
      </c>
      <c r="D930" t="s">
        <v>125</v>
      </c>
      <c r="E930" s="4">
        <v>88.738</v>
      </c>
      <c r="F930" s="4">
        <v>414082.78200000001</v>
      </c>
      <c r="G930" s="4">
        <v>414171.52</v>
      </c>
      <c r="H930" s="5">
        <f>3623 / 86400</f>
        <v>4.193287037037037E-2</v>
      </c>
      <c r="I930" t="s">
        <v>334</v>
      </c>
      <c r="J930" t="s">
        <v>21</v>
      </c>
      <c r="K930" s="5">
        <f>14954 / 86400</f>
        <v>0.17307870370370371</v>
      </c>
      <c r="L930" s="5">
        <f>1538 / 86400</f>
        <v>1.7800925925925925E-2</v>
      </c>
    </row>
    <row r="931" spans="1:12" x14ac:dyDescent="0.25">
      <c r="A931" s="3">
        <v>45702.335798611108</v>
      </c>
      <c r="B931" t="s">
        <v>125</v>
      </c>
      <c r="C931" s="3">
        <v>45702.34</v>
      </c>
      <c r="D931" t="s">
        <v>128</v>
      </c>
      <c r="E931" s="4">
        <v>1.355</v>
      </c>
      <c r="F931" s="4">
        <v>414171.52</v>
      </c>
      <c r="G931" s="4">
        <v>414172.875</v>
      </c>
      <c r="H931" s="5">
        <f>40 / 86400</f>
        <v>4.6296296296296298E-4</v>
      </c>
      <c r="I931" t="s">
        <v>189</v>
      </c>
      <c r="J931" t="s">
        <v>35</v>
      </c>
      <c r="K931" s="5">
        <f>363 / 86400</f>
        <v>4.2013888888888891E-3</v>
      </c>
      <c r="L931" s="5">
        <f>464 / 86400</f>
        <v>5.37037037037037E-3</v>
      </c>
    </row>
    <row r="932" spans="1:12" x14ac:dyDescent="0.25">
      <c r="A932" s="3">
        <v>45702.345370370371</v>
      </c>
      <c r="B932" t="s">
        <v>128</v>
      </c>
      <c r="C932" s="3">
        <v>45702.347268518519</v>
      </c>
      <c r="D932" t="s">
        <v>144</v>
      </c>
      <c r="E932" s="4">
        <v>0.219</v>
      </c>
      <c r="F932" s="4">
        <v>414172.875</v>
      </c>
      <c r="G932" s="4">
        <v>414173.09399999998</v>
      </c>
      <c r="H932" s="5">
        <f>59 / 86400</f>
        <v>6.8287037037037036E-4</v>
      </c>
      <c r="I932" t="s">
        <v>35</v>
      </c>
      <c r="J932" t="s">
        <v>127</v>
      </c>
      <c r="K932" s="5">
        <f>164 / 86400</f>
        <v>1.8981481481481482E-3</v>
      </c>
      <c r="L932" s="5">
        <f>210 / 86400</f>
        <v>2.4305555555555556E-3</v>
      </c>
    </row>
    <row r="933" spans="1:12" x14ac:dyDescent="0.25">
      <c r="A933" s="3">
        <v>45702.349699074075</v>
      </c>
      <c r="B933" t="s">
        <v>144</v>
      </c>
      <c r="C933" s="3">
        <v>45702.35087962963</v>
      </c>
      <c r="D933" t="s">
        <v>144</v>
      </c>
      <c r="E933" s="4">
        <v>0.26800000000000002</v>
      </c>
      <c r="F933" s="4">
        <v>414173.09399999998</v>
      </c>
      <c r="G933" s="4">
        <v>414173.36200000002</v>
      </c>
      <c r="H933" s="5">
        <f>38 / 86400</f>
        <v>4.3981481481481481E-4</v>
      </c>
      <c r="I933" t="s">
        <v>155</v>
      </c>
      <c r="J933" t="s">
        <v>57</v>
      </c>
      <c r="K933" s="5">
        <f>102 / 86400</f>
        <v>1.1805555555555556E-3</v>
      </c>
      <c r="L933" s="5">
        <f>590 / 86400</f>
        <v>6.828703703703704E-3</v>
      </c>
    </row>
    <row r="934" spans="1:12" x14ac:dyDescent="0.25">
      <c r="A934" s="3">
        <v>45702.357708333337</v>
      </c>
      <c r="B934" t="s">
        <v>387</v>
      </c>
      <c r="C934" s="3">
        <v>45702.361712962964</v>
      </c>
      <c r="D934" t="s">
        <v>146</v>
      </c>
      <c r="E934" s="4">
        <v>0.39500000000000002</v>
      </c>
      <c r="F934" s="4">
        <v>414173.36200000002</v>
      </c>
      <c r="G934" s="4">
        <v>414173.75699999998</v>
      </c>
      <c r="H934" s="5">
        <f>219 / 86400</f>
        <v>2.5347222222222221E-3</v>
      </c>
      <c r="I934" t="s">
        <v>130</v>
      </c>
      <c r="J934" t="s">
        <v>156</v>
      </c>
      <c r="K934" s="5">
        <f>345 / 86400</f>
        <v>3.9930555555555552E-3</v>
      </c>
      <c r="L934" s="5">
        <f>303 / 86400</f>
        <v>3.5069444444444445E-3</v>
      </c>
    </row>
    <row r="935" spans="1:12" x14ac:dyDescent="0.25">
      <c r="A935" s="3">
        <v>45702.365219907406</v>
      </c>
      <c r="B935" t="s">
        <v>146</v>
      </c>
      <c r="C935" s="3">
        <v>45702.365451388891</v>
      </c>
      <c r="D935" t="s">
        <v>146</v>
      </c>
      <c r="E935" s="4">
        <v>6.0000000000000001E-3</v>
      </c>
      <c r="F935" s="4">
        <v>414173.75699999998</v>
      </c>
      <c r="G935" s="4">
        <v>414173.76299999998</v>
      </c>
      <c r="H935" s="5">
        <f>0 / 86400</f>
        <v>0</v>
      </c>
      <c r="I935" t="s">
        <v>88</v>
      </c>
      <c r="J935" t="s">
        <v>120</v>
      </c>
      <c r="K935" s="5">
        <f>19 / 86400</f>
        <v>2.199074074074074E-4</v>
      </c>
      <c r="L935" s="5">
        <f>150 / 86400</f>
        <v>1.736111111111111E-3</v>
      </c>
    </row>
    <row r="936" spans="1:12" x14ac:dyDescent="0.25">
      <c r="A936" s="3">
        <v>45702.3671875</v>
      </c>
      <c r="B936" t="s">
        <v>146</v>
      </c>
      <c r="C936" s="3">
        <v>45702.36755787037</v>
      </c>
      <c r="D936" t="s">
        <v>146</v>
      </c>
      <c r="E936" s="4">
        <v>7.0000000000000001E-3</v>
      </c>
      <c r="F936" s="4">
        <v>414173.76299999998</v>
      </c>
      <c r="G936" s="4">
        <v>414173.77</v>
      </c>
      <c r="H936" s="5">
        <f>19 / 86400</f>
        <v>2.199074074074074E-4</v>
      </c>
      <c r="I936" t="s">
        <v>88</v>
      </c>
      <c r="J936" t="s">
        <v>120</v>
      </c>
      <c r="K936" s="5">
        <f>31 / 86400</f>
        <v>3.5879629629629629E-4</v>
      </c>
      <c r="L936" s="5">
        <f>291 / 86400</f>
        <v>3.3680555555555556E-3</v>
      </c>
    </row>
    <row r="937" spans="1:12" x14ac:dyDescent="0.25">
      <c r="A937" s="3">
        <v>45702.370925925927</v>
      </c>
      <c r="B937" t="s">
        <v>388</v>
      </c>
      <c r="C937" s="3">
        <v>45702.371527777781</v>
      </c>
      <c r="D937" t="s">
        <v>388</v>
      </c>
      <c r="E937" s="4">
        <v>0</v>
      </c>
      <c r="F937" s="4">
        <v>414173.77</v>
      </c>
      <c r="G937" s="4">
        <v>414173.77</v>
      </c>
      <c r="H937" s="5">
        <f>39 / 86400</f>
        <v>4.5138888888888887E-4</v>
      </c>
      <c r="I937" t="s">
        <v>88</v>
      </c>
      <c r="J937" t="s">
        <v>88</v>
      </c>
      <c r="K937" s="5">
        <f>51 / 86400</f>
        <v>5.9027777777777778E-4</v>
      </c>
      <c r="L937" s="5">
        <f>42 / 86400</f>
        <v>4.861111111111111E-4</v>
      </c>
    </row>
    <row r="938" spans="1:12" x14ac:dyDescent="0.25">
      <c r="A938" s="3">
        <v>45702.372013888889</v>
      </c>
      <c r="B938" t="s">
        <v>388</v>
      </c>
      <c r="C938" s="3">
        <v>45702.626585648148</v>
      </c>
      <c r="D938" t="s">
        <v>80</v>
      </c>
      <c r="E938" s="4">
        <v>110.861</v>
      </c>
      <c r="F938" s="4">
        <v>414173.77</v>
      </c>
      <c r="G938" s="4">
        <v>414284.63099999999</v>
      </c>
      <c r="H938" s="5">
        <f>7159 / 86400</f>
        <v>8.2858796296296292E-2</v>
      </c>
      <c r="I938" t="s">
        <v>73</v>
      </c>
      <c r="J938" t="s">
        <v>24</v>
      </c>
      <c r="K938" s="5">
        <f>21994 / 86400</f>
        <v>0.25456018518518519</v>
      </c>
      <c r="L938" s="5">
        <f>351 / 86400</f>
        <v>4.0625000000000001E-3</v>
      </c>
    </row>
    <row r="939" spans="1:12" x14ac:dyDescent="0.25">
      <c r="A939" s="3">
        <v>45702.630648148144</v>
      </c>
      <c r="B939" t="s">
        <v>80</v>
      </c>
      <c r="C939" s="3">
        <v>45702.63212962963</v>
      </c>
      <c r="D939" t="s">
        <v>104</v>
      </c>
      <c r="E939" s="4">
        <v>0.121</v>
      </c>
      <c r="F939" s="4">
        <v>414284.63099999999</v>
      </c>
      <c r="G939" s="4">
        <v>414284.75199999998</v>
      </c>
      <c r="H939" s="5">
        <f>59 / 86400</f>
        <v>6.8287037037037036E-4</v>
      </c>
      <c r="I939" t="s">
        <v>35</v>
      </c>
      <c r="J939" t="s">
        <v>152</v>
      </c>
      <c r="K939" s="5">
        <f>128 / 86400</f>
        <v>1.4814814814814814E-3</v>
      </c>
      <c r="L939" s="5">
        <f>1267 / 86400</f>
        <v>1.4664351851851852E-2</v>
      </c>
    </row>
    <row r="940" spans="1:12" x14ac:dyDescent="0.25">
      <c r="A940" s="3">
        <v>45702.646793981483</v>
      </c>
      <c r="B940" t="s">
        <v>104</v>
      </c>
      <c r="C940" s="3">
        <v>45702.650833333333</v>
      </c>
      <c r="D940" t="s">
        <v>80</v>
      </c>
      <c r="E940" s="4">
        <v>1.278</v>
      </c>
      <c r="F940" s="4">
        <v>414284.75199999998</v>
      </c>
      <c r="G940" s="4">
        <v>414286.03</v>
      </c>
      <c r="H940" s="5">
        <f>139 / 86400</f>
        <v>1.6087962962962963E-3</v>
      </c>
      <c r="I940" t="s">
        <v>245</v>
      </c>
      <c r="J940" t="s">
        <v>35</v>
      </c>
      <c r="K940" s="5">
        <f>348 / 86400</f>
        <v>4.0277777777777777E-3</v>
      </c>
      <c r="L940" s="5">
        <f>454 / 86400</f>
        <v>5.2546296296296299E-3</v>
      </c>
    </row>
    <row r="941" spans="1:12" x14ac:dyDescent="0.25">
      <c r="A941" s="3">
        <v>45702.656087962961</v>
      </c>
      <c r="B941" t="s">
        <v>80</v>
      </c>
      <c r="C941" s="3">
        <v>45702.658680555556</v>
      </c>
      <c r="D941" t="s">
        <v>80</v>
      </c>
      <c r="E941" s="4">
        <v>3.0000000000000001E-3</v>
      </c>
      <c r="F941" s="4">
        <v>414286.03</v>
      </c>
      <c r="G941" s="4">
        <v>414286.033</v>
      </c>
      <c r="H941" s="5">
        <f>219 / 86400</f>
        <v>2.5347222222222221E-3</v>
      </c>
      <c r="I941" t="s">
        <v>88</v>
      </c>
      <c r="J941" t="s">
        <v>88</v>
      </c>
      <c r="K941" s="5">
        <f>223 / 86400</f>
        <v>2.5810185185185185E-3</v>
      </c>
      <c r="L941" s="5">
        <f>232 / 86400</f>
        <v>2.685185185185185E-3</v>
      </c>
    </row>
    <row r="942" spans="1:12" x14ac:dyDescent="0.25">
      <c r="A942" s="3">
        <v>45702.661365740743</v>
      </c>
      <c r="B942" t="s">
        <v>80</v>
      </c>
      <c r="C942" s="3">
        <v>45702.765682870369</v>
      </c>
      <c r="D942" t="s">
        <v>188</v>
      </c>
      <c r="E942" s="4">
        <v>48.58</v>
      </c>
      <c r="F942" s="4">
        <v>414286.033</v>
      </c>
      <c r="G942" s="4">
        <v>414334.61300000001</v>
      </c>
      <c r="H942" s="5">
        <f>3120 / 86400</f>
        <v>3.6111111111111108E-2</v>
      </c>
      <c r="I942" t="s">
        <v>20</v>
      </c>
      <c r="J942" t="s">
        <v>99</v>
      </c>
      <c r="K942" s="5">
        <f>9012 / 86400</f>
        <v>0.10430555555555555</v>
      </c>
      <c r="L942" s="5">
        <f>55 / 86400</f>
        <v>6.3657407407407413E-4</v>
      </c>
    </row>
    <row r="943" spans="1:12" x14ac:dyDescent="0.25">
      <c r="A943" s="3">
        <v>45702.766319444447</v>
      </c>
      <c r="B943" t="s">
        <v>188</v>
      </c>
      <c r="C943" s="3">
        <v>45702.839398148149</v>
      </c>
      <c r="D943" t="s">
        <v>228</v>
      </c>
      <c r="E943" s="4">
        <v>29.798999999999999</v>
      </c>
      <c r="F943" s="4">
        <v>414334.61300000001</v>
      </c>
      <c r="G943" s="4">
        <v>414364.41200000001</v>
      </c>
      <c r="H943" s="5">
        <f>2438 / 86400</f>
        <v>2.8217592592592593E-2</v>
      </c>
      <c r="I943" t="s">
        <v>73</v>
      </c>
      <c r="J943" t="s">
        <v>28</v>
      </c>
      <c r="K943" s="5">
        <f>6313 / 86400</f>
        <v>7.3067129629629635E-2</v>
      </c>
      <c r="L943" s="5">
        <f>110 / 86400</f>
        <v>1.2731481481481483E-3</v>
      </c>
    </row>
    <row r="944" spans="1:12" x14ac:dyDescent="0.25">
      <c r="A944" s="3">
        <v>45702.840671296297</v>
      </c>
      <c r="B944" t="s">
        <v>228</v>
      </c>
      <c r="C944" s="3">
        <v>45702.844085648147</v>
      </c>
      <c r="D944" t="s">
        <v>228</v>
      </c>
      <c r="E944" s="4">
        <v>2.8000000000000001E-2</v>
      </c>
      <c r="F944" s="4">
        <v>414364.41200000001</v>
      </c>
      <c r="G944" s="4">
        <v>414364.44</v>
      </c>
      <c r="H944" s="5">
        <f>279 / 86400</f>
        <v>3.2291666666666666E-3</v>
      </c>
      <c r="I944" t="s">
        <v>132</v>
      </c>
      <c r="J944" t="s">
        <v>88</v>
      </c>
      <c r="K944" s="5">
        <f>294 / 86400</f>
        <v>3.4027777777777776E-3</v>
      </c>
      <c r="L944" s="5">
        <f>71 / 86400</f>
        <v>8.2175925925925927E-4</v>
      </c>
    </row>
    <row r="945" spans="1:12" x14ac:dyDescent="0.25">
      <c r="A945" s="3">
        <v>45702.844907407409</v>
      </c>
      <c r="B945" t="s">
        <v>228</v>
      </c>
      <c r="C945" s="3">
        <v>45702.99998842593</v>
      </c>
      <c r="D945" t="s">
        <v>69</v>
      </c>
      <c r="E945" s="4">
        <v>65.093000000000004</v>
      </c>
      <c r="F945" s="4">
        <v>414364.44</v>
      </c>
      <c r="G945" s="4">
        <v>414429.533</v>
      </c>
      <c r="H945" s="5">
        <f>4979 / 86400</f>
        <v>5.7627314814814812E-2</v>
      </c>
      <c r="I945" t="s">
        <v>77</v>
      </c>
      <c r="J945" t="s">
        <v>28</v>
      </c>
      <c r="K945" s="5">
        <f>13399 / 86400</f>
        <v>0.15508101851851852</v>
      </c>
      <c r="L945" s="5">
        <f>0 / 86400</f>
        <v>0</v>
      </c>
    </row>
    <row r="946" spans="1:1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</row>
    <row r="947" spans="1:1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2" s="10" customFormat="1" ht="20.100000000000001" customHeight="1" x14ac:dyDescent="0.35">
      <c r="A948" s="15" t="s">
        <v>455</v>
      </c>
      <c r="B948" s="15"/>
      <c r="C948" s="15"/>
      <c r="D948" s="15"/>
      <c r="E948" s="15"/>
      <c r="F948" s="15"/>
      <c r="G948" s="15"/>
      <c r="H948" s="15"/>
      <c r="I948" s="15"/>
      <c r="J948" s="15"/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ht="30" x14ac:dyDescent="0.25">
      <c r="A950" s="2" t="s">
        <v>6</v>
      </c>
      <c r="B950" s="2" t="s">
        <v>7</v>
      </c>
      <c r="C950" s="2" t="s">
        <v>8</v>
      </c>
      <c r="D950" s="2" t="s">
        <v>9</v>
      </c>
      <c r="E950" s="2" t="s">
        <v>10</v>
      </c>
      <c r="F950" s="2" t="s">
        <v>11</v>
      </c>
      <c r="G950" s="2" t="s">
        <v>12</v>
      </c>
      <c r="H950" s="2" t="s">
        <v>13</v>
      </c>
      <c r="I950" s="2" t="s">
        <v>14</v>
      </c>
      <c r="J950" s="2" t="s">
        <v>15</v>
      </c>
      <c r="K950" s="2" t="s">
        <v>16</v>
      </c>
      <c r="L950" s="2" t="s">
        <v>17</v>
      </c>
    </row>
    <row r="951" spans="1:12" x14ac:dyDescent="0.25">
      <c r="A951" s="3">
        <v>45702.170671296291</v>
      </c>
      <c r="B951" t="s">
        <v>29</v>
      </c>
      <c r="C951" s="3">
        <v>45702.172407407408</v>
      </c>
      <c r="D951" t="s">
        <v>29</v>
      </c>
      <c r="E951" s="4">
        <v>3.4000000000000002E-2</v>
      </c>
      <c r="F951" s="4">
        <v>328096.06</v>
      </c>
      <c r="G951" s="4">
        <v>328096.09399999998</v>
      </c>
      <c r="H951" s="5">
        <f>99 / 86400</f>
        <v>1.1458333333333333E-3</v>
      </c>
      <c r="I951" t="s">
        <v>127</v>
      </c>
      <c r="J951" t="s">
        <v>120</v>
      </c>
      <c r="K951" s="5">
        <f>150 / 86400</f>
        <v>1.736111111111111E-3</v>
      </c>
      <c r="L951" s="5">
        <f>14983 / 86400</f>
        <v>0.17341435185185186</v>
      </c>
    </row>
    <row r="952" spans="1:12" x14ac:dyDescent="0.25">
      <c r="A952" s="3">
        <v>45702.175150462965</v>
      </c>
      <c r="B952" t="s">
        <v>29</v>
      </c>
      <c r="C952" s="3">
        <v>45702.321226851855</v>
      </c>
      <c r="D952" t="s">
        <v>87</v>
      </c>
      <c r="E952" s="4">
        <v>79.028000000000006</v>
      </c>
      <c r="F952" s="4">
        <v>328096.09399999998</v>
      </c>
      <c r="G952" s="4">
        <v>328175.12199999997</v>
      </c>
      <c r="H952" s="5">
        <f>2518 / 86400</f>
        <v>2.914351851851852E-2</v>
      </c>
      <c r="I952" t="s">
        <v>84</v>
      </c>
      <c r="J952" t="s">
        <v>37</v>
      </c>
      <c r="K952" s="5">
        <f>12621 / 86400</f>
        <v>0.14607638888888888</v>
      </c>
      <c r="L952" s="5">
        <f>2921 / 86400</f>
        <v>3.380787037037037E-2</v>
      </c>
    </row>
    <row r="953" spans="1:12" x14ac:dyDescent="0.25">
      <c r="A953" s="3">
        <v>45702.355034722219</v>
      </c>
      <c r="B953" t="s">
        <v>87</v>
      </c>
      <c r="C953" s="3">
        <v>45702.357488425929</v>
      </c>
      <c r="D953" t="s">
        <v>87</v>
      </c>
      <c r="E953" s="4">
        <v>0.25600000000000001</v>
      </c>
      <c r="F953" s="4">
        <v>328175.12199999997</v>
      </c>
      <c r="G953" s="4">
        <v>328175.37800000003</v>
      </c>
      <c r="H953" s="5">
        <f>99 / 86400</f>
        <v>1.1458333333333333E-3</v>
      </c>
      <c r="I953" t="s">
        <v>34</v>
      </c>
      <c r="J953" t="s">
        <v>156</v>
      </c>
      <c r="K953" s="5">
        <f>211 / 86400</f>
        <v>2.4421296296296296E-3</v>
      </c>
      <c r="L953" s="5">
        <f>1904 / 86400</f>
        <v>2.2037037037037036E-2</v>
      </c>
    </row>
    <row r="954" spans="1:12" x14ac:dyDescent="0.25">
      <c r="A954" s="3">
        <v>45702.379525462966</v>
      </c>
      <c r="B954" t="s">
        <v>87</v>
      </c>
      <c r="C954" s="3">
        <v>45702.38480324074</v>
      </c>
      <c r="D954" t="s">
        <v>125</v>
      </c>
      <c r="E954" s="4">
        <v>0.95</v>
      </c>
      <c r="F954" s="4">
        <v>328175.37800000003</v>
      </c>
      <c r="G954" s="4">
        <v>328176.32799999998</v>
      </c>
      <c r="H954" s="5">
        <f>100 / 86400</f>
        <v>1.1574074074074073E-3</v>
      </c>
      <c r="I954" t="s">
        <v>37</v>
      </c>
      <c r="J954" t="s">
        <v>123</v>
      </c>
      <c r="K954" s="5">
        <f>456 / 86400</f>
        <v>5.2777777777777779E-3</v>
      </c>
      <c r="L954" s="5">
        <f>2264 / 86400</f>
        <v>2.6203703703703705E-2</v>
      </c>
    </row>
    <row r="955" spans="1:12" x14ac:dyDescent="0.25">
      <c r="A955" s="3">
        <v>45702.411006944443</v>
      </c>
      <c r="B955" t="s">
        <v>125</v>
      </c>
      <c r="C955" s="3">
        <v>45702.538148148145</v>
      </c>
      <c r="D955" t="s">
        <v>389</v>
      </c>
      <c r="E955" s="4">
        <v>51.905999999999999</v>
      </c>
      <c r="F955" s="4">
        <v>328176.32799999998</v>
      </c>
      <c r="G955" s="4">
        <v>328228.234</v>
      </c>
      <c r="H955" s="5">
        <f>3400 / 86400</f>
        <v>3.9351851851851853E-2</v>
      </c>
      <c r="I955" t="s">
        <v>49</v>
      </c>
      <c r="J955" t="s">
        <v>28</v>
      </c>
      <c r="K955" s="5">
        <f>10984 / 86400</f>
        <v>0.12712962962962962</v>
      </c>
      <c r="L955" s="5">
        <f>1297 / 86400</f>
        <v>1.5011574074074075E-2</v>
      </c>
    </row>
    <row r="956" spans="1:12" x14ac:dyDescent="0.25">
      <c r="A956" s="3">
        <v>45702.553159722222</v>
      </c>
      <c r="B956" t="s">
        <v>390</v>
      </c>
      <c r="C956" s="3">
        <v>45702.700659722221</v>
      </c>
      <c r="D956" t="s">
        <v>26</v>
      </c>
      <c r="E956" s="4">
        <v>49.973999999999997</v>
      </c>
      <c r="F956" s="4">
        <v>328228.234</v>
      </c>
      <c r="G956" s="4">
        <v>328278.20799999998</v>
      </c>
      <c r="H956" s="5">
        <f>4160 / 86400</f>
        <v>4.8148148148148148E-2</v>
      </c>
      <c r="I956" t="s">
        <v>212</v>
      </c>
      <c r="J956" t="s">
        <v>59</v>
      </c>
      <c r="K956" s="5">
        <f>12744 / 86400</f>
        <v>0.14749999999999999</v>
      </c>
      <c r="L956" s="5">
        <f>262 / 86400</f>
        <v>3.0324074074074073E-3</v>
      </c>
    </row>
    <row r="957" spans="1:12" x14ac:dyDescent="0.25">
      <c r="A957" s="3">
        <v>45702.703692129631</v>
      </c>
      <c r="B957" t="s">
        <v>26</v>
      </c>
      <c r="C957" s="3">
        <v>45702.706099537041</v>
      </c>
      <c r="D957" t="s">
        <v>29</v>
      </c>
      <c r="E957" s="4">
        <v>0.51700000000000002</v>
      </c>
      <c r="F957" s="4">
        <v>328278.20799999998</v>
      </c>
      <c r="G957" s="4">
        <v>328278.72499999998</v>
      </c>
      <c r="H957" s="5">
        <f>59 / 86400</f>
        <v>6.8287037037037036E-4</v>
      </c>
      <c r="I957" t="s">
        <v>21</v>
      </c>
      <c r="J957" t="s">
        <v>57</v>
      </c>
      <c r="K957" s="5">
        <f>208 / 86400</f>
        <v>2.4074074074074076E-3</v>
      </c>
      <c r="L957" s="5">
        <f>434 / 86400</f>
        <v>5.0231481481481481E-3</v>
      </c>
    </row>
    <row r="958" spans="1:12" x14ac:dyDescent="0.25">
      <c r="A958" s="3">
        <v>45702.711122685185</v>
      </c>
      <c r="B958" t="s">
        <v>29</v>
      </c>
      <c r="C958" s="3">
        <v>45702.712037037039</v>
      </c>
      <c r="D958" t="s">
        <v>29</v>
      </c>
      <c r="E958" s="4">
        <v>0.04</v>
      </c>
      <c r="F958" s="4">
        <v>328278.72499999998</v>
      </c>
      <c r="G958" s="4">
        <v>328278.76500000001</v>
      </c>
      <c r="H958" s="5">
        <f>59 / 86400</f>
        <v>6.8287037037037036E-4</v>
      </c>
      <c r="I958" t="s">
        <v>132</v>
      </c>
      <c r="J958" t="s">
        <v>140</v>
      </c>
      <c r="K958" s="5">
        <f>79 / 86400</f>
        <v>9.1435185185185185E-4</v>
      </c>
      <c r="L958" s="5">
        <f>24879 / 86400</f>
        <v>0.28795138888888888</v>
      </c>
    </row>
    <row r="959" spans="1:1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</row>
    <row r="960" spans="1:1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</row>
    <row r="961" spans="1:12" s="10" customFormat="1" ht="20.100000000000001" customHeight="1" x14ac:dyDescent="0.35">
      <c r="A961" s="15" t="s">
        <v>456</v>
      </c>
      <c r="B961" s="15"/>
      <c r="C961" s="15"/>
      <c r="D961" s="15"/>
      <c r="E961" s="15"/>
      <c r="F961" s="15"/>
      <c r="G961" s="15"/>
      <c r="H961" s="15"/>
      <c r="I961" s="15"/>
      <c r="J961" s="15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ht="30" x14ac:dyDescent="0.25">
      <c r="A963" s="2" t="s">
        <v>6</v>
      </c>
      <c r="B963" s="2" t="s">
        <v>7</v>
      </c>
      <c r="C963" s="2" t="s">
        <v>8</v>
      </c>
      <c r="D963" s="2" t="s">
        <v>9</v>
      </c>
      <c r="E963" s="2" t="s">
        <v>10</v>
      </c>
      <c r="F963" s="2" t="s">
        <v>11</v>
      </c>
      <c r="G963" s="2" t="s">
        <v>12</v>
      </c>
      <c r="H963" s="2" t="s">
        <v>13</v>
      </c>
      <c r="I963" s="2" t="s">
        <v>14</v>
      </c>
      <c r="J963" s="2" t="s">
        <v>15</v>
      </c>
      <c r="K963" s="2" t="s">
        <v>16</v>
      </c>
      <c r="L963" s="2" t="s">
        <v>17</v>
      </c>
    </row>
    <row r="964" spans="1:12" x14ac:dyDescent="0.25">
      <c r="A964" s="3">
        <v>45702.334328703699</v>
      </c>
      <c r="B964" t="s">
        <v>29</v>
      </c>
      <c r="C964" s="3">
        <v>45702.337754629625</v>
      </c>
      <c r="D964" t="s">
        <v>165</v>
      </c>
      <c r="E964" s="4">
        <v>0.72599999999999998</v>
      </c>
      <c r="F964" s="4">
        <v>360314.783</v>
      </c>
      <c r="G964" s="4">
        <v>360315.50900000002</v>
      </c>
      <c r="H964" s="5">
        <f>39 / 86400</f>
        <v>4.5138888888888887E-4</v>
      </c>
      <c r="I964" t="s">
        <v>21</v>
      </c>
      <c r="J964" t="s">
        <v>57</v>
      </c>
      <c r="K964" s="5">
        <f>296 / 86400</f>
        <v>3.425925925925926E-3</v>
      </c>
      <c r="L964" s="5">
        <f>35725 / 86400</f>
        <v>0.41348379629629628</v>
      </c>
    </row>
    <row r="965" spans="1:12" x14ac:dyDescent="0.25">
      <c r="A965" s="3">
        <v>45702.416909722218</v>
      </c>
      <c r="B965" t="s">
        <v>165</v>
      </c>
      <c r="C965" s="3">
        <v>45702.418136574073</v>
      </c>
      <c r="D965" t="s">
        <v>165</v>
      </c>
      <c r="E965" s="4">
        <v>2.1999999999999999E-2</v>
      </c>
      <c r="F965" s="4">
        <v>360315.50900000002</v>
      </c>
      <c r="G965" s="4">
        <v>360315.53100000002</v>
      </c>
      <c r="H965" s="5">
        <f>40 / 86400</f>
        <v>4.6296296296296298E-4</v>
      </c>
      <c r="I965" t="s">
        <v>132</v>
      </c>
      <c r="J965" t="s">
        <v>120</v>
      </c>
      <c r="K965" s="5">
        <f>106 / 86400</f>
        <v>1.2268518518518518E-3</v>
      </c>
      <c r="L965" s="5">
        <f>3419 / 86400</f>
        <v>3.9571759259259258E-2</v>
      </c>
    </row>
    <row r="966" spans="1:12" x14ac:dyDescent="0.25">
      <c r="A966" s="3">
        <v>45702.457708333328</v>
      </c>
      <c r="B966" t="s">
        <v>165</v>
      </c>
      <c r="C966" s="3">
        <v>45702.461377314816</v>
      </c>
      <c r="D966" t="s">
        <v>29</v>
      </c>
      <c r="E966" s="4">
        <v>1.141</v>
      </c>
      <c r="F966" s="4">
        <v>360315.53100000002</v>
      </c>
      <c r="G966" s="4">
        <v>360316.67200000002</v>
      </c>
      <c r="H966" s="5">
        <f>38 / 86400</f>
        <v>4.3981481481481481E-4</v>
      </c>
      <c r="I966" t="s">
        <v>272</v>
      </c>
      <c r="J966" t="s">
        <v>35</v>
      </c>
      <c r="K966" s="5">
        <f>316 / 86400</f>
        <v>3.6574074074074074E-3</v>
      </c>
      <c r="L966" s="5">
        <f>339 / 86400</f>
        <v>3.9236111111111112E-3</v>
      </c>
    </row>
    <row r="967" spans="1:12" x14ac:dyDescent="0.25">
      <c r="A967" s="3">
        <v>45702.465300925927</v>
      </c>
      <c r="B967" t="s">
        <v>29</v>
      </c>
      <c r="C967" s="3">
        <v>45702.465995370367</v>
      </c>
      <c r="D967" t="s">
        <v>29</v>
      </c>
      <c r="E967" s="4">
        <v>0</v>
      </c>
      <c r="F967" s="4">
        <v>360316.67200000002</v>
      </c>
      <c r="G967" s="4">
        <v>360316.67200000002</v>
      </c>
      <c r="H967" s="5">
        <f>39 / 86400</f>
        <v>4.5138888888888887E-4</v>
      </c>
      <c r="I967" t="s">
        <v>88</v>
      </c>
      <c r="J967" t="s">
        <v>88</v>
      </c>
      <c r="K967" s="5">
        <f>59 / 86400</f>
        <v>6.8287037037037036E-4</v>
      </c>
      <c r="L967" s="5">
        <f>5206 / 86400</f>
        <v>6.025462962962963E-2</v>
      </c>
    </row>
    <row r="968" spans="1:12" x14ac:dyDescent="0.25">
      <c r="A968" s="3">
        <v>45702.526249999995</v>
      </c>
      <c r="B968" t="s">
        <v>29</v>
      </c>
      <c r="C968" s="3">
        <v>45702.528796296298</v>
      </c>
      <c r="D968" t="s">
        <v>29</v>
      </c>
      <c r="E968" s="4">
        <v>4.0000000000000001E-3</v>
      </c>
      <c r="F968" s="4">
        <v>360316.67200000002</v>
      </c>
      <c r="G968" s="4">
        <v>360316.67599999998</v>
      </c>
      <c r="H968" s="5">
        <f>200 / 86400</f>
        <v>2.3148148148148147E-3</v>
      </c>
      <c r="I968" t="s">
        <v>88</v>
      </c>
      <c r="J968" t="s">
        <v>88</v>
      </c>
      <c r="K968" s="5">
        <f>220 / 86400</f>
        <v>2.5462962962962965E-3</v>
      </c>
      <c r="L968" s="5">
        <f>816 / 86400</f>
        <v>9.4444444444444445E-3</v>
      </c>
    </row>
    <row r="969" spans="1:12" x14ac:dyDescent="0.25">
      <c r="A969" s="3">
        <v>45702.538240740745</v>
      </c>
      <c r="B969" t="s">
        <v>29</v>
      </c>
      <c r="C969" s="3">
        <v>45702.630462962959</v>
      </c>
      <c r="D969" t="s">
        <v>369</v>
      </c>
      <c r="E969" s="4">
        <v>31.39</v>
      </c>
      <c r="F969" s="4">
        <v>360316.67599999998</v>
      </c>
      <c r="G969" s="4">
        <v>360348.06599999999</v>
      </c>
      <c r="H969" s="5">
        <f>2979 / 86400</f>
        <v>3.4479166666666665E-2</v>
      </c>
      <c r="I969" t="s">
        <v>233</v>
      </c>
      <c r="J969" t="s">
        <v>59</v>
      </c>
      <c r="K969" s="5">
        <f>7968 / 86400</f>
        <v>9.2222222222222219E-2</v>
      </c>
      <c r="L969" s="5">
        <f>301 / 86400</f>
        <v>3.4837962962962965E-3</v>
      </c>
    </row>
    <row r="970" spans="1:12" x14ac:dyDescent="0.25">
      <c r="A970" s="3">
        <v>45702.633946759262</v>
      </c>
      <c r="B970" t="s">
        <v>374</v>
      </c>
      <c r="C970" s="3">
        <v>45702.759594907402</v>
      </c>
      <c r="D970" t="s">
        <v>391</v>
      </c>
      <c r="E970" s="4">
        <v>48.936</v>
      </c>
      <c r="F970" s="4">
        <v>360348.06599999999</v>
      </c>
      <c r="G970" s="4">
        <v>360397.00199999998</v>
      </c>
      <c r="H970" s="5">
        <f>3380 / 86400</f>
        <v>3.9120370370370368E-2</v>
      </c>
      <c r="I970" t="s">
        <v>235</v>
      </c>
      <c r="J970" t="s">
        <v>34</v>
      </c>
      <c r="K970" s="5">
        <f>10855 / 86400</f>
        <v>0.12563657407407408</v>
      </c>
      <c r="L970" s="5">
        <f>2770 / 86400</f>
        <v>3.2060185185185185E-2</v>
      </c>
    </row>
    <row r="971" spans="1:12" x14ac:dyDescent="0.25">
      <c r="A971" s="3">
        <v>45702.791655092587</v>
      </c>
      <c r="B971" t="s">
        <v>391</v>
      </c>
      <c r="C971" s="3">
        <v>45702.794502314813</v>
      </c>
      <c r="D971" t="s">
        <v>128</v>
      </c>
      <c r="E971" s="4">
        <v>0.438</v>
      </c>
      <c r="F971" s="4">
        <v>360397.00199999998</v>
      </c>
      <c r="G971" s="4">
        <v>360397.44</v>
      </c>
      <c r="H971" s="5">
        <f>99 / 86400</f>
        <v>1.1458333333333333E-3</v>
      </c>
      <c r="I971" t="s">
        <v>145</v>
      </c>
      <c r="J971" t="s">
        <v>132</v>
      </c>
      <c r="K971" s="5">
        <f>246 / 86400</f>
        <v>2.8472222222222223E-3</v>
      </c>
      <c r="L971" s="5">
        <f>505 / 86400</f>
        <v>5.8449074074074072E-3</v>
      </c>
    </row>
    <row r="972" spans="1:12" x14ac:dyDescent="0.25">
      <c r="A972" s="3">
        <v>45702.800347222219</v>
      </c>
      <c r="B972" t="s">
        <v>363</v>
      </c>
      <c r="C972" s="3">
        <v>45702.99998842593</v>
      </c>
      <c r="D972" t="s">
        <v>85</v>
      </c>
      <c r="E972" s="4">
        <v>72.254999999999995</v>
      </c>
      <c r="F972" s="4">
        <v>360397.38299999997</v>
      </c>
      <c r="G972" s="4">
        <v>360469.63799999998</v>
      </c>
      <c r="H972" s="5">
        <f>7040 / 86400</f>
        <v>8.1481481481481488E-2</v>
      </c>
      <c r="I972" t="s">
        <v>73</v>
      </c>
      <c r="J972" t="s">
        <v>31</v>
      </c>
      <c r="K972" s="5">
        <f>17249 / 86400</f>
        <v>0.1996412037037037</v>
      </c>
      <c r="L972" s="5">
        <f>0 / 86400</f>
        <v>0</v>
      </c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2" s="10" customFormat="1" ht="20.100000000000001" customHeight="1" x14ac:dyDescent="0.35">
      <c r="A975" s="15" t="s">
        <v>457</v>
      </c>
      <c r="B975" s="15"/>
      <c r="C975" s="15"/>
      <c r="D975" s="15"/>
      <c r="E975" s="15"/>
      <c r="F975" s="15"/>
      <c r="G975" s="15"/>
      <c r="H975" s="15"/>
      <c r="I975" s="15"/>
      <c r="J975" s="15"/>
    </row>
    <row r="976" spans="1:1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</row>
    <row r="977" spans="1:12" ht="30" x14ac:dyDescent="0.25">
      <c r="A977" s="2" t="s">
        <v>6</v>
      </c>
      <c r="B977" s="2" t="s">
        <v>7</v>
      </c>
      <c r="C977" s="2" t="s">
        <v>8</v>
      </c>
      <c r="D977" s="2" t="s">
        <v>9</v>
      </c>
      <c r="E977" s="2" t="s">
        <v>10</v>
      </c>
      <c r="F977" s="2" t="s">
        <v>11</v>
      </c>
      <c r="G977" s="2" t="s">
        <v>12</v>
      </c>
      <c r="H977" s="2" t="s">
        <v>13</v>
      </c>
      <c r="I977" s="2" t="s">
        <v>14</v>
      </c>
      <c r="J977" s="2" t="s">
        <v>15</v>
      </c>
      <c r="K977" s="2" t="s">
        <v>16</v>
      </c>
      <c r="L977" s="2" t="s">
        <v>17</v>
      </c>
    </row>
    <row r="978" spans="1:12" x14ac:dyDescent="0.25">
      <c r="A978" s="3">
        <v>45702.272523148145</v>
      </c>
      <c r="B978" t="s">
        <v>86</v>
      </c>
      <c r="C978" s="3">
        <v>45702.533136574071</v>
      </c>
      <c r="D978" t="s">
        <v>356</v>
      </c>
      <c r="E978" s="4">
        <v>106.236</v>
      </c>
      <c r="F978" s="4">
        <v>81594.570000000007</v>
      </c>
      <c r="G978" s="4">
        <v>81700.805999999997</v>
      </c>
      <c r="H978" s="5">
        <f>6798 / 86400</f>
        <v>7.8680555555555559E-2</v>
      </c>
      <c r="I978" t="s">
        <v>27</v>
      </c>
      <c r="J978" t="s">
        <v>28</v>
      </c>
      <c r="K978" s="5">
        <f>22516 / 86400</f>
        <v>0.26060185185185186</v>
      </c>
      <c r="L978" s="5">
        <f>23998 / 86400</f>
        <v>0.27775462962962966</v>
      </c>
    </row>
    <row r="979" spans="1:12" x14ac:dyDescent="0.25">
      <c r="A979" s="3">
        <v>45702.538368055553</v>
      </c>
      <c r="B979" t="s">
        <v>356</v>
      </c>
      <c r="C979" s="3">
        <v>45702.538715277777</v>
      </c>
      <c r="D979" t="s">
        <v>356</v>
      </c>
      <c r="E979" s="4">
        <v>0</v>
      </c>
      <c r="F979" s="4">
        <v>81700.805999999997</v>
      </c>
      <c r="G979" s="4">
        <v>81700.805999999997</v>
      </c>
      <c r="H979" s="5">
        <f>19 / 86400</f>
        <v>2.199074074074074E-4</v>
      </c>
      <c r="I979" t="s">
        <v>88</v>
      </c>
      <c r="J979" t="s">
        <v>88</v>
      </c>
      <c r="K979" s="5">
        <f>29 / 86400</f>
        <v>3.3564814814814812E-4</v>
      </c>
      <c r="L979" s="5">
        <f>3 / 86400</f>
        <v>3.4722222222222222E-5</v>
      </c>
    </row>
    <row r="980" spans="1:12" x14ac:dyDescent="0.25">
      <c r="A980" s="3">
        <v>45702.53875</v>
      </c>
      <c r="B980" t="s">
        <v>356</v>
      </c>
      <c r="C980" s="3">
        <v>45702.542303240742</v>
      </c>
      <c r="D980" t="s">
        <v>86</v>
      </c>
      <c r="E980" s="4">
        <v>1.147</v>
      </c>
      <c r="F980" s="4">
        <v>81700.805999999997</v>
      </c>
      <c r="G980" s="4">
        <v>81701.952999999994</v>
      </c>
      <c r="H980" s="5">
        <f>67 / 86400</f>
        <v>7.7546296296296293E-4</v>
      </c>
      <c r="I980" t="s">
        <v>168</v>
      </c>
      <c r="J980" t="s">
        <v>35</v>
      </c>
      <c r="K980" s="5">
        <f>307 / 86400</f>
        <v>3.5532407407407409E-3</v>
      </c>
      <c r="L980" s="5">
        <f>7632 / 86400</f>
        <v>8.8333333333333333E-2</v>
      </c>
    </row>
    <row r="981" spans="1:12" x14ac:dyDescent="0.25">
      <c r="A981" s="3">
        <v>45702.630636574075</v>
      </c>
      <c r="B981" t="s">
        <v>86</v>
      </c>
      <c r="C981" s="3">
        <v>45702.631979166668</v>
      </c>
      <c r="D981" t="s">
        <v>86</v>
      </c>
      <c r="E981" s="4">
        <v>0</v>
      </c>
      <c r="F981" s="4">
        <v>81701.952999999994</v>
      </c>
      <c r="G981" s="4">
        <v>81701.952999999994</v>
      </c>
      <c r="H981" s="5">
        <f>99 / 86400</f>
        <v>1.1458333333333333E-3</v>
      </c>
      <c r="I981" t="s">
        <v>88</v>
      </c>
      <c r="J981" t="s">
        <v>88</v>
      </c>
      <c r="K981" s="5">
        <f>116 / 86400</f>
        <v>1.3425925925925925E-3</v>
      </c>
      <c r="L981" s="5">
        <f>6 / 86400</f>
        <v>6.9444444444444444E-5</v>
      </c>
    </row>
    <row r="982" spans="1:12" x14ac:dyDescent="0.25">
      <c r="A982" s="3">
        <v>45702.632048611107</v>
      </c>
      <c r="B982" t="s">
        <v>86</v>
      </c>
      <c r="C982" s="3">
        <v>45702.635231481487</v>
      </c>
      <c r="D982" t="s">
        <v>86</v>
      </c>
      <c r="E982" s="4">
        <v>0</v>
      </c>
      <c r="F982" s="4">
        <v>81701.952999999994</v>
      </c>
      <c r="G982" s="4">
        <v>81701.952999999994</v>
      </c>
      <c r="H982" s="5">
        <f>259 / 86400</f>
        <v>2.9976851851851853E-3</v>
      </c>
      <c r="I982" t="s">
        <v>88</v>
      </c>
      <c r="J982" t="s">
        <v>88</v>
      </c>
      <c r="K982" s="5">
        <f>275 / 86400</f>
        <v>3.1828703703703702E-3</v>
      </c>
      <c r="L982" s="5">
        <f>119 / 86400</f>
        <v>1.3773148148148147E-3</v>
      </c>
    </row>
    <row r="983" spans="1:12" x14ac:dyDescent="0.25">
      <c r="A983" s="3">
        <v>45702.636608796296</v>
      </c>
      <c r="B983" t="s">
        <v>86</v>
      </c>
      <c r="C983" s="3">
        <v>45702.694849537038</v>
      </c>
      <c r="D983" t="s">
        <v>86</v>
      </c>
      <c r="E983" s="4">
        <v>11.263999999999999</v>
      </c>
      <c r="F983" s="4">
        <v>81701.952999999994</v>
      </c>
      <c r="G983" s="4">
        <v>81713.217000000004</v>
      </c>
      <c r="H983" s="5">
        <f>2839 / 86400</f>
        <v>3.2858796296296296E-2</v>
      </c>
      <c r="I983" t="s">
        <v>205</v>
      </c>
      <c r="J983" t="s">
        <v>123</v>
      </c>
      <c r="K983" s="5">
        <f>5032 / 86400</f>
        <v>5.8240740740740739E-2</v>
      </c>
      <c r="L983" s="5">
        <f>17 / 86400</f>
        <v>1.9675925925925926E-4</v>
      </c>
    </row>
    <row r="984" spans="1:12" x14ac:dyDescent="0.25">
      <c r="A984" s="3">
        <v>45702.6950462963</v>
      </c>
      <c r="B984" t="s">
        <v>86</v>
      </c>
      <c r="C984" s="3">
        <v>45702.695115740746</v>
      </c>
      <c r="D984" t="s">
        <v>86</v>
      </c>
      <c r="E984" s="4">
        <v>0</v>
      </c>
      <c r="F984" s="4">
        <v>81713.217000000004</v>
      </c>
      <c r="G984" s="4">
        <v>81713.217000000004</v>
      </c>
      <c r="H984" s="5">
        <f>0 / 86400</f>
        <v>0</v>
      </c>
      <c r="I984" t="s">
        <v>88</v>
      </c>
      <c r="J984" t="s">
        <v>88</v>
      </c>
      <c r="K984" s="5">
        <f>6 / 86400</f>
        <v>6.9444444444444444E-5</v>
      </c>
      <c r="L984" s="5">
        <f>15969 / 86400</f>
        <v>0.18482638888888889</v>
      </c>
    </row>
    <row r="985" spans="1:12" x14ac:dyDescent="0.25">
      <c r="A985" s="3">
        <v>45702.879942129628</v>
      </c>
      <c r="B985" t="s">
        <v>86</v>
      </c>
      <c r="C985" s="3">
        <v>45702.94295138889</v>
      </c>
      <c r="D985" t="s">
        <v>86</v>
      </c>
      <c r="E985" s="4">
        <v>1.45</v>
      </c>
      <c r="F985" s="4">
        <v>81713.217000000004</v>
      </c>
      <c r="G985" s="4">
        <v>81714.667000000001</v>
      </c>
      <c r="H985" s="5">
        <f>4860 / 86400</f>
        <v>5.6250000000000001E-2</v>
      </c>
      <c r="I985" t="s">
        <v>21</v>
      </c>
      <c r="J985" t="s">
        <v>120</v>
      </c>
      <c r="K985" s="5">
        <f>5443 / 86400</f>
        <v>6.2997685185185184E-2</v>
      </c>
      <c r="L985" s="5">
        <f>4928 / 86400</f>
        <v>5.7037037037037039E-2</v>
      </c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s="10" customFormat="1" ht="20.100000000000001" customHeight="1" x14ac:dyDescent="0.35">
      <c r="A988" s="15" t="s">
        <v>458</v>
      </c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ht="30" x14ac:dyDescent="0.25">
      <c r="A990" s="2" t="s">
        <v>6</v>
      </c>
      <c r="B990" s="2" t="s">
        <v>7</v>
      </c>
      <c r="C990" s="2" t="s">
        <v>8</v>
      </c>
      <c r="D990" s="2" t="s">
        <v>9</v>
      </c>
      <c r="E990" s="2" t="s">
        <v>10</v>
      </c>
      <c r="F990" s="2" t="s">
        <v>11</v>
      </c>
      <c r="G990" s="2" t="s">
        <v>12</v>
      </c>
      <c r="H990" s="2" t="s">
        <v>13</v>
      </c>
      <c r="I990" s="2" t="s">
        <v>14</v>
      </c>
      <c r="J990" s="2" t="s">
        <v>15</v>
      </c>
      <c r="K990" s="2" t="s">
        <v>16</v>
      </c>
      <c r="L990" s="2" t="s">
        <v>17</v>
      </c>
    </row>
    <row r="991" spans="1:12" x14ac:dyDescent="0.25">
      <c r="A991" s="3">
        <v>45702.201782407406</v>
      </c>
      <c r="B991" t="s">
        <v>87</v>
      </c>
      <c r="C991" s="3">
        <v>45702.209374999999</v>
      </c>
      <c r="D991" t="s">
        <v>146</v>
      </c>
      <c r="E991" s="4">
        <v>0.59699999999999998</v>
      </c>
      <c r="F991" s="4">
        <v>469808.076</v>
      </c>
      <c r="G991" s="4">
        <v>469808.67300000001</v>
      </c>
      <c r="H991" s="5">
        <f>459 / 86400</f>
        <v>5.3125000000000004E-3</v>
      </c>
      <c r="I991" t="s">
        <v>37</v>
      </c>
      <c r="J991" t="s">
        <v>152</v>
      </c>
      <c r="K991" s="5">
        <f>656 / 86400</f>
        <v>7.5925925925925926E-3</v>
      </c>
      <c r="L991" s="5">
        <f>17454 / 86400</f>
        <v>0.20201388888888888</v>
      </c>
    </row>
    <row r="992" spans="1:12" x14ac:dyDescent="0.25">
      <c r="A992" s="3">
        <v>45702.209606481483</v>
      </c>
      <c r="B992" t="s">
        <v>146</v>
      </c>
      <c r="C992" s="3">
        <v>45702.20993055556</v>
      </c>
      <c r="D992" t="s">
        <v>146</v>
      </c>
      <c r="E992" s="4">
        <v>1.0999999999999999E-2</v>
      </c>
      <c r="F992" s="4">
        <v>469808.67300000001</v>
      </c>
      <c r="G992" s="4">
        <v>469808.68400000001</v>
      </c>
      <c r="H992" s="5">
        <f>19 / 86400</f>
        <v>2.199074074074074E-4</v>
      </c>
      <c r="I992" t="s">
        <v>88</v>
      </c>
      <c r="J992" t="s">
        <v>120</v>
      </c>
      <c r="K992" s="5">
        <f>28 / 86400</f>
        <v>3.2407407407407406E-4</v>
      </c>
      <c r="L992" s="5">
        <f>113 / 86400</f>
        <v>1.3078703703703703E-3</v>
      </c>
    </row>
    <row r="993" spans="1:12" x14ac:dyDescent="0.25">
      <c r="A993" s="3">
        <v>45702.211238425924</v>
      </c>
      <c r="B993" t="s">
        <v>146</v>
      </c>
      <c r="C993" s="3">
        <v>45702.47320601852</v>
      </c>
      <c r="D993" t="s">
        <v>327</v>
      </c>
      <c r="E993" s="4">
        <v>102.36</v>
      </c>
      <c r="F993" s="4">
        <v>469808.68400000001</v>
      </c>
      <c r="G993" s="4">
        <v>469911.04399999999</v>
      </c>
      <c r="H993" s="5">
        <f>8001 / 86400</f>
        <v>9.2604166666666668E-2</v>
      </c>
      <c r="I993" t="s">
        <v>49</v>
      </c>
      <c r="J993" t="s">
        <v>34</v>
      </c>
      <c r="K993" s="5">
        <f>22634 / 86400</f>
        <v>0.26196759259259261</v>
      </c>
      <c r="L993" s="5">
        <f>1867 / 86400</f>
        <v>2.1608796296296296E-2</v>
      </c>
    </row>
    <row r="994" spans="1:12" x14ac:dyDescent="0.25">
      <c r="A994" s="3">
        <v>45702.494814814811</v>
      </c>
      <c r="B994" t="s">
        <v>327</v>
      </c>
      <c r="C994" s="3">
        <v>45702.496203703704</v>
      </c>
      <c r="D994" t="s">
        <v>327</v>
      </c>
      <c r="E994" s="4">
        <v>1.7999999999999999E-2</v>
      </c>
      <c r="F994" s="4">
        <v>469911.04399999999</v>
      </c>
      <c r="G994" s="4">
        <v>469911.06199999998</v>
      </c>
      <c r="H994" s="5">
        <f>79 / 86400</f>
        <v>9.1435185185185185E-4</v>
      </c>
      <c r="I994" t="s">
        <v>127</v>
      </c>
      <c r="J994" t="s">
        <v>120</v>
      </c>
      <c r="K994" s="5">
        <f>119 / 86400</f>
        <v>1.3773148148148147E-3</v>
      </c>
      <c r="L994" s="5">
        <f>1321 / 86400</f>
        <v>1.5289351851851853E-2</v>
      </c>
    </row>
    <row r="995" spans="1:12" x14ac:dyDescent="0.25">
      <c r="A995" s="3">
        <v>45702.511493055557</v>
      </c>
      <c r="B995" t="s">
        <v>327</v>
      </c>
      <c r="C995" s="3">
        <v>45702.600960648153</v>
      </c>
      <c r="D995" t="s">
        <v>313</v>
      </c>
      <c r="E995" s="4">
        <v>38.619999999999997</v>
      </c>
      <c r="F995" s="4">
        <v>469911.06199999998</v>
      </c>
      <c r="G995" s="4">
        <v>469949.68199999997</v>
      </c>
      <c r="H995" s="5">
        <f>2780 / 86400</f>
        <v>3.2175925925925927E-2</v>
      </c>
      <c r="I995" t="s">
        <v>30</v>
      </c>
      <c r="J995" t="s">
        <v>24</v>
      </c>
      <c r="K995" s="5">
        <f>7729 / 86400</f>
        <v>8.9456018518518518E-2</v>
      </c>
      <c r="L995" s="5">
        <f>1523 / 86400</f>
        <v>1.7627314814814814E-2</v>
      </c>
    </row>
    <row r="996" spans="1:12" x14ac:dyDescent="0.25">
      <c r="A996" s="3">
        <v>45702.618587962963</v>
      </c>
      <c r="B996" t="s">
        <v>313</v>
      </c>
      <c r="C996" s="3">
        <v>45702.619594907403</v>
      </c>
      <c r="D996" t="s">
        <v>392</v>
      </c>
      <c r="E996" s="4">
        <v>1.2E-2</v>
      </c>
      <c r="F996" s="4">
        <v>469949.68199999997</v>
      </c>
      <c r="G996" s="4">
        <v>469949.69400000002</v>
      </c>
      <c r="H996" s="5">
        <f>79 / 86400</f>
        <v>9.1435185185185185E-4</v>
      </c>
      <c r="I996" t="s">
        <v>88</v>
      </c>
      <c r="J996" t="s">
        <v>120</v>
      </c>
      <c r="K996" s="5">
        <f>86 / 86400</f>
        <v>9.9537037037037042E-4</v>
      </c>
      <c r="L996" s="5">
        <f>1152 / 86400</f>
        <v>1.3333333333333334E-2</v>
      </c>
    </row>
    <row r="997" spans="1:12" x14ac:dyDescent="0.25">
      <c r="A997" s="3">
        <v>45702.632928240739</v>
      </c>
      <c r="B997" t="s">
        <v>313</v>
      </c>
      <c r="C997" s="3">
        <v>45702.731180555551</v>
      </c>
      <c r="D997" t="s">
        <v>128</v>
      </c>
      <c r="E997" s="4">
        <v>39.375</v>
      </c>
      <c r="F997" s="4">
        <v>469949.69400000002</v>
      </c>
      <c r="G997" s="4">
        <v>469989.06900000002</v>
      </c>
      <c r="H997" s="5">
        <f>2660 / 86400</f>
        <v>3.0787037037037036E-2</v>
      </c>
      <c r="I997" t="s">
        <v>71</v>
      </c>
      <c r="J997" t="s">
        <v>28</v>
      </c>
      <c r="K997" s="5">
        <f>8488 / 86400</f>
        <v>9.824074074074074E-2</v>
      </c>
      <c r="L997" s="5">
        <f>567 / 86400</f>
        <v>6.5624999999999998E-3</v>
      </c>
    </row>
    <row r="998" spans="1:12" x14ac:dyDescent="0.25">
      <c r="A998" s="3">
        <v>45702.737743055557</v>
      </c>
      <c r="B998" t="s">
        <v>128</v>
      </c>
      <c r="C998" s="3">
        <v>45702.742118055554</v>
      </c>
      <c r="D998" t="s">
        <v>41</v>
      </c>
      <c r="E998" s="4">
        <v>1.0209999999999999</v>
      </c>
      <c r="F998" s="4">
        <v>469989.06900000002</v>
      </c>
      <c r="G998" s="4">
        <v>469990.09</v>
      </c>
      <c r="H998" s="5">
        <f>99 / 86400</f>
        <v>1.1458333333333333E-3</v>
      </c>
      <c r="I998" t="s">
        <v>147</v>
      </c>
      <c r="J998" t="s">
        <v>126</v>
      </c>
      <c r="K998" s="5">
        <f>378 / 86400</f>
        <v>4.3750000000000004E-3</v>
      </c>
      <c r="L998" s="5">
        <f>158 / 86400</f>
        <v>1.8287037037037037E-3</v>
      </c>
    </row>
    <row r="999" spans="1:12" x14ac:dyDescent="0.25">
      <c r="A999" s="3">
        <v>45702.743946759263</v>
      </c>
      <c r="B999" t="s">
        <v>41</v>
      </c>
      <c r="C999" s="3">
        <v>45702.883993055555</v>
      </c>
      <c r="D999" t="s">
        <v>303</v>
      </c>
      <c r="E999" s="4">
        <v>51.371000000000002</v>
      </c>
      <c r="F999" s="4">
        <v>469990.09</v>
      </c>
      <c r="G999" s="4">
        <v>470041.46100000001</v>
      </c>
      <c r="H999" s="5">
        <f>4678 / 86400</f>
        <v>5.4143518518518521E-2</v>
      </c>
      <c r="I999" t="s">
        <v>49</v>
      </c>
      <c r="J999" t="s">
        <v>31</v>
      </c>
      <c r="K999" s="5">
        <f>12100 / 86400</f>
        <v>0.14004629629629631</v>
      </c>
      <c r="L999" s="5">
        <f>70 / 86400</f>
        <v>8.1018518518518516E-4</v>
      </c>
    </row>
    <row r="1000" spans="1:12" x14ac:dyDescent="0.25">
      <c r="A1000" s="3">
        <v>45702.88480324074</v>
      </c>
      <c r="B1000" t="s">
        <v>303</v>
      </c>
      <c r="C1000" s="3">
        <v>45702.99998842593</v>
      </c>
      <c r="D1000" t="s">
        <v>80</v>
      </c>
      <c r="E1000" s="4">
        <v>30.3</v>
      </c>
      <c r="F1000" s="4">
        <v>470041.46100000001</v>
      </c>
      <c r="G1000" s="4">
        <v>470071.761</v>
      </c>
      <c r="H1000" s="5">
        <f>5341 / 86400</f>
        <v>6.1817129629629632E-2</v>
      </c>
      <c r="I1000" t="s">
        <v>63</v>
      </c>
      <c r="J1000" t="s">
        <v>53</v>
      </c>
      <c r="K1000" s="5">
        <f>9952 / 86400</f>
        <v>0.11518518518518518</v>
      </c>
      <c r="L1000" s="5">
        <f>0 / 86400</f>
        <v>0</v>
      </c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</row>
    <row r="1003" spans="1:12" s="10" customFormat="1" ht="20.100000000000001" customHeight="1" x14ac:dyDescent="0.35">
      <c r="A1003" s="15" t="s">
        <v>459</v>
      </c>
      <c r="B1003" s="15"/>
      <c r="C1003" s="15"/>
      <c r="D1003" s="15"/>
      <c r="E1003" s="15"/>
      <c r="F1003" s="15"/>
      <c r="G1003" s="15"/>
      <c r="H1003" s="15"/>
      <c r="I1003" s="15"/>
      <c r="J1003" s="15"/>
    </row>
    <row r="1004" spans="1:1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</row>
    <row r="1005" spans="1:12" ht="30" x14ac:dyDescent="0.25">
      <c r="A1005" s="2" t="s">
        <v>6</v>
      </c>
      <c r="B1005" s="2" t="s">
        <v>7</v>
      </c>
      <c r="C1005" s="2" t="s">
        <v>8</v>
      </c>
      <c r="D1005" s="2" t="s">
        <v>9</v>
      </c>
      <c r="E1005" s="2" t="s">
        <v>10</v>
      </c>
      <c r="F1005" s="2" t="s">
        <v>11</v>
      </c>
      <c r="G1005" s="2" t="s">
        <v>12</v>
      </c>
      <c r="H1005" s="2" t="s">
        <v>13</v>
      </c>
      <c r="I1005" s="2" t="s">
        <v>14</v>
      </c>
      <c r="J1005" s="2" t="s">
        <v>15</v>
      </c>
      <c r="K1005" s="2" t="s">
        <v>16</v>
      </c>
      <c r="L1005" s="2" t="s">
        <v>17</v>
      </c>
    </row>
    <row r="1006" spans="1:12" x14ac:dyDescent="0.25">
      <c r="A1006" s="3">
        <v>45702</v>
      </c>
      <c r="B1006" t="s">
        <v>69</v>
      </c>
      <c r="C1006" s="3">
        <v>45702.000185185185</v>
      </c>
      <c r="D1006" t="s">
        <v>69</v>
      </c>
      <c r="E1006" s="4">
        <v>0</v>
      </c>
      <c r="F1006" s="4">
        <v>428213.33600000001</v>
      </c>
      <c r="G1006" s="4">
        <v>428213.33600000001</v>
      </c>
      <c r="H1006" s="5">
        <f>0 / 86400</f>
        <v>0</v>
      </c>
      <c r="I1006" t="s">
        <v>88</v>
      </c>
      <c r="J1006" t="s">
        <v>88</v>
      </c>
      <c r="K1006" s="5">
        <f>16 / 86400</f>
        <v>1.8518518518518518E-4</v>
      </c>
      <c r="L1006" s="5">
        <f>594 / 86400</f>
        <v>6.875E-3</v>
      </c>
    </row>
    <row r="1007" spans="1:12" x14ac:dyDescent="0.25">
      <c r="A1007" s="3">
        <v>45702.007060185184</v>
      </c>
      <c r="B1007" t="s">
        <v>69</v>
      </c>
      <c r="C1007" s="3">
        <v>45702.009282407409</v>
      </c>
      <c r="D1007" t="s">
        <v>69</v>
      </c>
      <c r="E1007" s="4">
        <v>0</v>
      </c>
      <c r="F1007" s="4">
        <v>428213.33600000001</v>
      </c>
      <c r="G1007" s="4">
        <v>428213.33600000001</v>
      </c>
      <c r="H1007" s="5">
        <f>179 / 86400</f>
        <v>2.0717592592592593E-3</v>
      </c>
      <c r="I1007" t="s">
        <v>88</v>
      </c>
      <c r="J1007" t="s">
        <v>88</v>
      </c>
      <c r="K1007" s="5">
        <f>192 / 86400</f>
        <v>2.2222222222222222E-3</v>
      </c>
      <c r="L1007" s="5">
        <f>15556 / 86400</f>
        <v>0.18004629629629629</v>
      </c>
    </row>
    <row r="1008" spans="1:12" x14ac:dyDescent="0.25">
      <c r="A1008" s="3">
        <v>45702.189328703702</v>
      </c>
      <c r="B1008" t="s">
        <v>69</v>
      </c>
      <c r="C1008" s="3">
        <v>45702.189803240741</v>
      </c>
      <c r="D1008" t="s">
        <v>69</v>
      </c>
      <c r="E1008" s="4">
        <v>0</v>
      </c>
      <c r="F1008" s="4">
        <v>428213.33600000001</v>
      </c>
      <c r="G1008" s="4">
        <v>428213.33600000001</v>
      </c>
      <c r="H1008" s="5">
        <f>19 / 86400</f>
        <v>2.199074074074074E-4</v>
      </c>
      <c r="I1008" t="s">
        <v>88</v>
      </c>
      <c r="J1008" t="s">
        <v>88</v>
      </c>
      <c r="K1008" s="5">
        <f>40 / 86400</f>
        <v>4.6296296296296298E-4</v>
      </c>
      <c r="L1008" s="5">
        <f>34277 / 86400</f>
        <v>0.39672453703703703</v>
      </c>
    </row>
    <row r="1009" spans="1:12" x14ac:dyDescent="0.25">
      <c r="A1009" s="3">
        <v>45702.586527777778</v>
      </c>
      <c r="B1009" t="s">
        <v>69</v>
      </c>
      <c r="C1009" s="3">
        <v>45702.591064814813</v>
      </c>
      <c r="D1009" t="s">
        <v>69</v>
      </c>
      <c r="E1009" s="4">
        <v>0</v>
      </c>
      <c r="F1009" s="4">
        <v>428213.33600000001</v>
      </c>
      <c r="G1009" s="4">
        <v>428213.33600000001</v>
      </c>
      <c r="H1009" s="5">
        <f>379 / 86400</f>
        <v>4.386574074074074E-3</v>
      </c>
      <c r="I1009" t="s">
        <v>88</v>
      </c>
      <c r="J1009" t="s">
        <v>88</v>
      </c>
      <c r="K1009" s="5">
        <f>391 / 86400</f>
        <v>4.5254629629629629E-3</v>
      </c>
      <c r="L1009" s="5">
        <f>229 / 86400</f>
        <v>2.650462962962963E-3</v>
      </c>
    </row>
    <row r="1010" spans="1:12" x14ac:dyDescent="0.25">
      <c r="A1010" s="3">
        <v>45702.593715277777</v>
      </c>
      <c r="B1010" t="s">
        <v>69</v>
      </c>
      <c r="C1010" s="3">
        <v>45702.599120370374</v>
      </c>
      <c r="D1010" t="s">
        <v>69</v>
      </c>
      <c r="E1010" s="4">
        <v>0</v>
      </c>
      <c r="F1010" s="4">
        <v>428213.33600000001</v>
      </c>
      <c r="G1010" s="4">
        <v>428213.33600000001</v>
      </c>
      <c r="H1010" s="5">
        <f>459 / 86400</f>
        <v>5.3125000000000004E-3</v>
      </c>
      <c r="I1010" t="s">
        <v>88</v>
      </c>
      <c r="J1010" t="s">
        <v>88</v>
      </c>
      <c r="K1010" s="5">
        <f>466 / 86400</f>
        <v>5.3935185185185188E-3</v>
      </c>
      <c r="L1010" s="5">
        <f>2213 / 86400</f>
        <v>2.5613425925925925E-2</v>
      </c>
    </row>
    <row r="1011" spans="1:12" x14ac:dyDescent="0.25">
      <c r="A1011" s="3">
        <v>45702.6247337963</v>
      </c>
      <c r="B1011" t="s">
        <v>69</v>
      </c>
      <c r="C1011" s="3">
        <v>45702.625219907408</v>
      </c>
      <c r="D1011" t="s">
        <v>69</v>
      </c>
      <c r="E1011" s="4">
        <v>0</v>
      </c>
      <c r="F1011" s="4">
        <v>428213.33600000001</v>
      </c>
      <c r="G1011" s="4">
        <v>428213.33600000001</v>
      </c>
      <c r="H1011" s="5">
        <f>39 / 86400</f>
        <v>4.5138888888888887E-4</v>
      </c>
      <c r="I1011" t="s">
        <v>88</v>
      </c>
      <c r="J1011" t="s">
        <v>88</v>
      </c>
      <c r="K1011" s="5">
        <f>41 / 86400</f>
        <v>4.7453703703703704E-4</v>
      </c>
      <c r="L1011" s="5">
        <f>567 / 86400</f>
        <v>6.5624999999999998E-3</v>
      </c>
    </row>
    <row r="1012" spans="1:12" x14ac:dyDescent="0.25">
      <c r="A1012" s="3">
        <v>45702.631782407407</v>
      </c>
      <c r="B1012" t="s">
        <v>69</v>
      </c>
      <c r="C1012" s="3">
        <v>45702.632569444446</v>
      </c>
      <c r="D1012" t="s">
        <v>69</v>
      </c>
      <c r="E1012" s="4">
        <v>0</v>
      </c>
      <c r="F1012" s="4">
        <v>428213.33600000001</v>
      </c>
      <c r="G1012" s="4">
        <v>428213.33600000001</v>
      </c>
      <c r="H1012" s="5">
        <f>59 / 86400</f>
        <v>6.8287037037037036E-4</v>
      </c>
      <c r="I1012" t="s">
        <v>88</v>
      </c>
      <c r="J1012" t="s">
        <v>88</v>
      </c>
      <c r="K1012" s="5">
        <f>68 / 86400</f>
        <v>7.8703703703703705E-4</v>
      </c>
      <c r="L1012" s="5">
        <f>3161 / 86400</f>
        <v>3.6585648148148145E-2</v>
      </c>
    </row>
    <row r="1013" spans="1:12" x14ac:dyDescent="0.25">
      <c r="A1013" s="3">
        <v>45702.66915509259</v>
      </c>
      <c r="B1013" t="s">
        <v>69</v>
      </c>
      <c r="C1013" s="3">
        <v>45702.671099537038</v>
      </c>
      <c r="D1013" t="s">
        <v>69</v>
      </c>
      <c r="E1013" s="4">
        <v>0</v>
      </c>
      <c r="F1013" s="4">
        <v>428213.33600000001</v>
      </c>
      <c r="G1013" s="4">
        <v>428213.33600000001</v>
      </c>
      <c r="H1013" s="5">
        <f>159 / 86400</f>
        <v>1.8402777777777777E-3</v>
      </c>
      <c r="I1013" t="s">
        <v>88</v>
      </c>
      <c r="J1013" t="s">
        <v>88</v>
      </c>
      <c r="K1013" s="5">
        <f>167 / 86400</f>
        <v>1.9328703703703704E-3</v>
      </c>
      <c r="L1013" s="5">
        <f>209 / 86400</f>
        <v>2.4189814814814816E-3</v>
      </c>
    </row>
    <row r="1014" spans="1:12" x14ac:dyDescent="0.25">
      <c r="A1014" s="3">
        <v>45702.673518518517</v>
      </c>
      <c r="B1014" t="s">
        <v>69</v>
      </c>
      <c r="C1014" s="3">
        <v>45702.963900462964</v>
      </c>
      <c r="D1014" t="s">
        <v>69</v>
      </c>
      <c r="E1014" s="4">
        <v>0</v>
      </c>
      <c r="F1014" s="4">
        <v>428213.33600000001</v>
      </c>
      <c r="G1014" s="4">
        <v>428213.33600000001</v>
      </c>
      <c r="H1014" s="5">
        <f>25069 / 86400</f>
        <v>0.29015046296296299</v>
      </c>
      <c r="I1014" t="s">
        <v>88</v>
      </c>
      <c r="J1014" t="s">
        <v>88</v>
      </c>
      <c r="K1014" s="5">
        <f>25088 / 86400</f>
        <v>0.29037037037037039</v>
      </c>
      <c r="L1014" s="5">
        <f>595 / 86400</f>
        <v>6.8865740740740745E-3</v>
      </c>
    </row>
    <row r="1015" spans="1:12" x14ac:dyDescent="0.25">
      <c r="A1015" s="3">
        <v>45702.970787037033</v>
      </c>
      <c r="B1015" t="s">
        <v>69</v>
      </c>
      <c r="C1015" s="3">
        <v>45702.971307870372</v>
      </c>
      <c r="D1015" t="s">
        <v>69</v>
      </c>
      <c r="E1015" s="4">
        <v>0</v>
      </c>
      <c r="F1015" s="4">
        <v>428213.33600000001</v>
      </c>
      <c r="G1015" s="4">
        <v>428213.33600000001</v>
      </c>
      <c r="H1015" s="5">
        <f>39 / 86400</f>
        <v>4.5138888888888887E-4</v>
      </c>
      <c r="I1015" t="s">
        <v>88</v>
      </c>
      <c r="J1015" t="s">
        <v>88</v>
      </c>
      <c r="K1015" s="5">
        <f>45 / 86400</f>
        <v>5.2083333333333333E-4</v>
      </c>
      <c r="L1015" s="5">
        <f>5 / 86400</f>
        <v>5.7870370370370373E-5</v>
      </c>
    </row>
    <row r="1016" spans="1:12" x14ac:dyDescent="0.25">
      <c r="A1016" s="3">
        <v>45702.971365740741</v>
      </c>
      <c r="B1016" t="s">
        <v>69</v>
      </c>
      <c r="C1016" s="3">
        <v>45702.975601851853</v>
      </c>
      <c r="D1016" t="s">
        <v>69</v>
      </c>
      <c r="E1016" s="4">
        <v>0</v>
      </c>
      <c r="F1016" s="4">
        <v>428213.33600000001</v>
      </c>
      <c r="G1016" s="4">
        <v>428213.33600000001</v>
      </c>
      <c r="H1016" s="5">
        <f>349 / 86400</f>
        <v>4.0393518518518521E-3</v>
      </c>
      <c r="I1016" t="s">
        <v>88</v>
      </c>
      <c r="J1016" t="s">
        <v>88</v>
      </c>
      <c r="K1016" s="5">
        <f>366 / 86400</f>
        <v>4.2361111111111115E-3</v>
      </c>
      <c r="L1016" s="5">
        <f>112 / 86400</f>
        <v>1.2962962962962963E-3</v>
      </c>
    </row>
    <row r="1017" spans="1:12" x14ac:dyDescent="0.25">
      <c r="A1017" s="3">
        <v>45702.976898148147</v>
      </c>
      <c r="B1017" t="s">
        <v>69</v>
      </c>
      <c r="C1017" s="3">
        <v>45702.977256944447</v>
      </c>
      <c r="D1017" t="s">
        <v>69</v>
      </c>
      <c r="E1017" s="4">
        <v>0</v>
      </c>
      <c r="F1017" s="4">
        <v>428213.33600000001</v>
      </c>
      <c r="G1017" s="4">
        <v>428213.33600000001</v>
      </c>
      <c r="H1017" s="5">
        <f>19 / 86400</f>
        <v>2.199074074074074E-4</v>
      </c>
      <c r="I1017" t="s">
        <v>88</v>
      </c>
      <c r="J1017" t="s">
        <v>88</v>
      </c>
      <c r="K1017" s="5">
        <f>31 / 86400</f>
        <v>3.5879629629629629E-4</v>
      </c>
      <c r="L1017" s="5">
        <f>113 / 86400</f>
        <v>1.3078703703703703E-3</v>
      </c>
    </row>
    <row r="1018" spans="1:12" x14ac:dyDescent="0.25">
      <c r="A1018" s="3">
        <v>45702.97856481481</v>
      </c>
      <c r="B1018" t="s">
        <v>69</v>
      </c>
      <c r="C1018" s="3">
        <v>45702.987766203703</v>
      </c>
      <c r="D1018" t="s">
        <v>69</v>
      </c>
      <c r="E1018" s="4">
        <v>0</v>
      </c>
      <c r="F1018" s="4">
        <v>428213.33600000001</v>
      </c>
      <c r="G1018" s="4">
        <v>428213.33600000001</v>
      </c>
      <c r="H1018" s="5">
        <f>774 / 86400</f>
        <v>8.9583333333333338E-3</v>
      </c>
      <c r="I1018" t="s">
        <v>88</v>
      </c>
      <c r="J1018" t="s">
        <v>88</v>
      </c>
      <c r="K1018" s="5">
        <f>795 / 86400</f>
        <v>9.2013888888888892E-3</v>
      </c>
      <c r="L1018" s="5">
        <f>1056 / 86400</f>
        <v>1.2222222222222223E-2</v>
      </c>
    </row>
    <row r="1019" spans="1:12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</row>
    <row r="1020" spans="1:12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</row>
    <row r="1021" spans="1:12" s="10" customFormat="1" ht="20.100000000000001" customHeight="1" x14ac:dyDescent="0.35">
      <c r="A1021" s="15" t="s">
        <v>460</v>
      </c>
      <c r="B1021" s="15"/>
      <c r="C1021" s="15"/>
      <c r="D1021" s="15"/>
      <c r="E1021" s="15"/>
      <c r="F1021" s="15"/>
      <c r="G1021" s="15"/>
      <c r="H1021" s="15"/>
      <c r="I1021" s="15"/>
      <c r="J1021" s="15"/>
    </row>
    <row r="1022" spans="1:12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</row>
    <row r="1023" spans="1:12" ht="30" x14ac:dyDescent="0.25">
      <c r="A1023" s="2" t="s">
        <v>6</v>
      </c>
      <c r="B1023" s="2" t="s">
        <v>7</v>
      </c>
      <c r="C1023" s="2" t="s">
        <v>8</v>
      </c>
      <c r="D1023" s="2" t="s">
        <v>9</v>
      </c>
      <c r="E1023" s="2" t="s">
        <v>10</v>
      </c>
      <c r="F1023" s="2" t="s">
        <v>11</v>
      </c>
      <c r="G1023" s="2" t="s">
        <v>12</v>
      </c>
      <c r="H1023" s="2" t="s">
        <v>13</v>
      </c>
      <c r="I1023" s="2" t="s">
        <v>14</v>
      </c>
      <c r="J1023" s="2" t="s">
        <v>15</v>
      </c>
      <c r="K1023" s="2" t="s">
        <v>16</v>
      </c>
      <c r="L1023" s="2" t="s">
        <v>17</v>
      </c>
    </row>
    <row r="1024" spans="1:12" x14ac:dyDescent="0.25">
      <c r="A1024" s="3">
        <v>45702.183437500003</v>
      </c>
      <c r="B1024" t="s">
        <v>29</v>
      </c>
      <c r="C1024" s="3">
        <v>45702.529236111106</v>
      </c>
      <c r="D1024" t="s">
        <v>393</v>
      </c>
      <c r="E1024" s="4">
        <v>149.20099999999999</v>
      </c>
      <c r="F1024" s="4">
        <v>575570.01100000006</v>
      </c>
      <c r="G1024" s="4">
        <v>575719.21200000006</v>
      </c>
      <c r="H1024" s="5">
        <f>8836 / 86400</f>
        <v>0.10226851851851852</v>
      </c>
      <c r="I1024" t="s">
        <v>89</v>
      </c>
      <c r="J1024" t="s">
        <v>24</v>
      </c>
      <c r="K1024" s="5">
        <f>29876 / 86400</f>
        <v>0.34578703703703706</v>
      </c>
      <c r="L1024" s="5">
        <f>21182 / 86400</f>
        <v>0.24516203703703704</v>
      </c>
    </row>
    <row r="1025" spans="1:12" x14ac:dyDescent="0.25">
      <c r="A1025" s="3">
        <v>45702.590960648144</v>
      </c>
      <c r="B1025" t="s">
        <v>394</v>
      </c>
      <c r="C1025" s="3">
        <v>45702.593449074076</v>
      </c>
      <c r="D1025" t="s">
        <v>393</v>
      </c>
      <c r="E1025" s="4">
        <v>0.28100000000000003</v>
      </c>
      <c r="F1025" s="4">
        <v>575719.21200000006</v>
      </c>
      <c r="G1025" s="4">
        <v>575719.49300000002</v>
      </c>
      <c r="H1025" s="5">
        <f>99 / 86400</f>
        <v>1.1458333333333333E-3</v>
      </c>
      <c r="I1025" t="s">
        <v>34</v>
      </c>
      <c r="J1025" t="s">
        <v>127</v>
      </c>
      <c r="K1025" s="5">
        <f>215 / 86400</f>
        <v>2.488425925925926E-3</v>
      </c>
      <c r="L1025" s="5">
        <f>615 / 86400</f>
        <v>7.1180555555555554E-3</v>
      </c>
    </row>
    <row r="1026" spans="1:12" x14ac:dyDescent="0.25">
      <c r="A1026" s="3">
        <v>45702.60056712963</v>
      </c>
      <c r="B1026" t="s">
        <v>393</v>
      </c>
      <c r="C1026" s="3">
        <v>45702.691770833335</v>
      </c>
      <c r="D1026" t="s">
        <v>395</v>
      </c>
      <c r="E1026" s="4">
        <v>30.396999999999998</v>
      </c>
      <c r="F1026" s="4">
        <v>575719.49300000002</v>
      </c>
      <c r="G1026" s="4">
        <v>575749.89</v>
      </c>
      <c r="H1026" s="5">
        <f>2517 / 86400</f>
        <v>2.9131944444444443E-2</v>
      </c>
      <c r="I1026" t="s">
        <v>209</v>
      </c>
      <c r="J1026" t="s">
        <v>59</v>
      </c>
      <c r="K1026" s="5">
        <f>7880 / 86400</f>
        <v>9.1203703703703703E-2</v>
      </c>
      <c r="L1026" s="5">
        <f>491 / 86400</f>
        <v>5.6828703703703702E-3</v>
      </c>
    </row>
    <row r="1027" spans="1:12" x14ac:dyDescent="0.25">
      <c r="A1027" s="3">
        <v>45702.697453703702</v>
      </c>
      <c r="B1027" t="s">
        <v>396</v>
      </c>
      <c r="C1027" s="3">
        <v>45702.823935185181</v>
      </c>
      <c r="D1027" t="s">
        <v>29</v>
      </c>
      <c r="E1027" s="4">
        <v>28.600999999999999</v>
      </c>
      <c r="F1027" s="4">
        <v>575749.89</v>
      </c>
      <c r="G1027" s="4">
        <v>575778.49100000004</v>
      </c>
      <c r="H1027" s="5">
        <f>5099 / 86400</f>
        <v>5.9016203703703703E-2</v>
      </c>
      <c r="I1027" t="s">
        <v>61</v>
      </c>
      <c r="J1027" t="s">
        <v>57</v>
      </c>
      <c r="K1027" s="5">
        <f>10927 / 86400</f>
        <v>0.12646990740740741</v>
      </c>
      <c r="L1027" s="5">
        <f>5008 / 86400</f>
        <v>5.7962962962962966E-2</v>
      </c>
    </row>
    <row r="1028" spans="1:12" x14ac:dyDescent="0.25">
      <c r="A1028" s="3">
        <v>45702.881898148145</v>
      </c>
      <c r="B1028" t="s">
        <v>29</v>
      </c>
      <c r="C1028" s="3">
        <v>45702.884259259255</v>
      </c>
      <c r="D1028" t="s">
        <v>29</v>
      </c>
      <c r="E1028" s="4">
        <v>0</v>
      </c>
      <c r="F1028" s="4">
        <v>575778.49100000004</v>
      </c>
      <c r="G1028" s="4">
        <v>575778.49100000004</v>
      </c>
      <c r="H1028" s="5">
        <f>199 / 86400</f>
        <v>2.3032407407407407E-3</v>
      </c>
      <c r="I1028" t="s">
        <v>88</v>
      </c>
      <c r="J1028" t="s">
        <v>88</v>
      </c>
      <c r="K1028" s="5">
        <f>204 / 86400</f>
        <v>2.3611111111111111E-3</v>
      </c>
      <c r="L1028" s="5">
        <f>9999 / 86400</f>
        <v>0.11572916666666666</v>
      </c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</row>
    <row r="1031" spans="1:12" s="10" customFormat="1" ht="20.100000000000001" customHeight="1" x14ac:dyDescent="0.35">
      <c r="A1031" s="15" t="s">
        <v>461</v>
      </c>
      <c r="B1031" s="15"/>
      <c r="C1031" s="15"/>
      <c r="D1031" s="15"/>
      <c r="E1031" s="15"/>
      <c r="F1031" s="15"/>
      <c r="G1031" s="15"/>
      <c r="H1031" s="15"/>
      <c r="I1031" s="15"/>
      <c r="J1031" s="15"/>
    </row>
    <row r="1032" spans="1:1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ht="30" x14ac:dyDescent="0.25">
      <c r="A1033" s="2" t="s">
        <v>6</v>
      </c>
      <c r="B1033" s="2" t="s">
        <v>7</v>
      </c>
      <c r="C1033" s="2" t="s">
        <v>8</v>
      </c>
      <c r="D1033" s="2" t="s">
        <v>9</v>
      </c>
      <c r="E1033" s="2" t="s">
        <v>10</v>
      </c>
      <c r="F1033" s="2" t="s">
        <v>11</v>
      </c>
      <c r="G1033" s="2" t="s">
        <v>12</v>
      </c>
      <c r="H1033" s="2" t="s">
        <v>13</v>
      </c>
      <c r="I1033" s="2" t="s">
        <v>14</v>
      </c>
      <c r="J1033" s="2" t="s">
        <v>15</v>
      </c>
      <c r="K1033" s="2" t="s">
        <v>16</v>
      </c>
      <c r="L1033" s="2" t="s">
        <v>17</v>
      </c>
    </row>
    <row r="1034" spans="1:12" x14ac:dyDescent="0.25">
      <c r="A1034" s="3">
        <v>45702.302557870367</v>
      </c>
      <c r="B1034" t="s">
        <v>90</v>
      </c>
      <c r="C1034" s="3">
        <v>45702.302581018521</v>
      </c>
      <c r="D1034" t="s">
        <v>90</v>
      </c>
      <c r="E1034" s="4">
        <v>0</v>
      </c>
      <c r="F1034" s="4">
        <v>416773.484</v>
      </c>
      <c r="G1034" s="4">
        <v>416773.484</v>
      </c>
      <c r="H1034" s="5">
        <f>0 / 86400</f>
        <v>0</v>
      </c>
      <c r="I1034" t="s">
        <v>88</v>
      </c>
      <c r="J1034" t="s">
        <v>88</v>
      </c>
      <c r="K1034" s="5">
        <f>1 / 86400</f>
        <v>1.1574074074074073E-5</v>
      </c>
      <c r="L1034" s="5">
        <f>26970 / 86400</f>
        <v>0.31215277777777778</v>
      </c>
    </row>
    <row r="1035" spans="1:12" x14ac:dyDescent="0.25">
      <c r="A1035" s="3">
        <v>45702.312175925923</v>
      </c>
      <c r="B1035" t="s">
        <v>90</v>
      </c>
      <c r="C1035" s="3">
        <v>45702.320856481485</v>
      </c>
      <c r="D1035" t="s">
        <v>90</v>
      </c>
      <c r="E1035" s="4">
        <v>0</v>
      </c>
      <c r="F1035" s="4">
        <v>416773.484</v>
      </c>
      <c r="G1035" s="4">
        <v>416773.484</v>
      </c>
      <c r="H1035" s="5">
        <f>739 / 86400</f>
        <v>8.5532407407407415E-3</v>
      </c>
      <c r="I1035" t="s">
        <v>88</v>
      </c>
      <c r="J1035" t="s">
        <v>88</v>
      </c>
      <c r="K1035" s="5">
        <f>749 / 86400</f>
        <v>8.6689814814814806E-3</v>
      </c>
      <c r="L1035" s="5">
        <f>58677 / 86400</f>
        <v>0.67913194444444447</v>
      </c>
    </row>
    <row r="1036" spans="1:1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</row>
    <row r="1037" spans="1:1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</row>
    <row r="1038" spans="1:12" s="10" customFormat="1" ht="20.100000000000001" customHeight="1" x14ac:dyDescent="0.35">
      <c r="A1038" s="15" t="s">
        <v>462</v>
      </c>
      <c r="B1038" s="15"/>
      <c r="C1038" s="15"/>
      <c r="D1038" s="15"/>
      <c r="E1038" s="15"/>
      <c r="F1038" s="15"/>
      <c r="G1038" s="15"/>
      <c r="H1038" s="15"/>
      <c r="I1038" s="15"/>
      <c r="J1038" s="15"/>
    </row>
    <row r="1039" spans="1:1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ht="30" x14ac:dyDescent="0.25">
      <c r="A1040" s="2" t="s">
        <v>6</v>
      </c>
      <c r="B1040" s="2" t="s">
        <v>7</v>
      </c>
      <c r="C1040" s="2" t="s">
        <v>8</v>
      </c>
      <c r="D1040" s="2" t="s">
        <v>9</v>
      </c>
      <c r="E1040" s="2" t="s">
        <v>10</v>
      </c>
      <c r="F1040" s="2" t="s">
        <v>11</v>
      </c>
      <c r="G1040" s="2" t="s">
        <v>12</v>
      </c>
      <c r="H1040" s="2" t="s">
        <v>13</v>
      </c>
      <c r="I1040" s="2" t="s">
        <v>14</v>
      </c>
      <c r="J1040" s="2" t="s">
        <v>15</v>
      </c>
      <c r="K1040" s="2" t="s">
        <v>16</v>
      </c>
      <c r="L1040" s="2" t="s">
        <v>17</v>
      </c>
    </row>
    <row r="1041" spans="1:12" x14ac:dyDescent="0.25">
      <c r="A1041" s="3">
        <v>45702</v>
      </c>
      <c r="B1041" t="s">
        <v>91</v>
      </c>
      <c r="C1041" s="3">
        <v>45702.003495370373</v>
      </c>
      <c r="D1041" t="s">
        <v>397</v>
      </c>
      <c r="E1041" s="4">
        <v>1.89</v>
      </c>
      <c r="F1041" s="4">
        <v>400684.99099999998</v>
      </c>
      <c r="G1041" s="4">
        <v>400686.88099999999</v>
      </c>
      <c r="H1041" s="5">
        <f>80 / 86400</f>
        <v>9.2592592592592596E-4</v>
      </c>
      <c r="I1041" t="s">
        <v>208</v>
      </c>
      <c r="J1041" t="s">
        <v>37</v>
      </c>
      <c r="K1041" s="5">
        <f>302 / 86400</f>
        <v>3.4953703703703705E-3</v>
      </c>
      <c r="L1041" s="5">
        <f>25858 / 86400</f>
        <v>0.29928240740740741</v>
      </c>
    </row>
    <row r="1042" spans="1:12" x14ac:dyDescent="0.25">
      <c r="A1042" s="3">
        <v>45702.302777777775</v>
      </c>
      <c r="B1042" t="s">
        <v>397</v>
      </c>
      <c r="C1042" s="3">
        <v>45702.304895833338</v>
      </c>
      <c r="D1042" t="s">
        <v>91</v>
      </c>
      <c r="E1042" s="4">
        <v>0.66700000000000004</v>
      </c>
      <c r="F1042" s="4">
        <v>400686.88099999999</v>
      </c>
      <c r="G1042" s="4">
        <v>400687.54800000001</v>
      </c>
      <c r="H1042" s="5">
        <f>59 / 86400</f>
        <v>6.8287037037037036E-4</v>
      </c>
      <c r="I1042" t="s">
        <v>135</v>
      </c>
      <c r="J1042" t="s">
        <v>35</v>
      </c>
      <c r="K1042" s="5">
        <f>182 / 86400</f>
        <v>2.1064814814814813E-3</v>
      </c>
      <c r="L1042" s="5">
        <f>377 / 86400</f>
        <v>4.363425925925926E-3</v>
      </c>
    </row>
    <row r="1043" spans="1:12" x14ac:dyDescent="0.25">
      <c r="A1043" s="3">
        <v>45702.309259259258</v>
      </c>
      <c r="B1043" t="s">
        <v>91</v>
      </c>
      <c r="C1043" s="3">
        <v>45702.312268518523</v>
      </c>
      <c r="D1043" t="s">
        <v>398</v>
      </c>
      <c r="E1043" s="4">
        <v>0.81200000000000006</v>
      </c>
      <c r="F1043" s="4">
        <v>400687.54800000001</v>
      </c>
      <c r="G1043" s="4">
        <v>400688.36</v>
      </c>
      <c r="H1043" s="5">
        <f>59 / 86400</f>
        <v>6.8287037037037036E-4</v>
      </c>
      <c r="I1043" t="s">
        <v>184</v>
      </c>
      <c r="J1043" t="s">
        <v>53</v>
      </c>
      <c r="K1043" s="5">
        <f>259 / 86400</f>
        <v>2.9976851851851853E-3</v>
      </c>
      <c r="L1043" s="5">
        <f>2356 / 86400</f>
        <v>2.7268518518518518E-2</v>
      </c>
    </row>
    <row r="1044" spans="1:12" x14ac:dyDescent="0.25">
      <c r="A1044" s="3">
        <v>45702.339537037042</v>
      </c>
      <c r="B1044" t="s">
        <v>398</v>
      </c>
      <c r="C1044" s="3">
        <v>45702.38244212963</v>
      </c>
      <c r="D1044" t="s">
        <v>82</v>
      </c>
      <c r="E1044" s="4">
        <v>23.53</v>
      </c>
      <c r="F1044" s="4">
        <v>400688.36</v>
      </c>
      <c r="G1044" s="4">
        <v>400711.89</v>
      </c>
      <c r="H1044" s="5">
        <f>740 / 86400</f>
        <v>8.564814814814815E-3</v>
      </c>
      <c r="I1044" t="s">
        <v>254</v>
      </c>
      <c r="J1044" t="s">
        <v>37</v>
      </c>
      <c r="K1044" s="5">
        <f>3706 / 86400</f>
        <v>4.2893518518518518E-2</v>
      </c>
      <c r="L1044" s="5">
        <f>3110 / 86400</f>
        <v>3.5995370370370372E-2</v>
      </c>
    </row>
    <row r="1045" spans="1:12" x14ac:dyDescent="0.25">
      <c r="A1045" s="3">
        <v>45702.418437500004</v>
      </c>
      <c r="B1045" t="s">
        <v>82</v>
      </c>
      <c r="C1045" s="3">
        <v>45702.430567129632</v>
      </c>
      <c r="D1045" t="s">
        <v>397</v>
      </c>
      <c r="E1045" s="4">
        <v>8.6969999999999992</v>
      </c>
      <c r="F1045" s="4">
        <v>400711.89</v>
      </c>
      <c r="G1045" s="4">
        <v>400720.587</v>
      </c>
      <c r="H1045" s="5">
        <f>120 / 86400</f>
        <v>1.3888888888888889E-3</v>
      </c>
      <c r="I1045" t="s">
        <v>337</v>
      </c>
      <c r="J1045" t="s">
        <v>189</v>
      </c>
      <c r="K1045" s="5">
        <f>1047 / 86400</f>
        <v>1.2118055555555556E-2</v>
      </c>
      <c r="L1045" s="5">
        <f>3446 / 86400</f>
        <v>3.9884259259259258E-2</v>
      </c>
    </row>
    <row r="1046" spans="1:12" x14ac:dyDescent="0.25">
      <c r="A1046" s="3">
        <v>45702.470451388886</v>
      </c>
      <c r="B1046" t="s">
        <v>397</v>
      </c>
      <c r="C1046" s="3">
        <v>45702.471192129626</v>
      </c>
      <c r="D1046" t="s">
        <v>397</v>
      </c>
      <c r="E1046" s="4">
        <v>0</v>
      </c>
      <c r="F1046" s="4">
        <v>400720.587</v>
      </c>
      <c r="G1046" s="4">
        <v>400720.587</v>
      </c>
      <c r="H1046" s="5">
        <f>59 / 86400</f>
        <v>6.8287037037037036E-4</v>
      </c>
      <c r="I1046" t="s">
        <v>88</v>
      </c>
      <c r="J1046" t="s">
        <v>88</v>
      </c>
      <c r="K1046" s="5">
        <f>64 / 86400</f>
        <v>7.407407407407407E-4</v>
      </c>
      <c r="L1046" s="5">
        <f>4749 / 86400</f>
        <v>5.496527777777778E-2</v>
      </c>
    </row>
    <row r="1047" spans="1:12" x14ac:dyDescent="0.25">
      <c r="A1047" s="3">
        <v>45702.52615740741</v>
      </c>
      <c r="B1047" t="s">
        <v>397</v>
      </c>
      <c r="C1047" s="3">
        <v>45702.540347222224</v>
      </c>
      <c r="D1047" t="s">
        <v>128</v>
      </c>
      <c r="E1047" s="4">
        <v>9.08</v>
      </c>
      <c r="F1047" s="4">
        <v>400720.587</v>
      </c>
      <c r="G1047" s="4">
        <v>400729.66700000002</v>
      </c>
      <c r="H1047" s="5">
        <f>259 / 86400</f>
        <v>2.9976851851851853E-3</v>
      </c>
      <c r="I1047" t="s">
        <v>67</v>
      </c>
      <c r="J1047" t="s">
        <v>135</v>
      </c>
      <c r="K1047" s="5">
        <f>1225 / 86400</f>
        <v>1.4178240740740741E-2</v>
      </c>
      <c r="L1047" s="5">
        <f>670 / 86400</f>
        <v>7.7546296296296295E-3</v>
      </c>
    </row>
    <row r="1048" spans="1:12" x14ac:dyDescent="0.25">
      <c r="A1048" s="3">
        <v>45702.548101851848</v>
      </c>
      <c r="B1048" t="s">
        <v>128</v>
      </c>
      <c r="C1048" s="3">
        <v>45702.648090277777</v>
      </c>
      <c r="D1048" t="s">
        <v>399</v>
      </c>
      <c r="E1048" s="4">
        <v>53.959000000000003</v>
      </c>
      <c r="F1048" s="4">
        <v>400729.66700000002</v>
      </c>
      <c r="G1048" s="4">
        <v>400783.62599999999</v>
      </c>
      <c r="H1048" s="5">
        <f>1878 / 86400</f>
        <v>2.1736111111111112E-2</v>
      </c>
      <c r="I1048" t="s">
        <v>39</v>
      </c>
      <c r="J1048" t="s">
        <v>130</v>
      </c>
      <c r="K1048" s="5">
        <f>8639 / 86400</f>
        <v>9.9988425925925925E-2</v>
      </c>
      <c r="L1048" s="5">
        <f>4994 / 86400</f>
        <v>5.7800925925925929E-2</v>
      </c>
    </row>
    <row r="1049" spans="1:12" x14ac:dyDescent="0.25">
      <c r="A1049" s="3">
        <v>45702.705891203703</v>
      </c>
      <c r="B1049" t="s">
        <v>399</v>
      </c>
      <c r="C1049" s="3">
        <v>45702.797627314816</v>
      </c>
      <c r="D1049" t="s">
        <v>158</v>
      </c>
      <c r="E1049" s="4">
        <v>22.404</v>
      </c>
      <c r="F1049" s="4">
        <v>400783.62599999999</v>
      </c>
      <c r="G1049" s="4">
        <v>400806.03</v>
      </c>
      <c r="H1049" s="5">
        <f>3561 / 86400</f>
        <v>4.1215277777777781E-2</v>
      </c>
      <c r="I1049" t="s">
        <v>335</v>
      </c>
      <c r="J1049" t="s">
        <v>126</v>
      </c>
      <c r="K1049" s="5">
        <f>7926 / 86400</f>
        <v>9.1736111111111115E-2</v>
      </c>
      <c r="L1049" s="5">
        <f>430 / 86400</f>
        <v>4.9768518518518521E-3</v>
      </c>
    </row>
    <row r="1050" spans="1:12" x14ac:dyDescent="0.25">
      <c r="A1050" s="3">
        <v>45702.802604166667</v>
      </c>
      <c r="B1050" t="s">
        <v>158</v>
      </c>
      <c r="C1050" s="3">
        <v>45702.982881944445</v>
      </c>
      <c r="D1050" t="s">
        <v>153</v>
      </c>
      <c r="E1050" s="4">
        <v>49.688000000000002</v>
      </c>
      <c r="F1050" s="4">
        <v>400806.03</v>
      </c>
      <c r="G1050" s="4">
        <v>400855.71799999999</v>
      </c>
      <c r="H1050" s="5">
        <f>6700 / 86400</f>
        <v>7.7546296296296294E-2</v>
      </c>
      <c r="I1050" t="s">
        <v>335</v>
      </c>
      <c r="J1050" t="s">
        <v>53</v>
      </c>
      <c r="K1050" s="5">
        <f>15576 / 86400</f>
        <v>0.18027777777777779</v>
      </c>
      <c r="L1050" s="5">
        <f>81 / 86400</f>
        <v>9.3749999999999997E-4</v>
      </c>
    </row>
    <row r="1051" spans="1:12" x14ac:dyDescent="0.25">
      <c r="A1051" s="3">
        <v>45702.983819444446</v>
      </c>
      <c r="B1051" t="s">
        <v>82</v>
      </c>
      <c r="C1051" s="3">
        <v>45702.987708333334</v>
      </c>
      <c r="D1051" t="s">
        <v>92</v>
      </c>
      <c r="E1051" s="4">
        <v>0.88800000000000001</v>
      </c>
      <c r="F1051" s="4">
        <v>400855.71799999999</v>
      </c>
      <c r="G1051" s="4">
        <v>400856.60600000003</v>
      </c>
      <c r="H1051" s="5">
        <f>100 / 86400</f>
        <v>1.1574074074074073E-3</v>
      </c>
      <c r="I1051" t="s">
        <v>155</v>
      </c>
      <c r="J1051" t="s">
        <v>126</v>
      </c>
      <c r="K1051" s="5">
        <f>336 / 86400</f>
        <v>3.8888888888888888E-3</v>
      </c>
      <c r="L1051" s="5">
        <f>1061 / 86400</f>
        <v>1.2280092592592592E-2</v>
      </c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</row>
    <row r="1054" spans="1:12" s="10" customFormat="1" ht="20.100000000000001" customHeight="1" x14ac:dyDescent="0.35">
      <c r="A1054" s="15" t="s">
        <v>463</v>
      </c>
      <c r="B1054" s="15"/>
      <c r="C1054" s="15"/>
      <c r="D1054" s="15"/>
      <c r="E1054" s="15"/>
      <c r="F1054" s="15"/>
      <c r="G1054" s="15"/>
      <c r="H1054" s="15"/>
      <c r="I1054" s="15"/>
      <c r="J1054" s="15"/>
    </row>
    <row r="1055" spans="1:1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2" ht="30" x14ac:dyDescent="0.25">
      <c r="A1056" s="2" t="s">
        <v>6</v>
      </c>
      <c r="B1056" s="2" t="s">
        <v>7</v>
      </c>
      <c r="C1056" s="2" t="s">
        <v>8</v>
      </c>
      <c r="D1056" s="2" t="s">
        <v>9</v>
      </c>
      <c r="E1056" s="2" t="s">
        <v>10</v>
      </c>
      <c r="F1056" s="2" t="s">
        <v>11</v>
      </c>
      <c r="G1056" s="2" t="s">
        <v>12</v>
      </c>
      <c r="H1056" s="2" t="s">
        <v>13</v>
      </c>
      <c r="I1056" s="2" t="s">
        <v>14</v>
      </c>
      <c r="J1056" s="2" t="s">
        <v>15</v>
      </c>
      <c r="K1056" s="2" t="s">
        <v>16</v>
      </c>
      <c r="L1056" s="2" t="s">
        <v>17</v>
      </c>
    </row>
    <row r="1057" spans="1:12" x14ac:dyDescent="0.25">
      <c r="A1057" s="3">
        <v>45702.204722222217</v>
      </c>
      <c r="B1057" t="s">
        <v>29</v>
      </c>
      <c r="C1057" s="3">
        <v>45702.221238425926</v>
      </c>
      <c r="D1057" t="s">
        <v>103</v>
      </c>
      <c r="E1057" s="4">
        <v>10.403</v>
      </c>
      <c r="F1057" s="4">
        <v>382698.30300000001</v>
      </c>
      <c r="G1057" s="4">
        <v>382708.70600000001</v>
      </c>
      <c r="H1057" s="5">
        <f>299 / 86400</f>
        <v>3.460648148148148E-3</v>
      </c>
      <c r="I1057" t="s">
        <v>67</v>
      </c>
      <c r="J1057" t="s">
        <v>272</v>
      </c>
      <c r="K1057" s="5">
        <f>1426 / 86400</f>
        <v>1.650462962962963E-2</v>
      </c>
      <c r="L1057" s="5">
        <f>17955 / 86400</f>
        <v>0.20781250000000001</v>
      </c>
    </row>
    <row r="1058" spans="1:12" x14ac:dyDescent="0.25">
      <c r="A1058" s="3">
        <v>45702.224328703705</v>
      </c>
      <c r="B1058" t="s">
        <v>103</v>
      </c>
      <c r="C1058" s="3">
        <v>45702.415185185186</v>
      </c>
      <c r="D1058" t="s">
        <v>104</v>
      </c>
      <c r="E1058" s="4">
        <v>63.631</v>
      </c>
      <c r="F1058" s="4">
        <v>382708.70600000001</v>
      </c>
      <c r="G1058" s="4">
        <v>382772.337</v>
      </c>
      <c r="H1058" s="5">
        <f>6477 / 86400</f>
        <v>7.4965277777777783E-2</v>
      </c>
      <c r="I1058" t="s">
        <v>61</v>
      </c>
      <c r="J1058" t="s">
        <v>59</v>
      </c>
      <c r="K1058" s="5">
        <f>16490 / 86400</f>
        <v>0.19085648148148149</v>
      </c>
      <c r="L1058" s="5">
        <f>40 / 86400</f>
        <v>4.6296296296296298E-4</v>
      </c>
    </row>
    <row r="1059" spans="1:12" x14ac:dyDescent="0.25">
      <c r="A1059" s="3">
        <v>45702.415648148148</v>
      </c>
      <c r="B1059" t="s">
        <v>104</v>
      </c>
      <c r="C1059" s="3">
        <v>45702.464201388888</v>
      </c>
      <c r="D1059" t="s">
        <v>48</v>
      </c>
      <c r="E1059" s="4">
        <v>24.329000000000001</v>
      </c>
      <c r="F1059" s="4">
        <v>382772.337</v>
      </c>
      <c r="G1059" s="4">
        <v>382796.66600000003</v>
      </c>
      <c r="H1059" s="5">
        <f>760 / 86400</f>
        <v>8.7962962962962968E-3</v>
      </c>
      <c r="I1059" t="s">
        <v>237</v>
      </c>
      <c r="J1059" t="s">
        <v>21</v>
      </c>
      <c r="K1059" s="5">
        <f>4194 / 86400</f>
        <v>4.8541666666666664E-2</v>
      </c>
      <c r="L1059" s="5">
        <f>1040 / 86400</f>
        <v>1.2037037037037037E-2</v>
      </c>
    </row>
    <row r="1060" spans="1:12" x14ac:dyDescent="0.25">
      <c r="A1060" s="3">
        <v>45702.476238425923</v>
      </c>
      <c r="B1060" t="s">
        <v>48</v>
      </c>
      <c r="C1060" s="3">
        <v>45702.476377314815</v>
      </c>
      <c r="D1060" t="s">
        <v>48</v>
      </c>
      <c r="E1060" s="4">
        <v>6.0000000000000001E-3</v>
      </c>
      <c r="F1060" s="4">
        <v>382796.66600000003</v>
      </c>
      <c r="G1060" s="4">
        <v>382796.67200000002</v>
      </c>
      <c r="H1060" s="5">
        <f>0 / 86400</f>
        <v>0</v>
      </c>
      <c r="I1060" t="s">
        <v>88</v>
      </c>
      <c r="J1060" t="s">
        <v>140</v>
      </c>
      <c r="K1060" s="5">
        <f>11 / 86400</f>
        <v>1.273148148148148E-4</v>
      </c>
      <c r="L1060" s="5">
        <f>1624 / 86400</f>
        <v>1.8796296296296297E-2</v>
      </c>
    </row>
    <row r="1061" spans="1:12" x14ac:dyDescent="0.25">
      <c r="A1061" s="3">
        <v>45702.495173611111</v>
      </c>
      <c r="B1061" t="s">
        <v>48</v>
      </c>
      <c r="C1061" s="3">
        <v>45702.561574074076</v>
      </c>
      <c r="D1061" t="s">
        <v>188</v>
      </c>
      <c r="E1061" s="4">
        <v>32.487000000000002</v>
      </c>
      <c r="F1061" s="4">
        <v>382796.67200000002</v>
      </c>
      <c r="G1061" s="4">
        <v>382829.15899999999</v>
      </c>
      <c r="H1061" s="5">
        <f>1599 / 86400</f>
        <v>1.8506944444444444E-2</v>
      </c>
      <c r="I1061" t="s">
        <v>52</v>
      </c>
      <c r="J1061" t="s">
        <v>145</v>
      </c>
      <c r="K1061" s="5">
        <f>5737 / 86400</f>
        <v>6.6400462962962967E-2</v>
      </c>
      <c r="L1061" s="5">
        <f>73 / 86400</f>
        <v>8.4490740740740739E-4</v>
      </c>
    </row>
    <row r="1062" spans="1:12" x14ac:dyDescent="0.25">
      <c r="A1062" s="3">
        <v>45702.562418981484</v>
      </c>
      <c r="B1062" t="s">
        <v>188</v>
      </c>
      <c r="C1062" s="3">
        <v>45702.594039351854</v>
      </c>
      <c r="D1062" t="s">
        <v>80</v>
      </c>
      <c r="E1062" s="4">
        <v>12.446999999999999</v>
      </c>
      <c r="F1062" s="4">
        <v>382829.15899999999</v>
      </c>
      <c r="G1062" s="4">
        <v>382841.60600000003</v>
      </c>
      <c r="H1062" s="5">
        <f>900 / 86400</f>
        <v>1.0416666666666666E-2</v>
      </c>
      <c r="I1062" t="s">
        <v>236</v>
      </c>
      <c r="J1062" t="s">
        <v>34</v>
      </c>
      <c r="K1062" s="5">
        <f>2732 / 86400</f>
        <v>3.1620370370370368E-2</v>
      </c>
      <c r="L1062" s="5">
        <f>392 / 86400</f>
        <v>4.5370370370370373E-3</v>
      </c>
    </row>
    <row r="1063" spans="1:12" x14ac:dyDescent="0.25">
      <c r="A1063" s="3">
        <v>45702.598576388889</v>
      </c>
      <c r="B1063" t="s">
        <v>80</v>
      </c>
      <c r="C1063" s="3">
        <v>45702.613171296296</v>
      </c>
      <c r="D1063" t="s">
        <v>29</v>
      </c>
      <c r="E1063" s="4">
        <v>2.7589999999999999</v>
      </c>
      <c r="F1063" s="4">
        <v>382841.60600000003</v>
      </c>
      <c r="G1063" s="4">
        <v>382844.36499999999</v>
      </c>
      <c r="H1063" s="5">
        <f>639 / 86400</f>
        <v>7.3958333333333333E-3</v>
      </c>
      <c r="I1063" t="s">
        <v>208</v>
      </c>
      <c r="J1063" t="s">
        <v>123</v>
      </c>
      <c r="K1063" s="5">
        <f>1261 / 86400</f>
        <v>1.4594907407407407E-2</v>
      </c>
      <c r="L1063" s="5">
        <f>2910 / 86400</f>
        <v>3.3680555555555554E-2</v>
      </c>
    </row>
    <row r="1064" spans="1:12" x14ac:dyDescent="0.25">
      <c r="A1064" s="3">
        <v>45702.646851851852</v>
      </c>
      <c r="B1064" t="s">
        <v>29</v>
      </c>
      <c r="C1064" s="3">
        <v>45702.649513888886</v>
      </c>
      <c r="D1064" t="s">
        <v>29</v>
      </c>
      <c r="E1064" s="4">
        <v>0.01</v>
      </c>
      <c r="F1064" s="4">
        <v>382844.36499999999</v>
      </c>
      <c r="G1064" s="4">
        <v>382844.375</v>
      </c>
      <c r="H1064" s="5">
        <f>219 / 86400</f>
        <v>2.5347222222222221E-3</v>
      </c>
      <c r="I1064" t="s">
        <v>88</v>
      </c>
      <c r="J1064" t="s">
        <v>88</v>
      </c>
      <c r="K1064" s="5">
        <f>229 / 86400</f>
        <v>2.650462962962963E-3</v>
      </c>
      <c r="L1064" s="5">
        <f>30281 / 86400</f>
        <v>0.35047453703703701</v>
      </c>
    </row>
    <row r="1065" spans="1:12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</row>
    <row r="1066" spans="1:1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</row>
    <row r="1067" spans="1:12" s="10" customFormat="1" ht="20.100000000000001" customHeight="1" x14ac:dyDescent="0.35">
      <c r="A1067" s="15" t="s">
        <v>464</v>
      </c>
      <c r="B1067" s="15"/>
      <c r="C1067" s="15"/>
      <c r="D1067" s="15"/>
      <c r="E1067" s="15"/>
      <c r="F1067" s="15"/>
      <c r="G1067" s="15"/>
      <c r="H1067" s="15"/>
      <c r="I1067" s="15"/>
      <c r="J1067" s="15"/>
    </row>
    <row r="1068" spans="1:1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</row>
    <row r="1069" spans="1:12" ht="30" x14ac:dyDescent="0.25">
      <c r="A1069" s="2" t="s">
        <v>6</v>
      </c>
      <c r="B1069" s="2" t="s">
        <v>7</v>
      </c>
      <c r="C1069" s="2" t="s">
        <v>8</v>
      </c>
      <c r="D1069" s="2" t="s">
        <v>9</v>
      </c>
      <c r="E1069" s="2" t="s">
        <v>10</v>
      </c>
      <c r="F1069" s="2" t="s">
        <v>11</v>
      </c>
      <c r="G1069" s="2" t="s">
        <v>12</v>
      </c>
      <c r="H1069" s="2" t="s">
        <v>13</v>
      </c>
      <c r="I1069" s="2" t="s">
        <v>14</v>
      </c>
      <c r="J1069" s="2" t="s">
        <v>15</v>
      </c>
      <c r="K1069" s="2" t="s">
        <v>16</v>
      </c>
      <c r="L1069" s="2" t="s">
        <v>17</v>
      </c>
    </row>
    <row r="1070" spans="1:12" x14ac:dyDescent="0.25">
      <c r="A1070" s="3">
        <v>45702.317789351851</v>
      </c>
      <c r="B1070" t="s">
        <v>18</v>
      </c>
      <c r="C1070" s="3">
        <v>45702.59174768519</v>
      </c>
      <c r="D1070" t="s">
        <v>22</v>
      </c>
      <c r="E1070" s="4">
        <v>102.212</v>
      </c>
      <c r="F1070" s="4">
        <v>546324.04700000002</v>
      </c>
      <c r="G1070" s="4">
        <v>546426.25899999996</v>
      </c>
      <c r="H1070" s="5">
        <f>8591 / 86400</f>
        <v>9.9432870370370366E-2</v>
      </c>
      <c r="I1070" t="s">
        <v>93</v>
      </c>
      <c r="J1070" t="s">
        <v>34</v>
      </c>
      <c r="K1070" s="5">
        <f>23669 / 86400</f>
        <v>0.27394675925925926</v>
      </c>
      <c r="L1070" s="5">
        <f>40052 / 86400</f>
        <v>0.46356481481481482</v>
      </c>
    </row>
    <row r="1071" spans="1:12" x14ac:dyDescent="0.25">
      <c r="A1071" s="3">
        <v>45702.737523148149</v>
      </c>
      <c r="B1071" t="s">
        <v>22</v>
      </c>
      <c r="C1071" s="3">
        <v>45702.970162037032</v>
      </c>
      <c r="D1071" t="s">
        <v>363</v>
      </c>
      <c r="E1071" s="4">
        <v>95.049000000000007</v>
      </c>
      <c r="F1071" s="4">
        <v>546426.25899999996</v>
      </c>
      <c r="G1071" s="4">
        <v>546521.30799999996</v>
      </c>
      <c r="H1071" s="5">
        <f>6201 / 86400</f>
        <v>7.1770833333333339E-2</v>
      </c>
      <c r="I1071" t="s">
        <v>39</v>
      </c>
      <c r="J1071" t="s">
        <v>28</v>
      </c>
      <c r="K1071" s="5">
        <f>20099 / 86400</f>
        <v>0.23262731481481483</v>
      </c>
      <c r="L1071" s="5">
        <f>445 / 86400</f>
        <v>5.1504629629629626E-3</v>
      </c>
    </row>
    <row r="1072" spans="1:12" x14ac:dyDescent="0.25">
      <c r="A1072" s="3">
        <v>45702.975312499999</v>
      </c>
      <c r="B1072" t="s">
        <v>363</v>
      </c>
      <c r="C1072" s="3">
        <v>45702.977581018524</v>
      </c>
      <c r="D1072" t="s">
        <v>18</v>
      </c>
      <c r="E1072" s="4">
        <v>0.32200000000000001</v>
      </c>
      <c r="F1072" s="4">
        <v>546521.30799999996</v>
      </c>
      <c r="G1072" s="4">
        <v>546521.63</v>
      </c>
      <c r="H1072" s="5">
        <f>39 / 86400</f>
        <v>4.5138888888888887E-4</v>
      </c>
      <c r="I1072" t="s">
        <v>184</v>
      </c>
      <c r="J1072" t="s">
        <v>132</v>
      </c>
      <c r="K1072" s="5">
        <f>196 / 86400</f>
        <v>2.2685185185185187E-3</v>
      </c>
      <c r="L1072" s="5">
        <f>172 / 86400</f>
        <v>1.9907407407407408E-3</v>
      </c>
    </row>
    <row r="1073" spans="1:12" x14ac:dyDescent="0.25">
      <c r="A1073" s="3">
        <v>45702.979571759264</v>
      </c>
      <c r="B1073" t="s">
        <v>18</v>
      </c>
      <c r="C1073" s="3">
        <v>45702.979999999996</v>
      </c>
      <c r="D1073" t="s">
        <v>18</v>
      </c>
      <c r="E1073" s="4">
        <v>0.02</v>
      </c>
      <c r="F1073" s="4">
        <v>546521.63</v>
      </c>
      <c r="G1073" s="4">
        <v>546521.65</v>
      </c>
      <c r="H1073" s="5">
        <f>0 / 86400</f>
        <v>0</v>
      </c>
      <c r="I1073" t="s">
        <v>127</v>
      </c>
      <c r="J1073" t="s">
        <v>140</v>
      </c>
      <c r="K1073" s="5">
        <f>37 / 86400</f>
        <v>4.2824074074074075E-4</v>
      </c>
      <c r="L1073" s="5">
        <f>1727 / 86400</f>
        <v>1.9988425925925927E-2</v>
      </c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2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</row>
    <row r="1076" spans="1:12" s="10" customFormat="1" ht="20.100000000000001" customHeight="1" x14ac:dyDescent="0.35">
      <c r="A1076" s="15" t="s">
        <v>465</v>
      </c>
      <c r="B1076" s="15"/>
      <c r="C1076" s="15"/>
      <c r="D1076" s="15"/>
      <c r="E1076" s="15"/>
      <c r="F1076" s="15"/>
      <c r="G1076" s="15"/>
      <c r="H1076" s="15"/>
      <c r="I1076" s="15"/>
      <c r="J1076" s="15"/>
    </row>
    <row r="1077" spans="1:1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</row>
    <row r="1078" spans="1:12" ht="30" x14ac:dyDescent="0.25">
      <c r="A1078" s="2" t="s">
        <v>6</v>
      </c>
      <c r="B1078" s="2" t="s">
        <v>7</v>
      </c>
      <c r="C1078" s="2" t="s">
        <v>8</v>
      </c>
      <c r="D1078" s="2" t="s">
        <v>9</v>
      </c>
      <c r="E1078" s="2" t="s">
        <v>10</v>
      </c>
      <c r="F1078" s="2" t="s">
        <v>11</v>
      </c>
      <c r="G1078" s="2" t="s">
        <v>12</v>
      </c>
      <c r="H1078" s="2" t="s">
        <v>13</v>
      </c>
      <c r="I1078" s="2" t="s">
        <v>14</v>
      </c>
      <c r="J1078" s="2" t="s">
        <v>15</v>
      </c>
      <c r="K1078" s="2" t="s">
        <v>16</v>
      </c>
      <c r="L1078" s="2" t="s">
        <v>17</v>
      </c>
    </row>
    <row r="1079" spans="1:12" x14ac:dyDescent="0.25">
      <c r="A1079" s="3">
        <v>45702.008159722223</v>
      </c>
      <c r="B1079" t="s">
        <v>92</v>
      </c>
      <c r="C1079" s="3">
        <v>45702.010821759264</v>
      </c>
      <c r="D1079" t="s">
        <v>94</v>
      </c>
      <c r="E1079" s="4">
        <v>0.55000000000000004</v>
      </c>
      <c r="F1079" s="4">
        <v>103983.429</v>
      </c>
      <c r="G1079" s="4">
        <v>103983.97900000001</v>
      </c>
      <c r="H1079" s="5">
        <f>120 / 86400</f>
        <v>1.3888888888888889E-3</v>
      </c>
      <c r="I1079" t="s">
        <v>139</v>
      </c>
      <c r="J1079" t="s">
        <v>57</v>
      </c>
      <c r="K1079" s="5">
        <f>230 / 86400</f>
        <v>2.662037037037037E-3</v>
      </c>
      <c r="L1079" s="5">
        <f>1119 / 86400</f>
        <v>1.2951388888888889E-2</v>
      </c>
    </row>
    <row r="1080" spans="1:12" x14ac:dyDescent="0.25">
      <c r="A1080" s="3">
        <v>45702.01561342593</v>
      </c>
      <c r="B1080" t="s">
        <v>94</v>
      </c>
      <c r="C1080" s="3">
        <v>45702.016365740739</v>
      </c>
      <c r="D1080" t="s">
        <v>94</v>
      </c>
      <c r="E1080" s="4">
        <v>6.5000000000000002E-2</v>
      </c>
      <c r="F1080" s="4">
        <v>103983.97900000001</v>
      </c>
      <c r="G1080" s="4">
        <v>103984.04399999999</v>
      </c>
      <c r="H1080" s="5">
        <f>20 / 86400</f>
        <v>2.3148148148148149E-4</v>
      </c>
      <c r="I1080" t="s">
        <v>35</v>
      </c>
      <c r="J1080" t="s">
        <v>156</v>
      </c>
      <c r="K1080" s="5">
        <f>65 / 86400</f>
        <v>7.5231481481481482E-4</v>
      </c>
      <c r="L1080" s="5">
        <f>17508 / 86400</f>
        <v>0.2026388888888889</v>
      </c>
    </row>
    <row r="1081" spans="1:12" x14ac:dyDescent="0.25">
      <c r="A1081" s="3">
        <v>45702.219004629631</v>
      </c>
      <c r="B1081" t="s">
        <v>94</v>
      </c>
      <c r="C1081" s="3">
        <v>45702.228495370371</v>
      </c>
      <c r="D1081" t="s">
        <v>94</v>
      </c>
      <c r="E1081" s="4">
        <v>4.8000000000000001E-2</v>
      </c>
      <c r="F1081" s="4">
        <v>103984.04399999999</v>
      </c>
      <c r="G1081" s="4">
        <v>103984.092</v>
      </c>
      <c r="H1081" s="5">
        <f>778 / 86400</f>
        <v>9.0046296296296298E-3</v>
      </c>
      <c r="I1081" t="s">
        <v>57</v>
      </c>
      <c r="J1081" t="s">
        <v>88</v>
      </c>
      <c r="K1081" s="5">
        <f>820 / 86400</f>
        <v>9.4907407407407406E-3</v>
      </c>
      <c r="L1081" s="5">
        <f>2052 / 86400</f>
        <v>2.375E-2</v>
      </c>
    </row>
    <row r="1082" spans="1:12" x14ac:dyDescent="0.25">
      <c r="A1082" s="3">
        <v>45702.252245370371</v>
      </c>
      <c r="B1082" t="s">
        <v>94</v>
      </c>
      <c r="C1082" s="3">
        <v>45702.412175925929</v>
      </c>
      <c r="D1082" t="s">
        <v>48</v>
      </c>
      <c r="E1082" s="4">
        <v>78.825000000000003</v>
      </c>
      <c r="F1082" s="4">
        <v>103984.092</v>
      </c>
      <c r="G1082" s="4">
        <v>104062.917</v>
      </c>
      <c r="H1082" s="5">
        <f>4356 / 86400</f>
        <v>5.0416666666666665E-2</v>
      </c>
      <c r="I1082" t="s">
        <v>400</v>
      </c>
      <c r="J1082" t="s">
        <v>21</v>
      </c>
      <c r="K1082" s="5">
        <f>13818 / 86400</f>
        <v>0.15993055555555555</v>
      </c>
      <c r="L1082" s="5">
        <f>1676 / 86400</f>
        <v>1.9398148148148147E-2</v>
      </c>
    </row>
    <row r="1083" spans="1:12" x14ac:dyDescent="0.25">
      <c r="A1083" s="3">
        <v>45702.431574074071</v>
      </c>
      <c r="B1083" t="s">
        <v>48</v>
      </c>
      <c r="C1083" s="3">
        <v>45702.432314814811</v>
      </c>
      <c r="D1083" t="s">
        <v>48</v>
      </c>
      <c r="E1083" s="4">
        <v>0.02</v>
      </c>
      <c r="F1083" s="4">
        <v>104062.917</v>
      </c>
      <c r="G1083" s="4">
        <v>104062.93700000001</v>
      </c>
      <c r="H1083" s="5">
        <f>37 / 86400</f>
        <v>4.2824074074074075E-4</v>
      </c>
      <c r="I1083" t="s">
        <v>127</v>
      </c>
      <c r="J1083" t="s">
        <v>120</v>
      </c>
      <c r="K1083" s="5">
        <f>64 / 86400</f>
        <v>7.407407407407407E-4</v>
      </c>
      <c r="L1083" s="5">
        <f>910 / 86400</f>
        <v>1.0532407407407407E-2</v>
      </c>
    </row>
    <row r="1084" spans="1:12" x14ac:dyDescent="0.25">
      <c r="A1084" s="3">
        <v>45702.442847222221</v>
      </c>
      <c r="B1084" t="s">
        <v>48</v>
      </c>
      <c r="C1084" s="3">
        <v>45702.445335648154</v>
      </c>
      <c r="D1084" t="s">
        <v>87</v>
      </c>
      <c r="E1084" s="4">
        <v>0.41599999999999998</v>
      </c>
      <c r="F1084" s="4">
        <v>104062.93700000001</v>
      </c>
      <c r="G1084" s="4">
        <v>104063.353</v>
      </c>
      <c r="H1084" s="5">
        <f>60 / 86400</f>
        <v>6.9444444444444447E-4</v>
      </c>
      <c r="I1084" t="s">
        <v>130</v>
      </c>
      <c r="J1084" t="s">
        <v>138</v>
      </c>
      <c r="K1084" s="5">
        <f>215 / 86400</f>
        <v>2.488425925925926E-3</v>
      </c>
      <c r="L1084" s="5">
        <f>424 / 86400</f>
        <v>4.9074074074074072E-3</v>
      </c>
    </row>
    <row r="1085" spans="1:12" x14ac:dyDescent="0.25">
      <c r="A1085" s="3">
        <v>45702.450243055559</v>
      </c>
      <c r="B1085" t="s">
        <v>87</v>
      </c>
      <c r="C1085" s="3">
        <v>45702.453900462962</v>
      </c>
      <c r="D1085" t="s">
        <v>401</v>
      </c>
      <c r="E1085" s="4">
        <v>0.23300000000000001</v>
      </c>
      <c r="F1085" s="4">
        <v>104063.353</v>
      </c>
      <c r="G1085" s="4">
        <v>104063.586</v>
      </c>
      <c r="H1085" s="5">
        <f>178 / 86400</f>
        <v>2.0601851851851853E-3</v>
      </c>
      <c r="I1085" t="s">
        <v>21</v>
      </c>
      <c r="J1085" t="s">
        <v>152</v>
      </c>
      <c r="K1085" s="5">
        <f>316 / 86400</f>
        <v>3.6574074074074074E-3</v>
      </c>
      <c r="L1085" s="5">
        <f>252 / 86400</f>
        <v>2.9166666666666668E-3</v>
      </c>
    </row>
    <row r="1086" spans="1:12" x14ac:dyDescent="0.25">
      <c r="A1086" s="3">
        <v>45702.456817129627</v>
      </c>
      <c r="B1086" t="s">
        <v>401</v>
      </c>
      <c r="C1086" s="3">
        <v>45702.459780092591</v>
      </c>
      <c r="D1086" t="s">
        <v>125</v>
      </c>
      <c r="E1086" s="4">
        <v>0.73899999999999999</v>
      </c>
      <c r="F1086" s="4">
        <v>104063.586</v>
      </c>
      <c r="G1086" s="4">
        <v>104064.325</v>
      </c>
      <c r="H1086" s="5">
        <f>20 / 86400</f>
        <v>2.3148148148148149E-4</v>
      </c>
      <c r="I1086" t="s">
        <v>130</v>
      </c>
      <c r="J1086" t="s">
        <v>126</v>
      </c>
      <c r="K1086" s="5">
        <f>256 / 86400</f>
        <v>2.9629629629629628E-3</v>
      </c>
      <c r="L1086" s="5">
        <f>1101 / 86400</f>
        <v>1.2743055555555556E-2</v>
      </c>
    </row>
    <row r="1087" spans="1:12" x14ac:dyDescent="0.25">
      <c r="A1087" s="3">
        <v>45702.47252314815</v>
      </c>
      <c r="B1087" t="s">
        <v>125</v>
      </c>
      <c r="C1087" s="3">
        <v>45702.721203703702</v>
      </c>
      <c r="D1087" t="s">
        <v>153</v>
      </c>
      <c r="E1087" s="4">
        <v>97.938000000000002</v>
      </c>
      <c r="F1087" s="4">
        <v>104064.325</v>
      </c>
      <c r="G1087" s="4">
        <v>104162.26300000001</v>
      </c>
      <c r="H1087" s="5">
        <f>8396 / 86400</f>
        <v>9.7175925925925929E-2</v>
      </c>
      <c r="I1087" t="s">
        <v>95</v>
      </c>
      <c r="J1087" t="s">
        <v>34</v>
      </c>
      <c r="K1087" s="5">
        <f>21486 / 86400</f>
        <v>0.24868055555555554</v>
      </c>
      <c r="L1087" s="5">
        <f>125 / 86400</f>
        <v>1.4467592592592592E-3</v>
      </c>
    </row>
    <row r="1088" spans="1:12" x14ac:dyDescent="0.25">
      <c r="A1088" s="3">
        <v>45702.722650462965</v>
      </c>
      <c r="B1088" t="s">
        <v>153</v>
      </c>
      <c r="C1088" s="3">
        <v>45702.72283564815</v>
      </c>
      <c r="D1088" t="s">
        <v>82</v>
      </c>
      <c r="E1088" s="4">
        <v>2.3E-2</v>
      </c>
      <c r="F1088" s="4">
        <v>104162.26300000001</v>
      </c>
      <c r="G1088" s="4">
        <v>104162.28599999999</v>
      </c>
      <c r="H1088" s="5">
        <f>0 / 86400</f>
        <v>0</v>
      </c>
      <c r="I1088" t="s">
        <v>88</v>
      </c>
      <c r="J1088" t="s">
        <v>127</v>
      </c>
      <c r="K1088" s="5">
        <f>16 / 86400</f>
        <v>1.8518518518518518E-4</v>
      </c>
      <c r="L1088" s="5">
        <f>272 / 86400</f>
        <v>3.1481481481481482E-3</v>
      </c>
    </row>
    <row r="1089" spans="1:12" x14ac:dyDescent="0.25">
      <c r="A1089" s="3">
        <v>45702.725983796292</v>
      </c>
      <c r="B1089" t="s">
        <v>82</v>
      </c>
      <c r="C1089" s="3">
        <v>45702.726215277777</v>
      </c>
      <c r="D1089" t="s">
        <v>82</v>
      </c>
      <c r="E1089" s="4">
        <v>8.0000000000000002E-3</v>
      </c>
      <c r="F1089" s="4">
        <v>104162.28599999999</v>
      </c>
      <c r="G1089" s="4">
        <v>104162.29399999999</v>
      </c>
      <c r="H1089" s="5">
        <f>0 / 86400</f>
        <v>0</v>
      </c>
      <c r="I1089" t="s">
        <v>88</v>
      </c>
      <c r="J1089" t="s">
        <v>120</v>
      </c>
      <c r="K1089" s="5">
        <f>20 / 86400</f>
        <v>2.3148148148148149E-4</v>
      </c>
      <c r="L1089" s="5">
        <f>295 / 86400</f>
        <v>3.414351851851852E-3</v>
      </c>
    </row>
    <row r="1090" spans="1:12" x14ac:dyDescent="0.25">
      <c r="A1090" s="3">
        <v>45702.729629629626</v>
      </c>
      <c r="B1090" t="s">
        <v>82</v>
      </c>
      <c r="C1090" s="3">
        <v>45702.771087962959</v>
      </c>
      <c r="D1090" t="s">
        <v>38</v>
      </c>
      <c r="E1090" s="4">
        <v>20.646000000000001</v>
      </c>
      <c r="F1090" s="4">
        <v>104162.29399999999</v>
      </c>
      <c r="G1090" s="4">
        <v>104182.94</v>
      </c>
      <c r="H1090" s="5">
        <f>1257 / 86400</f>
        <v>1.4548611111111111E-2</v>
      </c>
      <c r="I1090" t="s">
        <v>93</v>
      </c>
      <c r="J1090" t="s">
        <v>21</v>
      </c>
      <c r="K1090" s="5">
        <f>3582 / 86400</f>
        <v>4.1458333333333333E-2</v>
      </c>
      <c r="L1090" s="5">
        <f>569 / 86400</f>
        <v>6.5856481481481478E-3</v>
      </c>
    </row>
    <row r="1091" spans="1:12" x14ac:dyDescent="0.25">
      <c r="A1091" s="3">
        <v>45702.777673611112</v>
      </c>
      <c r="B1091" t="s">
        <v>38</v>
      </c>
      <c r="C1091" s="3">
        <v>45702.796909722223</v>
      </c>
      <c r="D1091" t="s">
        <v>402</v>
      </c>
      <c r="E1091" s="4">
        <v>13.252000000000001</v>
      </c>
      <c r="F1091" s="4">
        <v>104182.94</v>
      </c>
      <c r="G1091" s="4">
        <v>104196.192</v>
      </c>
      <c r="H1091" s="5">
        <f>259 / 86400</f>
        <v>2.9976851851851853E-3</v>
      </c>
      <c r="I1091" t="s">
        <v>170</v>
      </c>
      <c r="J1091" t="s">
        <v>147</v>
      </c>
      <c r="K1091" s="5">
        <f>1662 / 86400</f>
        <v>1.923611111111111E-2</v>
      </c>
      <c r="L1091" s="5">
        <f>181 / 86400</f>
        <v>2.0949074074074073E-3</v>
      </c>
    </row>
    <row r="1092" spans="1:12" x14ac:dyDescent="0.25">
      <c r="A1092" s="3">
        <v>45702.799004629633</v>
      </c>
      <c r="B1092" t="s">
        <v>402</v>
      </c>
      <c r="C1092" s="3">
        <v>45702.813194444447</v>
      </c>
      <c r="D1092" t="s">
        <v>94</v>
      </c>
      <c r="E1092" s="4">
        <v>3.843</v>
      </c>
      <c r="F1092" s="4">
        <v>104196.192</v>
      </c>
      <c r="G1092" s="4">
        <v>104200.035</v>
      </c>
      <c r="H1092" s="5">
        <f>437 / 86400</f>
        <v>5.0578703703703706E-3</v>
      </c>
      <c r="I1092" t="s">
        <v>173</v>
      </c>
      <c r="J1092" t="s">
        <v>53</v>
      </c>
      <c r="K1092" s="5">
        <f>1226 / 86400</f>
        <v>1.4189814814814815E-2</v>
      </c>
      <c r="L1092" s="5">
        <f>1025 / 86400</f>
        <v>1.1863425925925927E-2</v>
      </c>
    </row>
    <row r="1093" spans="1:12" x14ac:dyDescent="0.25">
      <c r="A1093" s="3">
        <v>45702.825057870374</v>
      </c>
      <c r="B1093" t="s">
        <v>94</v>
      </c>
      <c r="C1093" s="3">
        <v>45702.82576388889</v>
      </c>
      <c r="D1093" t="s">
        <v>94</v>
      </c>
      <c r="E1093" s="4">
        <v>6.0999999999999999E-2</v>
      </c>
      <c r="F1093" s="4">
        <v>104200.035</v>
      </c>
      <c r="G1093" s="4">
        <v>104200.09600000001</v>
      </c>
      <c r="H1093" s="5">
        <f>20 / 86400</f>
        <v>2.3148148148148149E-4</v>
      </c>
      <c r="I1093" t="s">
        <v>57</v>
      </c>
      <c r="J1093" t="s">
        <v>156</v>
      </c>
      <c r="K1093" s="5">
        <f>61 / 86400</f>
        <v>7.0601851851851847E-4</v>
      </c>
      <c r="L1093" s="5">
        <f>15053 / 86400</f>
        <v>0.17422453703703702</v>
      </c>
    </row>
    <row r="1094" spans="1:1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s="10" customFormat="1" ht="20.100000000000001" customHeight="1" x14ac:dyDescent="0.35">
      <c r="A1096" s="15" t="s">
        <v>466</v>
      </c>
      <c r="B1096" s="15"/>
      <c r="C1096" s="15"/>
      <c r="D1096" s="15"/>
      <c r="E1096" s="15"/>
      <c r="F1096" s="15"/>
      <c r="G1096" s="15"/>
      <c r="H1096" s="15"/>
      <c r="I1096" s="15"/>
      <c r="J1096" s="15"/>
    </row>
    <row r="1097" spans="1:1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</row>
    <row r="1098" spans="1:12" ht="30" x14ac:dyDescent="0.25">
      <c r="A1098" s="2" t="s">
        <v>6</v>
      </c>
      <c r="B1098" s="2" t="s">
        <v>7</v>
      </c>
      <c r="C1098" s="2" t="s">
        <v>8</v>
      </c>
      <c r="D1098" s="2" t="s">
        <v>9</v>
      </c>
      <c r="E1098" s="2" t="s">
        <v>10</v>
      </c>
      <c r="F1098" s="2" t="s">
        <v>11</v>
      </c>
      <c r="G1098" s="2" t="s">
        <v>12</v>
      </c>
      <c r="H1098" s="2" t="s">
        <v>13</v>
      </c>
      <c r="I1098" s="2" t="s">
        <v>14</v>
      </c>
      <c r="J1098" s="2" t="s">
        <v>15</v>
      </c>
      <c r="K1098" s="2" t="s">
        <v>16</v>
      </c>
      <c r="L1098" s="2" t="s">
        <v>17</v>
      </c>
    </row>
    <row r="1099" spans="1:12" x14ac:dyDescent="0.25">
      <c r="A1099" s="3">
        <v>45702.210416666669</v>
      </c>
      <c r="B1099" t="s">
        <v>26</v>
      </c>
      <c r="C1099" s="3">
        <v>45702.211793981478</v>
      </c>
      <c r="D1099" t="s">
        <v>26</v>
      </c>
      <c r="E1099" s="4">
        <v>0</v>
      </c>
      <c r="F1099" s="4">
        <v>54475.678</v>
      </c>
      <c r="G1099" s="4">
        <v>54475.678</v>
      </c>
      <c r="H1099" s="5">
        <f>98 / 86400</f>
        <v>1.1342592592592593E-3</v>
      </c>
      <c r="I1099" t="s">
        <v>88</v>
      </c>
      <c r="J1099" t="s">
        <v>88</v>
      </c>
      <c r="K1099" s="5">
        <f>119 / 86400</f>
        <v>1.3773148148148147E-3</v>
      </c>
      <c r="L1099" s="5">
        <f>19249 / 86400</f>
        <v>0.22278935185185186</v>
      </c>
    </row>
    <row r="1100" spans="1:12" x14ac:dyDescent="0.25">
      <c r="A1100" s="3">
        <v>45702.224166666667</v>
      </c>
      <c r="B1100" t="s">
        <v>26</v>
      </c>
      <c r="C1100" s="3">
        <v>45702.278043981481</v>
      </c>
      <c r="D1100" t="s">
        <v>190</v>
      </c>
      <c r="E1100" s="4">
        <v>20.742000000000001</v>
      </c>
      <c r="F1100" s="4">
        <v>54475.678</v>
      </c>
      <c r="G1100" s="4">
        <v>54496.42</v>
      </c>
      <c r="H1100" s="5">
        <f>1338 / 86400</f>
        <v>1.5486111111111112E-2</v>
      </c>
      <c r="I1100" t="s">
        <v>233</v>
      </c>
      <c r="J1100" t="s">
        <v>34</v>
      </c>
      <c r="K1100" s="5">
        <f>4655 / 86400</f>
        <v>5.3877314814814815E-2</v>
      </c>
      <c r="L1100" s="5">
        <f>394 / 86400</f>
        <v>4.5601851851851853E-3</v>
      </c>
    </row>
    <row r="1101" spans="1:12" x14ac:dyDescent="0.25">
      <c r="A1101" s="3">
        <v>45702.28260416667</v>
      </c>
      <c r="B1101" t="s">
        <v>190</v>
      </c>
      <c r="C1101" s="3">
        <v>45702.341631944444</v>
      </c>
      <c r="D1101" t="s">
        <v>217</v>
      </c>
      <c r="E1101" s="4">
        <v>19.585000000000001</v>
      </c>
      <c r="F1101" s="4">
        <v>54496.42</v>
      </c>
      <c r="G1101" s="4">
        <v>54516.004999999997</v>
      </c>
      <c r="H1101" s="5">
        <f>1919 / 86400</f>
        <v>2.2210648148148149E-2</v>
      </c>
      <c r="I1101" t="s">
        <v>211</v>
      </c>
      <c r="J1101" t="s">
        <v>59</v>
      </c>
      <c r="K1101" s="5">
        <f>5100 / 86400</f>
        <v>5.9027777777777776E-2</v>
      </c>
      <c r="L1101" s="5">
        <f>748 / 86400</f>
        <v>8.6574074074074071E-3</v>
      </c>
    </row>
    <row r="1102" spans="1:12" x14ac:dyDescent="0.25">
      <c r="A1102" s="3">
        <v>45702.350289351853</v>
      </c>
      <c r="B1102" t="s">
        <v>217</v>
      </c>
      <c r="C1102" s="3">
        <v>45702.384016203709</v>
      </c>
      <c r="D1102" t="s">
        <v>87</v>
      </c>
      <c r="E1102" s="4">
        <v>13.382</v>
      </c>
      <c r="F1102" s="4">
        <v>54516.004999999997</v>
      </c>
      <c r="G1102" s="4">
        <v>54529.387000000002</v>
      </c>
      <c r="H1102" s="5">
        <f>140 / 86400</f>
        <v>1.6203703703703703E-3</v>
      </c>
      <c r="I1102" t="s">
        <v>205</v>
      </c>
      <c r="J1102" t="s">
        <v>28</v>
      </c>
      <c r="K1102" s="5">
        <f>2914 / 86400</f>
        <v>3.3726851851851855E-2</v>
      </c>
      <c r="L1102" s="5">
        <f>15121 / 86400</f>
        <v>0.17501157407407408</v>
      </c>
    </row>
    <row r="1103" spans="1:12" x14ac:dyDescent="0.25">
      <c r="A1103" s="3">
        <v>45702.559027777781</v>
      </c>
      <c r="B1103" t="s">
        <v>87</v>
      </c>
      <c r="C1103" s="3">
        <v>45702.559178240743</v>
      </c>
      <c r="D1103" t="s">
        <v>87</v>
      </c>
      <c r="E1103" s="4">
        <v>0</v>
      </c>
      <c r="F1103" s="4">
        <v>54529.387000000002</v>
      </c>
      <c r="G1103" s="4">
        <v>54529.387000000002</v>
      </c>
      <c r="H1103" s="5">
        <f>0 / 86400</f>
        <v>0</v>
      </c>
      <c r="I1103" t="s">
        <v>88</v>
      </c>
      <c r="J1103" t="s">
        <v>88</v>
      </c>
      <c r="K1103" s="5">
        <f>13 / 86400</f>
        <v>1.5046296296296297E-4</v>
      </c>
      <c r="L1103" s="5">
        <f>9083 / 86400</f>
        <v>0.10512731481481481</v>
      </c>
    </row>
    <row r="1104" spans="1:12" x14ac:dyDescent="0.25">
      <c r="A1104" s="3">
        <v>45702.664305555554</v>
      </c>
      <c r="B1104" t="s">
        <v>87</v>
      </c>
      <c r="C1104" s="3">
        <v>45702.664456018523</v>
      </c>
      <c r="D1104" t="s">
        <v>87</v>
      </c>
      <c r="E1104" s="4">
        <v>0</v>
      </c>
      <c r="F1104" s="4">
        <v>54529.387000000002</v>
      </c>
      <c r="G1104" s="4">
        <v>54529.387000000002</v>
      </c>
      <c r="H1104" s="5">
        <f>0 / 86400</f>
        <v>0</v>
      </c>
      <c r="I1104" t="s">
        <v>88</v>
      </c>
      <c r="J1104" t="s">
        <v>88</v>
      </c>
      <c r="K1104" s="5">
        <f>13 / 86400</f>
        <v>1.5046296296296297E-4</v>
      </c>
      <c r="L1104" s="5">
        <f>4322 / 86400</f>
        <v>5.002314814814815E-2</v>
      </c>
    </row>
    <row r="1105" spans="1:12" x14ac:dyDescent="0.25">
      <c r="A1105" s="3">
        <v>45702.714479166665</v>
      </c>
      <c r="B1105" t="s">
        <v>87</v>
      </c>
      <c r="C1105" s="3">
        <v>45702.722986111112</v>
      </c>
      <c r="D1105" t="s">
        <v>358</v>
      </c>
      <c r="E1105" s="4">
        <v>0.124</v>
      </c>
      <c r="F1105" s="4">
        <v>54529.387000000002</v>
      </c>
      <c r="G1105" s="4">
        <v>54529.510999999999</v>
      </c>
      <c r="H1105" s="5">
        <f>658 / 86400</f>
        <v>7.6157407407407406E-3</v>
      </c>
      <c r="I1105" t="s">
        <v>123</v>
      </c>
      <c r="J1105" t="s">
        <v>120</v>
      </c>
      <c r="K1105" s="5">
        <f>735 / 86400</f>
        <v>8.5069444444444437E-3</v>
      </c>
      <c r="L1105" s="5">
        <f>609 / 86400</f>
        <v>7.0486111111111114E-3</v>
      </c>
    </row>
    <row r="1106" spans="1:12" x14ac:dyDescent="0.25">
      <c r="A1106" s="3">
        <v>45702.730034722219</v>
      </c>
      <c r="B1106" t="s">
        <v>358</v>
      </c>
      <c r="C1106" s="3">
        <v>45702.736863425926</v>
      </c>
      <c r="D1106" t="s">
        <v>82</v>
      </c>
      <c r="E1106" s="4">
        <v>0.6</v>
      </c>
      <c r="F1106" s="4">
        <v>54529.510999999999</v>
      </c>
      <c r="G1106" s="4">
        <v>54530.110999999997</v>
      </c>
      <c r="H1106" s="5">
        <f>378 / 86400</f>
        <v>4.3750000000000004E-3</v>
      </c>
      <c r="I1106" t="s">
        <v>28</v>
      </c>
      <c r="J1106" t="s">
        <v>156</v>
      </c>
      <c r="K1106" s="5">
        <f>590 / 86400</f>
        <v>6.828703703703704E-3</v>
      </c>
      <c r="L1106" s="5">
        <f>299 / 86400</f>
        <v>3.460648148148148E-3</v>
      </c>
    </row>
    <row r="1107" spans="1:12" x14ac:dyDescent="0.25">
      <c r="A1107" s="3">
        <v>45702.740324074075</v>
      </c>
      <c r="B1107" t="s">
        <v>82</v>
      </c>
      <c r="C1107" s="3">
        <v>45702.785011574073</v>
      </c>
      <c r="D1107" t="s">
        <v>104</v>
      </c>
      <c r="E1107" s="4">
        <v>22.16</v>
      </c>
      <c r="F1107" s="4">
        <v>54530.110999999997</v>
      </c>
      <c r="G1107" s="4">
        <v>54552.271000000001</v>
      </c>
      <c r="H1107" s="5">
        <f>1097 / 86400</f>
        <v>1.269675925925926E-2</v>
      </c>
      <c r="I1107" t="s">
        <v>44</v>
      </c>
      <c r="J1107" t="s">
        <v>21</v>
      </c>
      <c r="K1107" s="5">
        <f>3861 / 86400</f>
        <v>4.4687499999999998E-2</v>
      </c>
      <c r="L1107" s="5">
        <f>114 / 86400</f>
        <v>1.3194444444444445E-3</v>
      </c>
    </row>
    <row r="1108" spans="1:12" x14ac:dyDescent="0.25">
      <c r="A1108" s="3">
        <v>45702.78633101852</v>
      </c>
      <c r="B1108" t="s">
        <v>104</v>
      </c>
      <c r="C1108" s="3">
        <v>45702.789687500001</v>
      </c>
      <c r="D1108" t="s">
        <v>26</v>
      </c>
      <c r="E1108" s="4">
        <v>0.81699999999999995</v>
      </c>
      <c r="F1108" s="4">
        <v>54552.271000000001</v>
      </c>
      <c r="G1108" s="4">
        <v>54553.088000000003</v>
      </c>
      <c r="H1108" s="5">
        <f>78 / 86400</f>
        <v>9.0277777777777774E-4</v>
      </c>
      <c r="I1108" t="s">
        <v>189</v>
      </c>
      <c r="J1108" t="s">
        <v>126</v>
      </c>
      <c r="K1108" s="5">
        <f>290 / 86400</f>
        <v>3.3564814814814816E-3</v>
      </c>
      <c r="L1108" s="5">
        <f>922 / 86400</f>
        <v>1.0671296296296297E-2</v>
      </c>
    </row>
    <row r="1109" spans="1:12" x14ac:dyDescent="0.25">
      <c r="A1109" s="3">
        <v>45702.800358796296</v>
      </c>
      <c r="B1109" t="s">
        <v>26</v>
      </c>
      <c r="C1109" s="3">
        <v>45702.80263888889</v>
      </c>
      <c r="D1109" t="s">
        <v>25</v>
      </c>
      <c r="E1109" s="4">
        <v>6.3E-2</v>
      </c>
      <c r="F1109" s="4">
        <v>54553.088000000003</v>
      </c>
      <c r="G1109" s="4">
        <v>54553.150999999998</v>
      </c>
      <c r="H1109" s="5">
        <f>80 / 86400</f>
        <v>9.2592592592592596E-4</v>
      </c>
      <c r="I1109" t="s">
        <v>127</v>
      </c>
      <c r="J1109" t="s">
        <v>120</v>
      </c>
      <c r="K1109" s="5">
        <f>197 / 86400</f>
        <v>2.2800925925925927E-3</v>
      </c>
      <c r="L1109" s="5">
        <f>17051 / 86400</f>
        <v>0.19734953703703703</v>
      </c>
    </row>
    <row r="1110" spans="1:12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s="10" customFormat="1" ht="20.100000000000001" customHeight="1" x14ac:dyDescent="0.35">
      <c r="A1112" s="15" t="s">
        <v>467</v>
      </c>
      <c r="B1112" s="15"/>
      <c r="C1112" s="15"/>
      <c r="D1112" s="15"/>
      <c r="E1112" s="15"/>
      <c r="F1112" s="15"/>
      <c r="G1112" s="15"/>
      <c r="H1112" s="15"/>
      <c r="I1112" s="15"/>
      <c r="J1112" s="15"/>
    </row>
    <row r="1113" spans="1:1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</row>
    <row r="1114" spans="1:12" ht="30" x14ac:dyDescent="0.25">
      <c r="A1114" s="2" t="s">
        <v>6</v>
      </c>
      <c r="B1114" s="2" t="s">
        <v>7</v>
      </c>
      <c r="C1114" s="2" t="s">
        <v>8</v>
      </c>
      <c r="D1114" s="2" t="s">
        <v>9</v>
      </c>
      <c r="E1114" s="2" t="s">
        <v>10</v>
      </c>
      <c r="F1114" s="2" t="s">
        <v>11</v>
      </c>
      <c r="G1114" s="2" t="s">
        <v>12</v>
      </c>
      <c r="H1114" s="2" t="s">
        <v>13</v>
      </c>
      <c r="I1114" s="2" t="s">
        <v>14</v>
      </c>
      <c r="J1114" s="2" t="s">
        <v>15</v>
      </c>
      <c r="K1114" s="2" t="s">
        <v>16</v>
      </c>
      <c r="L1114" s="2" t="s">
        <v>17</v>
      </c>
    </row>
    <row r="1115" spans="1:12" x14ac:dyDescent="0.25">
      <c r="A1115" s="3">
        <v>45702.235706018517</v>
      </c>
      <c r="B1115" t="s">
        <v>96</v>
      </c>
      <c r="C1115" s="3">
        <v>45702.719467592593</v>
      </c>
      <c r="D1115" t="s">
        <v>144</v>
      </c>
      <c r="E1115" s="4">
        <v>193.33500000000001</v>
      </c>
      <c r="F1115" s="4">
        <v>46065.531999999999</v>
      </c>
      <c r="G1115" s="4">
        <v>46258.866999999998</v>
      </c>
      <c r="H1115" s="5">
        <f>15580 / 86400</f>
        <v>0.18032407407407408</v>
      </c>
      <c r="I1115" t="s">
        <v>89</v>
      </c>
      <c r="J1115" t="s">
        <v>28</v>
      </c>
      <c r="K1115" s="5">
        <f>41797 / 86400</f>
        <v>0.48376157407407405</v>
      </c>
      <c r="L1115" s="5">
        <f>21299 / 86400</f>
        <v>0.2465162037037037</v>
      </c>
    </row>
    <row r="1116" spans="1:12" x14ac:dyDescent="0.25">
      <c r="A1116" s="3">
        <v>45702.73027777778</v>
      </c>
      <c r="B1116" t="s">
        <v>144</v>
      </c>
      <c r="C1116" s="3">
        <v>45702.730937500004</v>
      </c>
      <c r="D1116" t="s">
        <v>144</v>
      </c>
      <c r="E1116" s="4">
        <v>3.7999999999999999E-2</v>
      </c>
      <c r="F1116" s="4">
        <v>46258.866999999998</v>
      </c>
      <c r="G1116" s="4">
        <v>46258.904999999999</v>
      </c>
      <c r="H1116" s="5">
        <f>18 / 86400</f>
        <v>2.0833333333333335E-4</v>
      </c>
      <c r="I1116" t="s">
        <v>127</v>
      </c>
      <c r="J1116" t="s">
        <v>140</v>
      </c>
      <c r="K1116" s="5">
        <f>57 / 86400</f>
        <v>6.5972222222222224E-4</v>
      </c>
      <c r="L1116" s="5">
        <f>325 / 86400</f>
        <v>3.7615740740740739E-3</v>
      </c>
    </row>
    <row r="1117" spans="1:12" x14ac:dyDescent="0.25">
      <c r="A1117" s="3">
        <v>45702.734699074077</v>
      </c>
      <c r="B1117" t="s">
        <v>144</v>
      </c>
      <c r="C1117" s="3">
        <v>45702.73637731481</v>
      </c>
      <c r="D1117" t="s">
        <v>363</v>
      </c>
      <c r="E1117" s="4">
        <v>0.48099999999999998</v>
      </c>
      <c r="F1117" s="4">
        <v>46258.904999999999</v>
      </c>
      <c r="G1117" s="4">
        <v>46259.385999999999</v>
      </c>
      <c r="H1117" s="5">
        <f>37 / 86400</f>
        <v>4.2824074074074075E-4</v>
      </c>
      <c r="I1117" t="s">
        <v>189</v>
      </c>
      <c r="J1117" t="s">
        <v>62</v>
      </c>
      <c r="K1117" s="5">
        <f>145 / 86400</f>
        <v>1.6782407407407408E-3</v>
      </c>
      <c r="L1117" s="5">
        <f>175 / 86400</f>
        <v>2.0254629629629629E-3</v>
      </c>
    </row>
    <row r="1118" spans="1:12" x14ac:dyDescent="0.25">
      <c r="A1118" s="3">
        <v>45702.738402777773</v>
      </c>
      <c r="B1118" t="s">
        <v>363</v>
      </c>
      <c r="C1118" s="3">
        <v>45702.740925925929</v>
      </c>
      <c r="D1118" t="s">
        <v>403</v>
      </c>
      <c r="E1118" s="4">
        <v>0.70399999999999996</v>
      </c>
      <c r="F1118" s="4">
        <v>46259.385999999999</v>
      </c>
      <c r="G1118" s="4">
        <v>46260.09</v>
      </c>
      <c r="H1118" s="5">
        <f>17 / 86400</f>
        <v>1.9675925925925926E-4</v>
      </c>
      <c r="I1118" t="s">
        <v>21</v>
      </c>
      <c r="J1118" t="s">
        <v>62</v>
      </c>
      <c r="K1118" s="5">
        <f>218 / 86400</f>
        <v>2.5231481481481481E-3</v>
      </c>
      <c r="L1118" s="5">
        <f>190 / 86400</f>
        <v>2.1990740740740742E-3</v>
      </c>
    </row>
    <row r="1119" spans="1:12" x14ac:dyDescent="0.25">
      <c r="A1119" s="3">
        <v>45702.743125000001</v>
      </c>
      <c r="B1119" t="s">
        <v>403</v>
      </c>
      <c r="C1119" s="3">
        <v>45702.745405092588</v>
      </c>
      <c r="D1119" t="s">
        <v>97</v>
      </c>
      <c r="E1119" s="4">
        <v>0.35399999999999998</v>
      </c>
      <c r="F1119" s="4">
        <v>46260.09</v>
      </c>
      <c r="G1119" s="4">
        <v>46260.444000000003</v>
      </c>
      <c r="H1119" s="5">
        <f>78 / 86400</f>
        <v>9.0277777777777774E-4</v>
      </c>
      <c r="I1119" t="s">
        <v>21</v>
      </c>
      <c r="J1119" t="s">
        <v>132</v>
      </c>
      <c r="K1119" s="5">
        <f>197 / 86400</f>
        <v>2.2800925925925927E-3</v>
      </c>
      <c r="L1119" s="5">
        <f>21996 / 86400</f>
        <v>0.25458333333333333</v>
      </c>
    </row>
    <row r="1120" spans="1:1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</row>
    <row r="1121" spans="1:1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</row>
    <row r="1122" spans="1:12" s="10" customFormat="1" ht="20.100000000000001" customHeight="1" x14ac:dyDescent="0.35">
      <c r="A1122" s="15" t="s">
        <v>468</v>
      </c>
      <c r="B1122" s="15"/>
      <c r="C1122" s="15"/>
      <c r="D1122" s="15"/>
      <c r="E1122" s="15"/>
      <c r="F1122" s="15"/>
      <c r="G1122" s="15"/>
      <c r="H1122" s="15"/>
      <c r="I1122" s="15"/>
      <c r="J1122" s="15"/>
    </row>
    <row r="1123" spans="1:1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</row>
    <row r="1124" spans="1:12" ht="30" x14ac:dyDescent="0.25">
      <c r="A1124" s="2" t="s">
        <v>6</v>
      </c>
      <c r="B1124" s="2" t="s">
        <v>7</v>
      </c>
      <c r="C1124" s="2" t="s">
        <v>8</v>
      </c>
      <c r="D1124" s="2" t="s">
        <v>9</v>
      </c>
      <c r="E1124" s="2" t="s">
        <v>10</v>
      </c>
      <c r="F1124" s="2" t="s">
        <v>11</v>
      </c>
      <c r="G1124" s="2" t="s">
        <v>12</v>
      </c>
      <c r="H1124" s="2" t="s">
        <v>13</v>
      </c>
      <c r="I1124" s="2" t="s">
        <v>14</v>
      </c>
      <c r="J1124" s="2" t="s">
        <v>15</v>
      </c>
      <c r="K1124" s="2" t="s">
        <v>16</v>
      </c>
      <c r="L1124" s="2" t="s">
        <v>17</v>
      </c>
    </row>
    <row r="1125" spans="1:12" x14ac:dyDescent="0.25">
      <c r="A1125" s="3">
        <v>45702.164988425924</v>
      </c>
      <c r="B1125" t="s">
        <v>98</v>
      </c>
      <c r="C1125" s="3">
        <v>45702.349849537037</v>
      </c>
      <c r="D1125" t="s">
        <v>137</v>
      </c>
      <c r="E1125" s="4">
        <v>101.648</v>
      </c>
      <c r="F1125" s="4">
        <v>78991.823000000004</v>
      </c>
      <c r="G1125" s="4">
        <v>79093.471000000005</v>
      </c>
      <c r="H1125" s="5">
        <f>4506 / 86400</f>
        <v>5.2152777777777777E-2</v>
      </c>
      <c r="I1125" t="s">
        <v>27</v>
      </c>
      <c r="J1125" t="s">
        <v>37</v>
      </c>
      <c r="K1125" s="5">
        <f>15972 / 86400</f>
        <v>0.18486111111111111</v>
      </c>
      <c r="L1125" s="5">
        <f>14704 / 86400</f>
        <v>0.17018518518518519</v>
      </c>
    </row>
    <row r="1126" spans="1:12" x14ac:dyDescent="0.25">
      <c r="A1126" s="3">
        <v>45702.355046296296</v>
      </c>
      <c r="B1126" t="s">
        <v>128</v>
      </c>
      <c r="C1126" s="3">
        <v>45702.356296296297</v>
      </c>
      <c r="D1126" t="s">
        <v>128</v>
      </c>
      <c r="E1126" s="4">
        <v>8.8999999999999996E-2</v>
      </c>
      <c r="F1126" s="4">
        <v>79093.471000000005</v>
      </c>
      <c r="G1126" s="4">
        <v>79093.56</v>
      </c>
      <c r="H1126" s="5">
        <f>77 / 86400</f>
        <v>8.9120370370370373E-4</v>
      </c>
      <c r="I1126" t="s">
        <v>31</v>
      </c>
      <c r="J1126" t="s">
        <v>152</v>
      </c>
      <c r="K1126" s="5">
        <f>108 / 86400</f>
        <v>1.25E-3</v>
      </c>
      <c r="L1126" s="5">
        <f>264 / 86400</f>
        <v>3.0555555555555557E-3</v>
      </c>
    </row>
    <row r="1127" spans="1:12" x14ac:dyDescent="0.25">
      <c r="A1127" s="3">
        <v>45702.359351851846</v>
      </c>
      <c r="B1127" t="s">
        <v>128</v>
      </c>
      <c r="C1127" s="3">
        <v>45702.360613425924</v>
      </c>
      <c r="D1127" t="s">
        <v>128</v>
      </c>
      <c r="E1127" s="4">
        <v>0</v>
      </c>
      <c r="F1127" s="4">
        <v>79093.56</v>
      </c>
      <c r="G1127" s="4">
        <v>79093.56</v>
      </c>
      <c r="H1127" s="5">
        <f>98 / 86400</f>
        <v>1.1342592592592593E-3</v>
      </c>
      <c r="I1127" t="s">
        <v>88</v>
      </c>
      <c r="J1127" t="s">
        <v>88</v>
      </c>
      <c r="K1127" s="5">
        <f>109 / 86400</f>
        <v>1.261574074074074E-3</v>
      </c>
      <c r="L1127" s="5">
        <f>33 / 86400</f>
        <v>3.8194444444444446E-4</v>
      </c>
    </row>
    <row r="1128" spans="1:12" x14ac:dyDescent="0.25">
      <c r="A1128" s="3">
        <v>45702.360995370371</v>
      </c>
      <c r="B1128" t="s">
        <v>128</v>
      </c>
      <c r="C1128" s="3">
        <v>45702.364571759259</v>
      </c>
      <c r="D1128" t="s">
        <v>125</v>
      </c>
      <c r="E1128" s="4">
        <v>1.2649999999999999</v>
      </c>
      <c r="F1128" s="4">
        <v>79093.56</v>
      </c>
      <c r="G1128" s="4">
        <v>79094.824999999997</v>
      </c>
      <c r="H1128" s="5">
        <f>98 / 86400</f>
        <v>1.1342592592592593E-3</v>
      </c>
      <c r="I1128" t="s">
        <v>208</v>
      </c>
      <c r="J1128" t="s">
        <v>31</v>
      </c>
      <c r="K1128" s="5">
        <f>309 / 86400</f>
        <v>3.5763888888888889E-3</v>
      </c>
      <c r="L1128" s="5">
        <f>701 / 86400</f>
        <v>8.1134259259259267E-3</v>
      </c>
    </row>
    <row r="1129" spans="1:12" x14ac:dyDescent="0.25">
      <c r="A1129" s="3">
        <v>45702.372685185182</v>
      </c>
      <c r="B1129" t="s">
        <v>125</v>
      </c>
      <c r="C1129" s="3">
        <v>45702.583599537036</v>
      </c>
      <c r="D1129" t="s">
        <v>144</v>
      </c>
      <c r="E1129" s="4">
        <v>95.063000000000002</v>
      </c>
      <c r="F1129" s="4">
        <v>79094.824999999997</v>
      </c>
      <c r="G1129" s="4">
        <v>79189.888000000006</v>
      </c>
      <c r="H1129" s="5">
        <f>5679 / 86400</f>
        <v>6.5729166666666672E-2</v>
      </c>
      <c r="I1129" t="s">
        <v>73</v>
      </c>
      <c r="J1129" t="s">
        <v>99</v>
      </c>
      <c r="K1129" s="5">
        <f>18223 / 86400</f>
        <v>0.21091435185185184</v>
      </c>
      <c r="L1129" s="5">
        <f>177 / 86400</f>
        <v>2.0486111111111113E-3</v>
      </c>
    </row>
    <row r="1130" spans="1:12" x14ac:dyDescent="0.25">
      <c r="A1130" s="3">
        <v>45702.585648148146</v>
      </c>
      <c r="B1130" t="s">
        <v>144</v>
      </c>
      <c r="C1130" s="3">
        <v>45702.587060185186</v>
      </c>
      <c r="D1130" t="s">
        <v>128</v>
      </c>
      <c r="E1130" s="4">
        <v>0.24299999999999999</v>
      </c>
      <c r="F1130" s="4">
        <v>79189.888000000006</v>
      </c>
      <c r="G1130" s="4">
        <v>79190.130999999994</v>
      </c>
      <c r="H1130" s="5">
        <f>0 / 86400</f>
        <v>0</v>
      </c>
      <c r="I1130" t="s">
        <v>28</v>
      </c>
      <c r="J1130" t="s">
        <v>138</v>
      </c>
      <c r="K1130" s="5">
        <f>122 / 86400</f>
        <v>1.4120370370370369E-3</v>
      </c>
      <c r="L1130" s="5">
        <f>225 / 86400</f>
        <v>2.6041666666666665E-3</v>
      </c>
    </row>
    <row r="1131" spans="1:12" x14ac:dyDescent="0.25">
      <c r="A1131" s="3">
        <v>45702.58966435185</v>
      </c>
      <c r="B1131" t="s">
        <v>128</v>
      </c>
      <c r="C1131" s="3">
        <v>45702.590729166666</v>
      </c>
      <c r="D1131" t="s">
        <v>137</v>
      </c>
      <c r="E1131" s="4">
        <v>0.33</v>
      </c>
      <c r="F1131" s="4">
        <v>79190.130999999994</v>
      </c>
      <c r="G1131" s="4">
        <v>79190.460999999996</v>
      </c>
      <c r="H1131" s="5">
        <f>17 / 86400</f>
        <v>1.9675925925925926E-4</v>
      </c>
      <c r="I1131" t="s">
        <v>189</v>
      </c>
      <c r="J1131" t="s">
        <v>35</v>
      </c>
      <c r="K1131" s="5">
        <f>92 / 86400</f>
        <v>1.0648148148148149E-3</v>
      </c>
      <c r="L1131" s="5">
        <f>1137 / 86400</f>
        <v>1.3159722222222222E-2</v>
      </c>
    </row>
    <row r="1132" spans="1:12" x14ac:dyDescent="0.25">
      <c r="A1132" s="3">
        <v>45702.603888888887</v>
      </c>
      <c r="B1132" t="s">
        <v>137</v>
      </c>
      <c r="C1132" s="3">
        <v>45702.717418981483</v>
      </c>
      <c r="D1132" t="s">
        <v>395</v>
      </c>
      <c r="E1132" s="4">
        <v>46.613</v>
      </c>
      <c r="F1132" s="4">
        <v>79190.460999999996</v>
      </c>
      <c r="G1132" s="4">
        <v>79237.073999999993</v>
      </c>
      <c r="H1132" s="5">
        <f>3797 / 86400</f>
        <v>4.3946759259259262E-2</v>
      </c>
      <c r="I1132" t="s">
        <v>71</v>
      </c>
      <c r="J1132" t="s">
        <v>28</v>
      </c>
      <c r="K1132" s="5">
        <f>9809 / 86400</f>
        <v>0.1135300925925926</v>
      </c>
      <c r="L1132" s="5">
        <f>4171 / 86400</f>
        <v>4.8275462962962964E-2</v>
      </c>
    </row>
    <row r="1133" spans="1:12" x14ac:dyDescent="0.25">
      <c r="A1133" s="3">
        <v>45702.765694444446</v>
      </c>
      <c r="B1133" t="s">
        <v>395</v>
      </c>
      <c r="C1133" s="3">
        <v>45702.893680555557</v>
      </c>
      <c r="D1133" t="s">
        <v>128</v>
      </c>
      <c r="E1133" s="4">
        <v>47.146999999999998</v>
      </c>
      <c r="F1133" s="4">
        <v>79237.073999999993</v>
      </c>
      <c r="G1133" s="4">
        <v>79284.221000000005</v>
      </c>
      <c r="H1133" s="5">
        <f>3541 / 86400</f>
        <v>4.0983796296296296E-2</v>
      </c>
      <c r="I1133" t="s">
        <v>209</v>
      </c>
      <c r="J1133" t="s">
        <v>31</v>
      </c>
      <c r="K1133" s="5">
        <f>11058 / 86400</f>
        <v>0.12798611111111111</v>
      </c>
      <c r="L1133" s="5">
        <f>393 / 86400</f>
        <v>4.5486111111111109E-3</v>
      </c>
    </row>
    <row r="1134" spans="1:12" x14ac:dyDescent="0.25">
      <c r="A1134" s="3">
        <v>45702.898229166662</v>
      </c>
      <c r="B1134" t="s">
        <v>128</v>
      </c>
      <c r="C1134" s="3">
        <v>45702.907314814816</v>
      </c>
      <c r="D1134" t="s">
        <v>98</v>
      </c>
      <c r="E1134" s="4">
        <v>0.92900000000000005</v>
      </c>
      <c r="F1134" s="4">
        <v>79284.221000000005</v>
      </c>
      <c r="G1134" s="4">
        <v>79285.149999999994</v>
      </c>
      <c r="H1134" s="5">
        <f>580 / 86400</f>
        <v>6.7129629629629631E-3</v>
      </c>
      <c r="I1134" t="s">
        <v>135</v>
      </c>
      <c r="J1134" t="s">
        <v>156</v>
      </c>
      <c r="K1134" s="5">
        <f>785 / 86400</f>
        <v>9.0856481481481483E-3</v>
      </c>
      <c r="L1134" s="5">
        <f>8007 / 86400</f>
        <v>9.2673611111111109E-2</v>
      </c>
    </row>
    <row r="1135" spans="1:12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</row>
    <row r="1136" spans="1:12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</row>
    <row r="1137" spans="1:12" s="10" customFormat="1" ht="20.100000000000001" customHeight="1" x14ac:dyDescent="0.35">
      <c r="A1137" s="15" t="s">
        <v>469</v>
      </c>
      <c r="B1137" s="15"/>
      <c r="C1137" s="15"/>
      <c r="D1137" s="15"/>
      <c r="E1137" s="15"/>
      <c r="F1137" s="15"/>
      <c r="G1137" s="15"/>
      <c r="H1137" s="15"/>
      <c r="I1137" s="15"/>
      <c r="J1137" s="15"/>
    </row>
    <row r="1138" spans="1:1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</row>
    <row r="1139" spans="1:12" ht="30" x14ac:dyDescent="0.25">
      <c r="A1139" s="2" t="s">
        <v>6</v>
      </c>
      <c r="B1139" s="2" t="s">
        <v>7</v>
      </c>
      <c r="C1139" s="2" t="s">
        <v>8</v>
      </c>
      <c r="D1139" s="2" t="s">
        <v>9</v>
      </c>
      <c r="E1139" s="2" t="s">
        <v>10</v>
      </c>
      <c r="F1139" s="2" t="s">
        <v>11</v>
      </c>
      <c r="G1139" s="2" t="s">
        <v>12</v>
      </c>
      <c r="H1139" s="2" t="s">
        <v>13</v>
      </c>
      <c r="I1139" s="2" t="s">
        <v>14</v>
      </c>
      <c r="J1139" s="2" t="s">
        <v>15</v>
      </c>
      <c r="K1139" s="2" t="s">
        <v>16</v>
      </c>
      <c r="L1139" s="2" t="s">
        <v>17</v>
      </c>
    </row>
    <row r="1140" spans="1:12" x14ac:dyDescent="0.25">
      <c r="A1140" s="3">
        <v>45702</v>
      </c>
      <c r="B1140" t="s">
        <v>100</v>
      </c>
      <c r="C1140" s="3">
        <v>45702.043912037036</v>
      </c>
      <c r="D1140" t="s">
        <v>65</v>
      </c>
      <c r="E1140" s="4">
        <v>30.815999999999999</v>
      </c>
      <c r="F1140" s="4">
        <v>40546.262999999999</v>
      </c>
      <c r="G1140" s="4">
        <v>40577.078999999998</v>
      </c>
      <c r="H1140" s="5">
        <f>570 / 86400</f>
        <v>6.5972222222222222E-3</v>
      </c>
      <c r="I1140" t="s">
        <v>338</v>
      </c>
      <c r="J1140" t="s">
        <v>147</v>
      </c>
      <c r="K1140" s="5">
        <f>3794 / 86400</f>
        <v>4.3912037037037034E-2</v>
      </c>
      <c r="L1140" s="5">
        <f>1014 / 86400</f>
        <v>1.173611111111111E-2</v>
      </c>
    </row>
    <row r="1141" spans="1:12" x14ac:dyDescent="0.25">
      <c r="A1141" s="3">
        <v>45702.055648148147</v>
      </c>
      <c r="B1141" t="s">
        <v>65</v>
      </c>
      <c r="C1141" s="3">
        <v>45702.06049768519</v>
      </c>
      <c r="D1141" t="s">
        <v>404</v>
      </c>
      <c r="E1141" s="4">
        <v>1.339</v>
      </c>
      <c r="F1141" s="4">
        <v>40577.078999999998</v>
      </c>
      <c r="G1141" s="4">
        <v>40578.417999999998</v>
      </c>
      <c r="H1141" s="5">
        <f>121 / 86400</f>
        <v>1.4004629629629629E-3</v>
      </c>
      <c r="I1141" t="s">
        <v>211</v>
      </c>
      <c r="J1141" t="s">
        <v>62</v>
      </c>
      <c r="K1141" s="5">
        <f>419 / 86400</f>
        <v>4.8495370370370368E-3</v>
      </c>
      <c r="L1141" s="5">
        <f>16888 / 86400</f>
        <v>0.19546296296296295</v>
      </c>
    </row>
    <row r="1142" spans="1:12" x14ac:dyDescent="0.25">
      <c r="A1142" s="3">
        <v>45702.255960648152</v>
      </c>
      <c r="B1142" t="s">
        <v>404</v>
      </c>
      <c r="C1142" s="3">
        <v>45702.395914351851</v>
      </c>
      <c r="D1142" t="s">
        <v>144</v>
      </c>
      <c r="E1142" s="4">
        <v>68.801000000000002</v>
      </c>
      <c r="F1142" s="4">
        <v>40578.417999999998</v>
      </c>
      <c r="G1142" s="4">
        <v>40647.218999999997</v>
      </c>
      <c r="H1142" s="5">
        <f>3177 / 86400</f>
        <v>3.6770833333333336E-2</v>
      </c>
      <c r="I1142" t="s">
        <v>52</v>
      </c>
      <c r="J1142" t="s">
        <v>145</v>
      </c>
      <c r="K1142" s="5">
        <f>12092 / 86400</f>
        <v>0.13995370370370369</v>
      </c>
      <c r="L1142" s="5">
        <f>409 / 86400</f>
        <v>4.7337962962962967E-3</v>
      </c>
    </row>
    <row r="1143" spans="1:12" x14ac:dyDescent="0.25">
      <c r="A1143" s="3">
        <v>45702.400648148148</v>
      </c>
      <c r="B1143" t="s">
        <v>387</v>
      </c>
      <c r="C1143" s="3">
        <v>45702.402719907404</v>
      </c>
      <c r="D1143" t="s">
        <v>128</v>
      </c>
      <c r="E1143" s="4">
        <v>0.38100000000000001</v>
      </c>
      <c r="F1143" s="4">
        <v>40647.218999999997</v>
      </c>
      <c r="G1143" s="4">
        <v>40647.599999999999</v>
      </c>
      <c r="H1143" s="5">
        <f>60 / 86400</f>
        <v>6.9444444444444447E-4</v>
      </c>
      <c r="I1143" t="s">
        <v>178</v>
      </c>
      <c r="J1143" t="s">
        <v>123</v>
      </c>
      <c r="K1143" s="5">
        <f>179 / 86400</f>
        <v>2.0717592592592593E-3</v>
      </c>
      <c r="L1143" s="5">
        <f>78 / 86400</f>
        <v>9.0277777777777774E-4</v>
      </c>
    </row>
    <row r="1144" spans="1:12" x14ac:dyDescent="0.25">
      <c r="A1144" s="3">
        <v>45702.403622685189</v>
      </c>
      <c r="B1144" t="s">
        <v>137</v>
      </c>
      <c r="C1144" s="3">
        <v>45702.404050925921</v>
      </c>
      <c r="D1144" t="s">
        <v>128</v>
      </c>
      <c r="E1144" s="4">
        <v>5.0000000000000001E-3</v>
      </c>
      <c r="F1144" s="4">
        <v>40647.599999999999</v>
      </c>
      <c r="G1144" s="4">
        <v>40647.605000000003</v>
      </c>
      <c r="H1144" s="5">
        <f>1 / 86400</f>
        <v>1.1574074074074073E-5</v>
      </c>
      <c r="I1144" t="s">
        <v>120</v>
      </c>
      <c r="J1144" t="s">
        <v>88</v>
      </c>
      <c r="K1144" s="5">
        <f>37 / 86400</f>
        <v>4.2824074074074075E-4</v>
      </c>
      <c r="L1144" s="5">
        <f>189 / 86400</f>
        <v>2.1875000000000002E-3</v>
      </c>
    </row>
    <row r="1145" spans="1:12" x14ac:dyDescent="0.25">
      <c r="A1145" s="3">
        <v>45702.40623842593</v>
      </c>
      <c r="B1145" t="s">
        <v>128</v>
      </c>
      <c r="C1145" s="3">
        <v>45702.413819444446</v>
      </c>
      <c r="D1145" t="s">
        <v>22</v>
      </c>
      <c r="E1145" s="4">
        <v>0.53500000000000003</v>
      </c>
      <c r="F1145" s="4">
        <v>40647.605000000003</v>
      </c>
      <c r="G1145" s="4">
        <v>40648.14</v>
      </c>
      <c r="H1145" s="5">
        <f>480 / 86400</f>
        <v>5.5555555555555558E-3</v>
      </c>
      <c r="I1145" t="s">
        <v>139</v>
      </c>
      <c r="J1145" t="s">
        <v>152</v>
      </c>
      <c r="K1145" s="5">
        <f>655 / 86400</f>
        <v>7.5810185185185182E-3</v>
      </c>
      <c r="L1145" s="5">
        <f>379 / 86400</f>
        <v>4.386574074074074E-3</v>
      </c>
    </row>
    <row r="1146" spans="1:12" x14ac:dyDescent="0.25">
      <c r="A1146" s="3">
        <v>45702.418206018519</v>
      </c>
      <c r="B1146" t="s">
        <v>22</v>
      </c>
      <c r="C1146" s="3">
        <v>45702.435277777782</v>
      </c>
      <c r="D1146" t="s">
        <v>22</v>
      </c>
      <c r="E1146" s="4">
        <v>0.184</v>
      </c>
      <c r="F1146" s="4">
        <v>40648.14</v>
      </c>
      <c r="G1146" s="4">
        <v>40648.324000000001</v>
      </c>
      <c r="H1146" s="5">
        <f>1410 / 86400</f>
        <v>1.6319444444444445E-2</v>
      </c>
      <c r="I1146" t="s">
        <v>62</v>
      </c>
      <c r="J1146" t="s">
        <v>88</v>
      </c>
      <c r="K1146" s="5">
        <f>1475 / 86400</f>
        <v>1.7071759259259259E-2</v>
      </c>
      <c r="L1146" s="5">
        <f>713 / 86400</f>
        <v>8.2523148148148148E-3</v>
      </c>
    </row>
    <row r="1147" spans="1:12" x14ac:dyDescent="0.25">
      <c r="A1147" s="3">
        <v>45702.443530092598</v>
      </c>
      <c r="B1147" t="s">
        <v>22</v>
      </c>
      <c r="C1147" s="3">
        <v>45702.446956018517</v>
      </c>
      <c r="D1147" t="s">
        <v>87</v>
      </c>
      <c r="E1147" s="4">
        <v>1.3620000000000001</v>
      </c>
      <c r="F1147" s="4">
        <v>40648.324000000001</v>
      </c>
      <c r="G1147" s="4">
        <v>40649.686000000002</v>
      </c>
      <c r="H1147" s="5">
        <f>1 / 86400</f>
        <v>1.1574074074074073E-5</v>
      </c>
      <c r="I1147" t="s">
        <v>205</v>
      </c>
      <c r="J1147" t="s">
        <v>28</v>
      </c>
      <c r="K1147" s="5">
        <f>296 / 86400</f>
        <v>3.425925925925926E-3</v>
      </c>
      <c r="L1147" s="5">
        <f>1774 / 86400</f>
        <v>2.0532407407407409E-2</v>
      </c>
    </row>
    <row r="1148" spans="1:12" x14ac:dyDescent="0.25">
      <c r="A1148" s="3">
        <v>45702.467488425929</v>
      </c>
      <c r="B1148" t="s">
        <v>87</v>
      </c>
      <c r="C1148" s="3">
        <v>45702.478958333333</v>
      </c>
      <c r="D1148" t="s">
        <v>18</v>
      </c>
      <c r="E1148" s="4">
        <v>1.57</v>
      </c>
      <c r="F1148" s="4">
        <v>40649.686000000002</v>
      </c>
      <c r="G1148" s="4">
        <v>40651.256000000001</v>
      </c>
      <c r="H1148" s="5">
        <f>629 / 86400</f>
        <v>7.2800925925925923E-3</v>
      </c>
      <c r="I1148" t="s">
        <v>131</v>
      </c>
      <c r="J1148" t="s">
        <v>132</v>
      </c>
      <c r="K1148" s="5">
        <f>991 / 86400</f>
        <v>1.1469907407407408E-2</v>
      </c>
      <c r="L1148" s="5">
        <f>78 / 86400</f>
        <v>9.0277777777777774E-4</v>
      </c>
    </row>
    <row r="1149" spans="1:12" x14ac:dyDescent="0.25">
      <c r="A1149" s="3">
        <v>45702.479861111111</v>
      </c>
      <c r="B1149" t="s">
        <v>18</v>
      </c>
      <c r="C1149" s="3">
        <v>45702.480393518519</v>
      </c>
      <c r="D1149" t="s">
        <v>18</v>
      </c>
      <c r="E1149" s="4">
        <v>2.4E-2</v>
      </c>
      <c r="F1149" s="4">
        <v>40651.256000000001</v>
      </c>
      <c r="G1149" s="4">
        <v>40651.279999999999</v>
      </c>
      <c r="H1149" s="5">
        <f>1 / 86400</f>
        <v>1.1574074074074073E-5</v>
      </c>
      <c r="I1149" t="s">
        <v>132</v>
      </c>
      <c r="J1149" t="s">
        <v>140</v>
      </c>
      <c r="K1149" s="5">
        <f>46 / 86400</f>
        <v>5.3240740740740744E-4</v>
      </c>
      <c r="L1149" s="5">
        <f>1686 / 86400</f>
        <v>1.951388888888889E-2</v>
      </c>
    </row>
    <row r="1150" spans="1:12" x14ac:dyDescent="0.25">
      <c r="A1150" s="3">
        <v>45702.499907407408</v>
      </c>
      <c r="B1150" t="s">
        <v>18</v>
      </c>
      <c r="C1150" s="3">
        <v>45702.522939814815</v>
      </c>
      <c r="D1150" t="s">
        <v>22</v>
      </c>
      <c r="E1150" s="4">
        <v>0.35199999999999998</v>
      </c>
      <c r="F1150" s="4">
        <v>40651.279999999999</v>
      </c>
      <c r="G1150" s="4">
        <v>40651.631999999998</v>
      </c>
      <c r="H1150" s="5">
        <f>1800 / 86400</f>
        <v>2.0833333333333332E-2</v>
      </c>
      <c r="I1150" t="s">
        <v>59</v>
      </c>
      <c r="J1150" t="s">
        <v>120</v>
      </c>
      <c r="K1150" s="5">
        <f>1990 / 86400</f>
        <v>2.3032407407407408E-2</v>
      </c>
      <c r="L1150" s="5">
        <f>313 / 86400</f>
        <v>3.6226851851851854E-3</v>
      </c>
    </row>
    <row r="1151" spans="1:12" x14ac:dyDescent="0.25">
      <c r="A1151" s="3">
        <v>45702.526562500003</v>
      </c>
      <c r="B1151" t="s">
        <v>22</v>
      </c>
      <c r="C1151" s="3">
        <v>45702.536238425921</v>
      </c>
      <c r="D1151" t="s">
        <v>22</v>
      </c>
      <c r="E1151" s="4">
        <v>0.184</v>
      </c>
      <c r="F1151" s="4">
        <v>40651.631999999998</v>
      </c>
      <c r="G1151" s="4">
        <v>40651.815999999999</v>
      </c>
      <c r="H1151" s="5">
        <f>721 / 86400</f>
        <v>8.3449074074074068E-3</v>
      </c>
      <c r="I1151" t="s">
        <v>62</v>
      </c>
      <c r="J1151" t="s">
        <v>120</v>
      </c>
      <c r="K1151" s="5">
        <f>836 / 86400</f>
        <v>9.6759259259259264E-3</v>
      </c>
      <c r="L1151" s="5">
        <f>704 / 86400</f>
        <v>8.1481481481481474E-3</v>
      </c>
    </row>
    <row r="1152" spans="1:12" x14ac:dyDescent="0.25">
      <c r="A1152" s="3">
        <v>45702.544386574074</v>
      </c>
      <c r="B1152" t="s">
        <v>22</v>
      </c>
      <c r="C1152" s="3">
        <v>45702.546030092592</v>
      </c>
      <c r="D1152" t="s">
        <v>137</v>
      </c>
      <c r="E1152" s="4">
        <v>0.43099999999999999</v>
      </c>
      <c r="F1152" s="4">
        <v>40651.815999999999</v>
      </c>
      <c r="G1152" s="4">
        <v>40652.247000000003</v>
      </c>
      <c r="H1152" s="5">
        <f>1 / 86400</f>
        <v>1.1574074074074073E-5</v>
      </c>
      <c r="I1152" t="s">
        <v>122</v>
      </c>
      <c r="J1152" t="s">
        <v>53</v>
      </c>
      <c r="K1152" s="5">
        <f>142 / 86400</f>
        <v>1.6435185185185185E-3</v>
      </c>
      <c r="L1152" s="5">
        <f>613 / 86400</f>
        <v>7.0949074074074074E-3</v>
      </c>
    </row>
    <row r="1153" spans="1:12" x14ac:dyDescent="0.25">
      <c r="A1153" s="3">
        <v>45702.553124999999</v>
      </c>
      <c r="B1153" t="s">
        <v>137</v>
      </c>
      <c r="C1153" s="3">
        <v>45702.556157407409</v>
      </c>
      <c r="D1153" t="s">
        <v>125</v>
      </c>
      <c r="E1153" s="4">
        <v>1.329</v>
      </c>
      <c r="F1153" s="4">
        <v>40652.247000000003</v>
      </c>
      <c r="G1153" s="4">
        <v>40653.576000000001</v>
      </c>
      <c r="H1153" s="5">
        <f>1 / 86400</f>
        <v>1.1574074074074073E-5</v>
      </c>
      <c r="I1153" t="s">
        <v>173</v>
      </c>
      <c r="J1153" t="s">
        <v>24</v>
      </c>
      <c r="K1153" s="5">
        <f>262 / 86400</f>
        <v>3.0324074074074073E-3</v>
      </c>
      <c r="L1153" s="5">
        <f>376 / 86400</f>
        <v>4.3518518518518515E-3</v>
      </c>
    </row>
    <row r="1154" spans="1:12" x14ac:dyDescent="0.25">
      <c r="A1154" s="3">
        <v>45702.56050925926</v>
      </c>
      <c r="B1154" t="s">
        <v>125</v>
      </c>
      <c r="C1154" s="3">
        <v>45702.742025462961</v>
      </c>
      <c r="D1154" t="s">
        <v>384</v>
      </c>
      <c r="E1154" s="4">
        <v>81.856999999999999</v>
      </c>
      <c r="F1154" s="4">
        <v>40653.576000000001</v>
      </c>
      <c r="G1154" s="4">
        <v>40735.432999999997</v>
      </c>
      <c r="H1154" s="5">
        <f>4529 / 86400</f>
        <v>5.2418981481481483E-2</v>
      </c>
      <c r="I1154" t="s">
        <v>39</v>
      </c>
      <c r="J1154" t="s">
        <v>99</v>
      </c>
      <c r="K1154" s="5">
        <f>15683 / 86400</f>
        <v>0.18151620370370369</v>
      </c>
      <c r="L1154" s="5">
        <f>340 / 86400</f>
        <v>3.9351851851851848E-3</v>
      </c>
    </row>
    <row r="1155" spans="1:12" x14ac:dyDescent="0.25">
      <c r="A1155" s="3">
        <v>45702.74596064815</v>
      </c>
      <c r="B1155" t="s">
        <v>384</v>
      </c>
      <c r="C1155" s="3">
        <v>45702.99998842593</v>
      </c>
      <c r="D1155" t="s">
        <v>101</v>
      </c>
      <c r="E1155" s="4">
        <v>121.675</v>
      </c>
      <c r="F1155" s="4">
        <v>40735.432999999997</v>
      </c>
      <c r="G1155" s="4">
        <v>40857.108</v>
      </c>
      <c r="H1155" s="5">
        <f>6512 / 86400</f>
        <v>7.5370370370370365E-2</v>
      </c>
      <c r="I1155" t="s">
        <v>23</v>
      </c>
      <c r="J1155" t="s">
        <v>145</v>
      </c>
      <c r="K1155" s="5">
        <f>21948 / 86400</f>
        <v>0.2540277777777778</v>
      </c>
      <c r="L1155" s="5">
        <f>0 / 86400</f>
        <v>0</v>
      </c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</row>
    <row r="1158" spans="1:12" s="10" customFormat="1" ht="20.100000000000001" customHeight="1" x14ac:dyDescent="0.35">
      <c r="A1158" s="15" t="s">
        <v>470</v>
      </c>
      <c r="B1158" s="15"/>
      <c r="C1158" s="15"/>
      <c r="D1158" s="15"/>
      <c r="E1158" s="15"/>
      <c r="F1158" s="15"/>
      <c r="G1158" s="15"/>
      <c r="H1158" s="15"/>
      <c r="I1158" s="15"/>
      <c r="J1158" s="15"/>
    </row>
    <row r="1159" spans="1:12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</row>
    <row r="1160" spans="1:12" ht="30" x14ac:dyDescent="0.25">
      <c r="A1160" s="2" t="s">
        <v>6</v>
      </c>
      <c r="B1160" s="2" t="s">
        <v>7</v>
      </c>
      <c r="C1160" s="2" t="s">
        <v>8</v>
      </c>
      <c r="D1160" s="2" t="s">
        <v>9</v>
      </c>
      <c r="E1160" s="2" t="s">
        <v>10</v>
      </c>
      <c r="F1160" s="2" t="s">
        <v>11</v>
      </c>
      <c r="G1160" s="2" t="s">
        <v>12</v>
      </c>
      <c r="H1160" s="2" t="s">
        <v>13</v>
      </c>
      <c r="I1160" s="2" t="s">
        <v>14</v>
      </c>
      <c r="J1160" s="2" t="s">
        <v>15</v>
      </c>
      <c r="K1160" s="2" t="s">
        <v>16</v>
      </c>
      <c r="L1160" s="2" t="s">
        <v>17</v>
      </c>
    </row>
    <row r="1161" spans="1:12" x14ac:dyDescent="0.25">
      <c r="A1161" s="3">
        <v>45702.259733796294</v>
      </c>
      <c r="B1161" t="s">
        <v>102</v>
      </c>
      <c r="C1161" s="3">
        <v>45702.268877314811</v>
      </c>
      <c r="D1161" t="s">
        <v>194</v>
      </c>
      <c r="E1161" s="4">
        <v>2.387</v>
      </c>
      <c r="F1161" s="4">
        <v>192287.541</v>
      </c>
      <c r="G1161" s="4">
        <v>192289.92800000001</v>
      </c>
      <c r="H1161" s="5">
        <f>259 / 86400</f>
        <v>2.9976851851851853E-3</v>
      </c>
      <c r="I1161" t="s">
        <v>155</v>
      </c>
      <c r="J1161" t="s">
        <v>53</v>
      </c>
      <c r="K1161" s="5">
        <f>790 / 86400</f>
        <v>9.1435185185185178E-3</v>
      </c>
      <c r="L1161" s="5">
        <f>23207 / 86400</f>
        <v>0.26859953703703704</v>
      </c>
    </row>
    <row r="1162" spans="1:12" x14ac:dyDescent="0.25">
      <c r="A1162" s="3">
        <v>45702.277743055558</v>
      </c>
      <c r="B1162" t="s">
        <v>194</v>
      </c>
      <c r="C1162" s="3">
        <v>45702.351319444446</v>
      </c>
      <c r="D1162" t="s">
        <v>358</v>
      </c>
      <c r="E1162" s="4">
        <v>32.305999999999997</v>
      </c>
      <c r="F1162" s="4">
        <v>192289.92800000001</v>
      </c>
      <c r="G1162" s="4">
        <v>192322.234</v>
      </c>
      <c r="H1162" s="5">
        <f>2079 / 86400</f>
        <v>2.4062500000000001E-2</v>
      </c>
      <c r="I1162" t="s">
        <v>233</v>
      </c>
      <c r="J1162" t="s">
        <v>24</v>
      </c>
      <c r="K1162" s="5">
        <f>6356 / 86400</f>
        <v>7.3564814814814819E-2</v>
      </c>
      <c r="L1162" s="5">
        <f>51 / 86400</f>
        <v>5.9027777777777778E-4</v>
      </c>
    </row>
    <row r="1163" spans="1:12" x14ac:dyDescent="0.25">
      <c r="A1163" s="3">
        <v>45702.351909722223</v>
      </c>
      <c r="B1163" t="s">
        <v>358</v>
      </c>
      <c r="C1163" s="3">
        <v>45702.352175925931</v>
      </c>
      <c r="D1163" t="s">
        <v>358</v>
      </c>
      <c r="E1163" s="4">
        <v>0.01</v>
      </c>
      <c r="F1163" s="4">
        <v>192322.234</v>
      </c>
      <c r="G1163" s="4">
        <v>192322.24400000001</v>
      </c>
      <c r="H1163" s="5">
        <f>19 / 86400</f>
        <v>2.199074074074074E-4</v>
      </c>
      <c r="I1163" t="s">
        <v>88</v>
      </c>
      <c r="J1163" t="s">
        <v>140</v>
      </c>
      <c r="K1163" s="5">
        <f>23 / 86400</f>
        <v>2.6620370370370372E-4</v>
      </c>
      <c r="L1163" s="5">
        <f>204 / 86400</f>
        <v>2.3611111111111111E-3</v>
      </c>
    </row>
    <row r="1164" spans="1:12" x14ac:dyDescent="0.25">
      <c r="A1164" s="3">
        <v>45702.354537037041</v>
      </c>
      <c r="B1164" t="s">
        <v>358</v>
      </c>
      <c r="C1164" s="3">
        <v>45702.354791666672</v>
      </c>
      <c r="D1164" t="s">
        <v>358</v>
      </c>
      <c r="E1164" s="4">
        <v>1.4E-2</v>
      </c>
      <c r="F1164" s="4">
        <v>192322.24400000001</v>
      </c>
      <c r="G1164" s="4">
        <v>192322.258</v>
      </c>
      <c r="H1164" s="5">
        <f>0 / 86400</f>
        <v>0</v>
      </c>
      <c r="I1164" t="s">
        <v>127</v>
      </c>
      <c r="J1164" t="s">
        <v>140</v>
      </c>
      <c r="K1164" s="5">
        <f>21 / 86400</f>
        <v>2.4305555555555555E-4</v>
      </c>
      <c r="L1164" s="5">
        <f>5896 / 86400</f>
        <v>6.8240740740740741E-2</v>
      </c>
    </row>
    <row r="1165" spans="1:12" x14ac:dyDescent="0.25">
      <c r="A1165" s="3">
        <v>45702.423032407409</v>
      </c>
      <c r="B1165" t="s">
        <v>358</v>
      </c>
      <c r="C1165" s="3">
        <v>45702.426736111112</v>
      </c>
      <c r="D1165" t="s">
        <v>125</v>
      </c>
      <c r="E1165" s="4">
        <v>1.22</v>
      </c>
      <c r="F1165" s="4">
        <v>192322.258</v>
      </c>
      <c r="G1165" s="4">
        <v>192323.478</v>
      </c>
      <c r="H1165" s="5">
        <f>0 / 86400</f>
        <v>0</v>
      </c>
      <c r="I1165" t="s">
        <v>178</v>
      </c>
      <c r="J1165" t="s">
        <v>59</v>
      </c>
      <c r="K1165" s="5">
        <f>320 / 86400</f>
        <v>3.7037037037037038E-3</v>
      </c>
      <c r="L1165" s="5">
        <f>1470 / 86400</f>
        <v>1.7013888888888887E-2</v>
      </c>
    </row>
    <row r="1166" spans="1:12" x14ac:dyDescent="0.25">
      <c r="A1166" s="3">
        <v>45702.443749999999</v>
      </c>
      <c r="B1166" t="s">
        <v>125</v>
      </c>
      <c r="C1166" s="3">
        <v>45702.585787037038</v>
      </c>
      <c r="D1166" t="s">
        <v>405</v>
      </c>
      <c r="E1166" s="4">
        <v>50.92</v>
      </c>
      <c r="F1166" s="4">
        <v>192323.478</v>
      </c>
      <c r="G1166" s="4">
        <v>192374.39799999999</v>
      </c>
      <c r="H1166" s="5">
        <f>4398 / 86400</f>
        <v>5.0902777777777776E-2</v>
      </c>
      <c r="I1166" t="s">
        <v>33</v>
      </c>
      <c r="J1166" t="s">
        <v>31</v>
      </c>
      <c r="K1166" s="5">
        <f>12272 / 86400</f>
        <v>0.14203703703703704</v>
      </c>
      <c r="L1166" s="5">
        <f>1908 / 86400</f>
        <v>2.2083333333333333E-2</v>
      </c>
    </row>
    <row r="1167" spans="1:12" x14ac:dyDescent="0.25">
      <c r="A1167" s="3">
        <v>45702.607870370368</v>
      </c>
      <c r="B1167" t="s">
        <v>405</v>
      </c>
      <c r="C1167" s="3">
        <v>45702.751956018517</v>
      </c>
      <c r="D1167" t="s">
        <v>86</v>
      </c>
      <c r="E1167" s="4">
        <v>50.628</v>
      </c>
      <c r="F1167" s="4">
        <v>192374.39799999999</v>
      </c>
      <c r="G1167" s="4">
        <v>192425.02600000001</v>
      </c>
      <c r="H1167" s="5">
        <f>3439 / 86400</f>
        <v>3.9803240740740743E-2</v>
      </c>
      <c r="I1167" t="s">
        <v>30</v>
      </c>
      <c r="J1167" t="s">
        <v>31</v>
      </c>
      <c r="K1167" s="5">
        <f>12449 / 86400</f>
        <v>0.14408564814814814</v>
      </c>
      <c r="L1167" s="5">
        <f>1838 / 86400</f>
        <v>2.1273148148148149E-2</v>
      </c>
    </row>
    <row r="1168" spans="1:12" x14ac:dyDescent="0.25">
      <c r="A1168" s="3">
        <v>45702.773229166662</v>
      </c>
      <c r="B1168" t="s">
        <v>86</v>
      </c>
      <c r="C1168" s="3">
        <v>45702.773935185185</v>
      </c>
      <c r="D1168" t="s">
        <v>128</v>
      </c>
      <c r="E1168" s="4">
        <v>4.8000000000000001E-2</v>
      </c>
      <c r="F1168" s="4">
        <v>192425.02600000001</v>
      </c>
      <c r="G1168" s="4">
        <v>192425.07399999999</v>
      </c>
      <c r="H1168" s="5">
        <f>20 / 86400</f>
        <v>2.3148148148148149E-4</v>
      </c>
      <c r="I1168" t="s">
        <v>152</v>
      </c>
      <c r="J1168" t="s">
        <v>152</v>
      </c>
      <c r="K1168" s="5">
        <f>61 / 86400</f>
        <v>7.0601851851851847E-4</v>
      </c>
      <c r="L1168" s="5">
        <f>348 / 86400</f>
        <v>4.0277777777777777E-3</v>
      </c>
    </row>
    <row r="1169" spans="1:12" x14ac:dyDescent="0.25">
      <c r="A1169" s="3">
        <v>45702.777962962966</v>
      </c>
      <c r="B1169" t="s">
        <v>128</v>
      </c>
      <c r="C1169" s="3">
        <v>45702.778067129635</v>
      </c>
      <c r="D1169" t="s">
        <v>128</v>
      </c>
      <c r="E1169" s="4">
        <v>0</v>
      </c>
      <c r="F1169" s="4">
        <v>192425.07399999999</v>
      </c>
      <c r="G1169" s="4">
        <v>192425.07399999999</v>
      </c>
      <c r="H1169" s="5">
        <f>0 / 86400</f>
        <v>0</v>
      </c>
      <c r="I1169" t="s">
        <v>88</v>
      </c>
      <c r="J1169" t="s">
        <v>88</v>
      </c>
      <c r="K1169" s="5">
        <f>8 / 86400</f>
        <v>9.2592592592592588E-5</v>
      </c>
      <c r="L1169" s="5">
        <f>102 / 86400</f>
        <v>1.1805555555555556E-3</v>
      </c>
    </row>
    <row r="1170" spans="1:12" x14ac:dyDescent="0.25">
      <c r="A1170" s="3">
        <v>45702.77924768519</v>
      </c>
      <c r="B1170" t="s">
        <v>128</v>
      </c>
      <c r="C1170" s="3">
        <v>45702.780532407407</v>
      </c>
      <c r="D1170" t="s">
        <v>128</v>
      </c>
      <c r="E1170" s="4">
        <v>0.14599999999999999</v>
      </c>
      <c r="F1170" s="4">
        <v>192425.07399999999</v>
      </c>
      <c r="G1170" s="4">
        <v>192425.22</v>
      </c>
      <c r="H1170" s="5">
        <f>40 / 86400</f>
        <v>4.6296296296296298E-4</v>
      </c>
      <c r="I1170" t="s">
        <v>28</v>
      </c>
      <c r="J1170" t="s">
        <v>127</v>
      </c>
      <c r="K1170" s="5">
        <f>111 / 86400</f>
        <v>1.2847222222222223E-3</v>
      </c>
      <c r="L1170" s="5">
        <f>235 / 86400</f>
        <v>2.7199074074074074E-3</v>
      </c>
    </row>
    <row r="1171" spans="1:12" x14ac:dyDescent="0.25">
      <c r="A1171" s="3">
        <v>45702.78325231481</v>
      </c>
      <c r="B1171" t="s">
        <v>128</v>
      </c>
      <c r="C1171" s="3">
        <v>45702.783368055556</v>
      </c>
      <c r="D1171" t="s">
        <v>128</v>
      </c>
      <c r="E1171" s="4">
        <v>7.0000000000000001E-3</v>
      </c>
      <c r="F1171" s="4">
        <v>192425.22</v>
      </c>
      <c r="G1171" s="4">
        <v>192425.22700000001</v>
      </c>
      <c r="H1171" s="5">
        <f>0 / 86400</f>
        <v>0</v>
      </c>
      <c r="I1171" t="s">
        <v>88</v>
      </c>
      <c r="J1171" t="s">
        <v>152</v>
      </c>
      <c r="K1171" s="5">
        <f>10 / 86400</f>
        <v>1.1574074074074075E-4</v>
      </c>
      <c r="L1171" s="5">
        <f>504 / 86400</f>
        <v>5.8333333333333336E-3</v>
      </c>
    </row>
    <row r="1172" spans="1:12" x14ac:dyDescent="0.25">
      <c r="A1172" s="3">
        <v>45702.789201388892</v>
      </c>
      <c r="B1172" t="s">
        <v>128</v>
      </c>
      <c r="C1172" s="3">
        <v>45702.999965277777</v>
      </c>
      <c r="D1172" t="s">
        <v>103</v>
      </c>
      <c r="E1172" s="4">
        <v>81.037000000000006</v>
      </c>
      <c r="F1172" s="4">
        <v>192425.22700000001</v>
      </c>
      <c r="G1172" s="4">
        <v>192506.264</v>
      </c>
      <c r="H1172" s="5">
        <f>5501 / 86400</f>
        <v>6.3668981481481479E-2</v>
      </c>
      <c r="I1172" t="s">
        <v>71</v>
      </c>
      <c r="J1172" t="s">
        <v>34</v>
      </c>
      <c r="K1172" s="5">
        <f>18209 / 86400</f>
        <v>0.21075231481481482</v>
      </c>
      <c r="L1172" s="5">
        <f>2 / 86400</f>
        <v>2.3148148148148147E-5</v>
      </c>
    </row>
    <row r="1173" spans="1:1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</row>
    <row r="1174" spans="1:1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</row>
    <row r="1175" spans="1:12" s="10" customFormat="1" ht="20.100000000000001" customHeight="1" x14ac:dyDescent="0.35">
      <c r="A1175" s="15" t="s">
        <v>471</v>
      </c>
      <c r="B1175" s="15"/>
      <c r="C1175" s="15"/>
      <c r="D1175" s="15"/>
      <c r="E1175" s="15"/>
      <c r="F1175" s="15"/>
      <c r="G1175" s="15"/>
      <c r="H1175" s="15"/>
      <c r="I1175" s="15"/>
      <c r="J1175" s="15"/>
    </row>
    <row r="1176" spans="1:1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</row>
    <row r="1177" spans="1:12" ht="30" x14ac:dyDescent="0.25">
      <c r="A1177" s="2" t="s">
        <v>6</v>
      </c>
      <c r="B1177" s="2" t="s">
        <v>7</v>
      </c>
      <c r="C1177" s="2" t="s">
        <v>8</v>
      </c>
      <c r="D1177" s="2" t="s">
        <v>9</v>
      </c>
      <c r="E1177" s="2" t="s">
        <v>10</v>
      </c>
      <c r="F1177" s="2" t="s">
        <v>11</v>
      </c>
      <c r="G1177" s="2" t="s">
        <v>12</v>
      </c>
      <c r="H1177" s="2" t="s">
        <v>13</v>
      </c>
      <c r="I1177" s="2" t="s">
        <v>14</v>
      </c>
      <c r="J1177" s="2" t="s">
        <v>15</v>
      </c>
      <c r="K1177" s="2" t="s">
        <v>16</v>
      </c>
      <c r="L1177" s="2" t="s">
        <v>17</v>
      </c>
    </row>
    <row r="1178" spans="1:12" x14ac:dyDescent="0.25">
      <c r="A1178" s="3">
        <v>45702.201319444444</v>
      </c>
      <c r="B1178" t="s">
        <v>86</v>
      </c>
      <c r="C1178" s="3">
        <v>45702.466296296298</v>
      </c>
      <c r="D1178" t="s">
        <v>128</v>
      </c>
      <c r="E1178" s="4">
        <v>101.212</v>
      </c>
      <c r="F1178" s="4">
        <v>523050.52600000001</v>
      </c>
      <c r="G1178" s="4">
        <v>523151.73800000001</v>
      </c>
      <c r="H1178" s="5">
        <f>9158 / 86400</f>
        <v>0.10599537037037036</v>
      </c>
      <c r="I1178" t="s">
        <v>105</v>
      </c>
      <c r="J1178" t="s">
        <v>34</v>
      </c>
      <c r="K1178" s="5">
        <f>22894 / 86400</f>
        <v>0.26497685185185182</v>
      </c>
      <c r="L1178" s="5">
        <f>18065 / 86400</f>
        <v>0.20908564814814815</v>
      </c>
    </row>
    <row r="1179" spans="1:12" x14ac:dyDescent="0.25">
      <c r="A1179" s="3">
        <v>45702.474062499998</v>
      </c>
      <c r="B1179" t="s">
        <v>128</v>
      </c>
      <c r="C1179" s="3">
        <v>45702.476493055554</v>
      </c>
      <c r="D1179" t="s">
        <v>370</v>
      </c>
      <c r="E1179" s="4">
        <v>0.67500000000000004</v>
      </c>
      <c r="F1179" s="4">
        <v>523151.73800000001</v>
      </c>
      <c r="G1179" s="4">
        <v>523152.413</v>
      </c>
      <c r="H1179" s="5">
        <f>80 / 86400</f>
        <v>9.2592592592592596E-4</v>
      </c>
      <c r="I1179" t="s">
        <v>335</v>
      </c>
      <c r="J1179" t="s">
        <v>62</v>
      </c>
      <c r="K1179" s="5">
        <f>210 / 86400</f>
        <v>2.4305555555555556E-3</v>
      </c>
      <c r="L1179" s="5">
        <f>560 / 86400</f>
        <v>6.4814814814814813E-3</v>
      </c>
    </row>
    <row r="1180" spans="1:12" x14ac:dyDescent="0.25">
      <c r="A1180" s="3">
        <v>45702.482974537037</v>
      </c>
      <c r="B1180" t="s">
        <v>370</v>
      </c>
      <c r="C1180" s="3">
        <v>45702.483425925922</v>
      </c>
      <c r="D1180" t="s">
        <v>370</v>
      </c>
      <c r="E1180" s="4">
        <v>3.0000000000000001E-3</v>
      </c>
      <c r="F1180" s="4">
        <v>523152.413</v>
      </c>
      <c r="G1180" s="4">
        <v>523152.41600000003</v>
      </c>
      <c r="H1180" s="5">
        <f>0 / 86400</f>
        <v>0</v>
      </c>
      <c r="I1180" t="s">
        <v>120</v>
      </c>
      <c r="J1180" t="s">
        <v>88</v>
      </c>
      <c r="K1180" s="5">
        <f>39 / 86400</f>
        <v>4.5138888888888887E-4</v>
      </c>
      <c r="L1180" s="5">
        <f>1880 / 86400</f>
        <v>2.1759259259259259E-2</v>
      </c>
    </row>
    <row r="1181" spans="1:12" x14ac:dyDescent="0.25">
      <c r="A1181" s="3">
        <v>45702.505185185189</v>
      </c>
      <c r="B1181" t="s">
        <v>370</v>
      </c>
      <c r="C1181" s="3">
        <v>45702.508587962962</v>
      </c>
      <c r="D1181" t="s">
        <v>125</v>
      </c>
      <c r="E1181" s="4">
        <v>1.08</v>
      </c>
      <c r="F1181" s="4">
        <v>523152.41600000003</v>
      </c>
      <c r="G1181" s="4">
        <v>523153.49599999998</v>
      </c>
      <c r="H1181" s="5">
        <f>20 / 86400</f>
        <v>2.3148148148148149E-4</v>
      </c>
      <c r="I1181" t="s">
        <v>189</v>
      </c>
      <c r="J1181" t="s">
        <v>35</v>
      </c>
      <c r="K1181" s="5">
        <f>294 / 86400</f>
        <v>3.4027777777777776E-3</v>
      </c>
      <c r="L1181" s="5">
        <f>825 / 86400</f>
        <v>9.5486111111111119E-3</v>
      </c>
    </row>
    <row r="1182" spans="1:12" x14ac:dyDescent="0.25">
      <c r="A1182" s="3">
        <v>45702.518136574072</v>
      </c>
      <c r="B1182" t="s">
        <v>125</v>
      </c>
      <c r="C1182" s="3">
        <v>45702.775393518517</v>
      </c>
      <c r="D1182" t="s">
        <v>128</v>
      </c>
      <c r="E1182" s="4">
        <v>100.286</v>
      </c>
      <c r="F1182" s="4">
        <v>523153.49599999998</v>
      </c>
      <c r="G1182" s="4">
        <v>523253.78200000001</v>
      </c>
      <c r="H1182" s="5">
        <f>8000 / 86400</f>
        <v>9.2592592592592587E-2</v>
      </c>
      <c r="I1182" t="s">
        <v>400</v>
      </c>
      <c r="J1182" t="s">
        <v>34</v>
      </c>
      <c r="K1182" s="5">
        <f>22227 / 86400</f>
        <v>0.25725694444444447</v>
      </c>
      <c r="L1182" s="5">
        <f>664 / 86400</f>
        <v>7.6851851851851855E-3</v>
      </c>
    </row>
    <row r="1183" spans="1:12" x14ac:dyDescent="0.25">
      <c r="A1183" s="3">
        <v>45702.783078703702</v>
      </c>
      <c r="B1183" t="s">
        <v>128</v>
      </c>
      <c r="C1183" s="3">
        <v>45702.783437499995</v>
      </c>
      <c r="D1183" t="s">
        <v>128</v>
      </c>
      <c r="E1183" s="4">
        <v>1.0999999999999999E-2</v>
      </c>
      <c r="F1183" s="4">
        <v>523253.78200000001</v>
      </c>
      <c r="G1183" s="4">
        <v>523253.79300000001</v>
      </c>
      <c r="H1183" s="5">
        <f>0 / 86400</f>
        <v>0</v>
      </c>
      <c r="I1183" t="s">
        <v>156</v>
      </c>
      <c r="J1183" t="s">
        <v>120</v>
      </c>
      <c r="K1183" s="5">
        <f>30 / 86400</f>
        <v>3.4722222222222224E-4</v>
      </c>
      <c r="L1183" s="5">
        <f>1052 / 86400</f>
        <v>1.2175925925925925E-2</v>
      </c>
    </row>
    <row r="1184" spans="1:12" x14ac:dyDescent="0.25">
      <c r="A1184" s="3">
        <v>45702.795613425929</v>
      </c>
      <c r="B1184" t="s">
        <v>128</v>
      </c>
      <c r="C1184" s="3">
        <v>45702.901817129634</v>
      </c>
      <c r="D1184" t="s">
        <v>101</v>
      </c>
      <c r="E1184" s="4">
        <v>39.17</v>
      </c>
      <c r="F1184" s="4">
        <v>523253.79300000001</v>
      </c>
      <c r="G1184" s="4">
        <v>523292.96299999999</v>
      </c>
      <c r="H1184" s="5">
        <f>3939 / 86400</f>
        <v>4.5590277777777778E-2</v>
      </c>
      <c r="I1184" t="s">
        <v>338</v>
      </c>
      <c r="J1184" t="s">
        <v>31</v>
      </c>
      <c r="K1184" s="5">
        <f>9176 / 86400</f>
        <v>0.1062037037037037</v>
      </c>
      <c r="L1184" s="5">
        <f>696 / 86400</f>
        <v>8.0555555555555554E-3</v>
      </c>
    </row>
    <row r="1185" spans="1:12" x14ac:dyDescent="0.25">
      <c r="A1185" s="3">
        <v>45702.909872685181</v>
      </c>
      <c r="B1185" t="s">
        <v>406</v>
      </c>
      <c r="C1185" s="3">
        <v>45702.99998842593</v>
      </c>
      <c r="D1185" t="s">
        <v>104</v>
      </c>
      <c r="E1185" s="4">
        <v>18.728999999999999</v>
      </c>
      <c r="F1185" s="4">
        <v>523292.96299999999</v>
      </c>
      <c r="G1185" s="4">
        <v>523311.69199999998</v>
      </c>
      <c r="H1185" s="5">
        <f>4279 / 86400</f>
        <v>4.9525462962962966E-2</v>
      </c>
      <c r="I1185" t="s">
        <v>151</v>
      </c>
      <c r="J1185" t="s">
        <v>57</v>
      </c>
      <c r="K1185" s="5">
        <f>7786 / 86400</f>
        <v>9.0115740740740746E-2</v>
      </c>
      <c r="L1185" s="5">
        <f>0 / 86400</f>
        <v>0</v>
      </c>
    </row>
    <row r="1186" spans="1:1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</row>
    <row r="1187" spans="1:12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</row>
    <row r="1188" spans="1:12" s="10" customFormat="1" ht="20.100000000000001" customHeight="1" x14ac:dyDescent="0.35">
      <c r="A1188" s="15" t="s">
        <v>472</v>
      </c>
      <c r="B1188" s="15"/>
      <c r="C1188" s="15"/>
      <c r="D1188" s="15"/>
      <c r="E1188" s="15"/>
      <c r="F1188" s="15"/>
      <c r="G1188" s="15"/>
      <c r="H1188" s="15"/>
      <c r="I1188" s="15"/>
      <c r="J1188" s="15"/>
    </row>
    <row r="1189" spans="1:1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</row>
    <row r="1190" spans="1:12" ht="30" x14ac:dyDescent="0.25">
      <c r="A1190" s="2" t="s">
        <v>6</v>
      </c>
      <c r="B1190" s="2" t="s">
        <v>7</v>
      </c>
      <c r="C1190" s="2" t="s">
        <v>8</v>
      </c>
      <c r="D1190" s="2" t="s">
        <v>9</v>
      </c>
      <c r="E1190" s="2" t="s">
        <v>10</v>
      </c>
      <c r="F1190" s="2" t="s">
        <v>11</v>
      </c>
      <c r="G1190" s="2" t="s">
        <v>12</v>
      </c>
      <c r="H1190" s="2" t="s">
        <v>13</v>
      </c>
      <c r="I1190" s="2" t="s">
        <v>14</v>
      </c>
      <c r="J1190" s="2" t="s">
        <v>15</v>
      </c>
      <c r="K1190" s="2" t="s">
        <v>16</v>
      </c>
      <c r="L1190" s="2" t="s">
        <v>17</v>
      </c>
    </row>
    <row r="1191" spans="1:12" x14ac:dyDescent="0.25">
      <c r="A1191" s="3">
        <v>45702.267870370371</v>
      </c>
      <c r="B1191" t="s">
        <v>94</v>
      </c>
      <c r="C1191" s="3">
        <v>45702.271782407406</v>
      </c>
      <c r="D1191" t="s">
        <v>137</v>
      </c>
      <c r="E1191" s="4">
        <v>0.97899999999999998</v>
      </c>
      <c r="F1191" s="4">
        <v>23039.868999999999</v>
      </c>
      <c r="G1191" s="4">
        <v>23040.848000000002</v>
      </c>
      <c r="H1191" s="5">
        <f>79 / 86400</f>
        <v>9.1435185185185185E-4</v>
      </c>
      <c r="I1191" t="s">
        <v>272</v>
      </c>
      <c r="J1191" t="s">
        <v>126</v>
      </c>
      <c r="K1191" s="5">
        <f>337 / 86400</f>
        <v>3.9004629629629628E-3</v>
      </c>
      <c r="L1191" s="5">
        <f>23355 / 86400</f>
        <v>0.27031250000000001</v>
      </c>
    </row>
    <row r="1192" spans="1:12" x14ac:dyDescent="0.25">
      <c r="A1192" s="3">
        <v>45702.274224537032</v>
      </c>
      <c r="B1192" t="s">
        <v>137</v>
      </c>
      <c r="C1192" s="3">
        <v>45702.400104166663</v>
      </c>
      <c r="D1192" t="s">
        <v>357</v>
      </c>
      <c r="E1192" s="4">
        <v>49.734000000000002</v>
      </c>
      <c r="F1192" s="4">
        <v>23040.848000000002</v>
      </c>
      <c r="G1192" s="4">
        <v>23090.581999999999</v>
      </c>
      <c r="H1192" s="5">
        <f>3139 / 86400</f>
        <v>3.6331018518518519E-2</v>
      </c>
      <c r="I1192" t="s">
        <v>44</v>
      </c>
      <c r="J1192" t="s">
        <v>34</v>
      </c>
      <c r="K1192" s="5">
        <f>10875 / 86400</f>
        <v>0.12586805555555555</v>
      </c>
      <c r="L1192" s="5">
        <f>746 / 86400</f>
        <v>8.6342592592592599E-3</v>
      </c>
    </row>
    <row r="1193" spans="1:12" x14ac:dyDescent="0.25">
      <c r="A1193" s="3">
        <v>45702.408738425926</v>
      </c>
      <c r="B1193" t="s">
        <v>357</v>
      </c>
      <c r="C1193" s="3">
        <v>45702.410787037035</v>
      </c>
      <c r="D1193" t="s">
        <v>390</v>
      </c>
      <c r="E1193" s="4">
        <v>0.26500000000000001</v>
      </c>
      <c r="F1193" s="4">
        <v>23090.581999999999</v>
      </c>
      <c r="G1193" s="4">
        <v>23090.847000000002</v>
      </c>
      <c r="H1193" s="5">
        <f>80 / 86400</f>
        <v>9.2592592592592596E-4</v>
      </c>
      <c r="I1193" t="s">
        <v>35</v>
      </c>
      <c r="J1193" t="s">
        <v>127</v>
      </c>
      <c r="K1193" s="5">
        <f>176 / 86400</f>
        <v>2.0370370370370369E-3</v>
      </c>
      <c r="L1193" s="5">
        <f>67 / 86400</f>
        <v>7.7546296296296293E-4</v>
      </c>
    </row>
    <row r="1194" spans="1:12" x14ac:dyDescent="0.25">
      <c r="A1194" s="3">
        <v>45702.411562499998</v>
      </c>
      <c r="B1194" t="s">
        <v>390</v>
      </c>
      <c r="C1194" s="3">
        <v>45702.552939814814</v>
      </c>
      <c r="D1194" t="s">
        <v>125</v>
      </c>
      <c r="E1194" s="4">
        <v>50.787999999999997</v>
      </c>
      <c r="F1194" s="4">
        <v>23090.847000000002</v>
      </c>
      <c r="G1194" s="4">
        <v>23141.634999999998</v>
      </c>
      <c r="H1194" s="5">
        <f>3700 / 86400</f>
        <v>4.2824074074074077E-2</v>
      </c>
      <c r="I1194" t="s">
        <v>61</v>
      </c>
      <c r="J1194" t="s">
        <v>31</v>
      </c>
      <c r="K1194" s="5">
        <f>12214 / 86400</f>
        <v>0.14136574074074074</v>
      </c>
      <c r="L1194" s="5">
        <f>82 / 86400</f>
        <v>9.4907407407407408E-4</v>
      </c>
    </row>
    <row r="1195" spans="1:12" x14ac:dyDescent="0.25">
      <c r="A1195" s="3">
        <v>45702.553888888884</v>
      </c>
      <c r="B1195" t="s">
        <v>125</v>
      </c>
      <c r="C1195" s="3">
        <v>45702.556203703702</v>
      </c>
      <c r="D1195" t="s">
        <v>82</v>
      </c>
      <c r="E1195" s="4">
        <v>0.68</v>
      </c>
      <c r="F1195" s="4">
        <v>23141.634999999998</v>
      </c>
      <c r="G1195" s="4">
        <v>23142.314999999999</v>
      </c>
      <c r="H1195" s="5">
        <f>0 / 86400</f>
        <v>0</v>
      </c>
      <c r="I1195" t="s">
        <v>122</v>
      </c>
      <c r="J1195" t="s">
        <v>62</v>
      </c>
      <c r="K1195" s="5">
        <f>199 / 86400</f>
        <v>2.3032407407407407E-3</v>
      </c>
      <c r="L1195" s="5">
        <f>881 / 86400</f>
        <v>1.019675925925926E-2</v>
      </c>
    </row>
    <row r="1196" spans="1:12" x14ac:dyDescent="0.25">
      <c r="A1196" s="3">
        <v>45702.566400462965</v>
      </c>
      <c r="B1196" t="s">
        <v>82</v>
      </c>
      <c r="C1196" s="3">
        <v>45702.570335648154</v>
      </c>
      <c r="D1196" t="s">
        <v>363</v>
      </c>
      <c r="E1196" s="4">
        <v>0.82</v>
      </c>
      <c r="F1196" s="4">
        <v>23142.314999999999</v>
      </c>
      <c r="G1196" s="4">
        <v>23143.134999999998</v>
      </c>
      <c r="H1196" s="5">
        <f>160 / 86400</f>
        <v>1.8518518518518519E-3</v>
      </c>
      <c r="I1196" t="s">
        <v>147</v>
      </c>
      <c r="J1196" t="s">
        <v>57</v>
      </c>
      <c r="K1196" s="5">
        <f>340 / 86400</f>
        <v>3.9351851851851848E-3</v>
      </c>
      <c r="L1196" s="5">
        <f>80 / 86400</f>
        <v>9.2592592592592596E-4</v>
      </c>
    </row>
    <row r="1197" spans="1:12" x14ac:dyDescent="0.25">
      <c r="A1197" s="3">
        <v>45702.571261574078</v>
      </c>
      <c r="B1197" t="s">
        <v>363</v>
      </c>
      <c r="C1197" s="3">
        <v>45702.672418981485</v>
      </c>
      <c r="D1197" t="s">
        <v>407</v>
      </c>
      <c r="E1197" s="4">
        <v>39.707999999999998</v>
      </c>
      <c r="F1197" s="4">
        <v>23143.134999999998</v>
      </c>
      <c r="G1197" s="4">
        <v>23182.843000000001</v>
      </c>
      <c r="H1197" s="5">
        <f>3060 / 86400</f>
        <v>3.5416666666666666E-2</v>
      </c>
      <c r="I1197" t="s">
        <v>61</v>
      </c>
      <c r="J1197" t="s">
        <v>34</v>
      </c>
      <c r="K1197" s="5">
        <f>8739 / 86400</f>
        <v>0.10114583333333334</v>
      </c>
      <c r="L1197" s="5">
        <f>41 / 86400</f>
        <v>4.7453703703703704E-4</v>
      </c>
    </row>
    <row r="1198" spans="1:12" x14ac:dyDescent="0.25">
      <c r="A1198" s="3">
        <v>45702.672893518524</v>
      </c>
      <c r="B1198" t="s">
        <v>407</v>
      </c>
      <c r="C1198" s="3">
        <v>45702.672962962963</v>
      </c>
      <c r="D1198" t="s">
        <v>407</v>
      </c>
      <c r="E1198" s="4">
        <v>0</v>
      </c>
      <c r="F1198" s="4">
        <v>23182.843000000001</v>
      </c>
      <c r="G1198" s="4">
        <v>23182.843000000001</v>
      </c>
      <c r="H1198" s="5">
        <f>0 / 86400</f>
        <v>0</v>
      </c>
      <c r="I1198" t="s">
        <v>88</v>
      </c>
      <c r="J1198" t="s">
        <v>88</v>
      </c>
      <c r="K1198" s="5">
        <f>6 / 86400</f>
        <v>6.9444444444444444E-5</v>
      </c>
      <c r="L1198" s="5">
        <f>925 / 86400</f>
        <v>1.0706018518518519E-2</v>
      </c>
    </row>
    <row r="1199" spans="1:12" x14ac:dyDescent="0.25">
      <c r="A1199" s="3">
        <v>45702.683668981481</v>
      </c>
      <c r="B1199" t="s">
        <v>407</v>
      </c>
      <c r="C1199" s="3">
        <v>45702.793749999997</v>
      </c>
      <c r="D1199" t="s">
        <v>370</v>
      </c>
      <c r="E1199" s="4">
        <v>40.173999999999999</v>
      </c>
      <c r="F1199" s="4">
        <v>23182.843000000001</v>
      </c>
      <c r="G1199" s="4">
        <v>23223.017</v>
      </c>
      <c r="H1199" s="5">
        <f>2820 / 86400</f>
        <v>3.2638888888888891E-2</v>
      </c>
      <c r="I1199" t="s">
        <v>183</v>
      </c>
      <c r="J1199" t="s">
        <v>31</v>
      </c>
      <c r="K1199" s="5">
        <f>9510 / 86400</f>
        <v>0.11006944444444444</v>
      </c>
      <c r="L1199" s="5">
        <f>405 / 86400</f>
        <v>4.6874999999999998E-3</v>
      </c>
    </row>
    <row r="1200" spans="1:12" x14ac:dyDescent="0.25">
      <c r="A1200" s="3">
        <v>45702.798437500001</v>
      </c>
      <c r="B1200" t="s">
        <v>370</v>
      </c>
      <c r="C1200" s="3">
        <v>45702.80059027778</v>
      </c>
      <c r="D1200" t="s">
        <v>128</v>
      </c>
      <c r="E1200" s="4">
        <v>0.71</v>
      </c>
      <c r="F1200" s="4">
        <v>23223.017</v>
      </c>
      <c r="G1200" s="4">
        <v>23223.726999999999</v>
      </c>
      <c r="H1200" s="5">
        <f>39 / 86400</f>
        <v>4.5138888888888887E-4</v>
      </c>
      <c r="I1200" t="s">
        <v>139</v>
      </c>
      <c r="J1200" t="s">
        <v>59</v>
      </c>
      <c r="K1200" s="5">
        <f>186 / 86400</f>
        <v>2.1527777777777778E-3</v>
      </c>
      <c r="L1200" s="5">
        <f>333 / 86400</f>
        <v>3.8541666666666668E-3</v>
      </c>
    </row>
    <row r="1201" spans="1:12" x14ac:dyDescent="0.25">
      <c r="A1201" s="3">
        <v>45702.804444444446</v>
      </c>
      <c r="B1201" t="s">
        <v>128</v>
      </c>
      <c r="C1201" s="3">
        <v>45702.805474537032</v>
      </c>
      <c r="D1201" t="s">
        <v>137</v>
      </c>
      <c r="E1201" s="4">
        <v>4.2999999999999997E-2</v>
      </c>
      <c r="F1201" s="4">
        <v>23223.726999999999</v>
      </c>
      <c r="G1201" s="4">
        <v>23223.77</v>
      </c>
      <c r="H1201" s="5">
        <f>40 / 86400</f>
        <v>4.6296296296296298E-4</v>
      </c>
      <c r="I1201" t="s">
        <v>127</v>
      </c>
      <c r="J1201" t="s">
        <v>140</v>
      </c>
      <c r="K1201" s="5">
        <f>88 / 86400</f>
        <v>1.0185185185185184E-3</v>
      </c>
      <c r="L1201" s="5">
        <f>360 / 86400</f>
        <v>4.1666666666666666E-3</v>
      </c>
    </row>
    <row r="1202" spans="1:12" x14ac:dyDescent="0.25">
      <c r="A1202" s="3">
        <v>45702.809641203705</v>
      </c>
      <c r="B1202" t="s">
        <v>137</v>
      </c>
      <c r="C1202" s="3">
        <v>45702.812326388885</v>
      </c>
      <c r="D1202" t="s">
        <v>94</v>
      </c>
      <c r="E1202" s="4">
        <v>0.72099999999999997</v>
      </c>
      <c r="F1202" s="4">
        <v>23223.77</v>
      </c>
      <c r="G1202" s="4">
        <v>23224.491000000002</v>
      </c>
      <c r="H1202" s="5">
        <f>20 / 86400</f>
        <v>2.3148148148148149E-4</v>
      </c>
      <c r="I1202" t="s">
        <v>272</v>
      </c>
      <c r="J1202" t="s">
        <v>53</v>
      </c>
      <c r="K1202" s="5">
        <f>231 / 86400</f>
        <v>2.673611111111111E-3</v>
      </c>
      <c r="L1202" s="5">
        <f>16214 / 86400</f>
        <v>0.18766203703703704</v>
      </c>
    </row>
    <row r="1203" spans="1:1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</row>
    <row r="1204" spans="1:1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</row>
    <row r="1205" spans="1:12" s="10" customFormat="1" ht="20.100000000000001" customHeight="1" x14ac:dyDescent="0.35">
      <c r="A1205" s="15" t="s">
        <v>473</v>
      </c>
      <c r="B1205" s="15"/>
      <c r="C1205" s="15"/>
      <c r="D1205" s="15"/>
      <c r="E1205" s="15"/>
      <c r="F1205" s="15"/>
      <c r="G1205" s="15"/>
      <c r="H1205" s="15"/>
      <c r="I1205" s="15"/>
      <c r="J1205" s="15"/>
    </row>
    <row r="1206" spans="1:1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</row>
    <row r="1207" spans="1:12" ht="30" x14ac:dyDescent="0.25">
      <c r="A1207" s="2" t="s">
        <v>6</v>
      </c>
      <c r="B1207" s="2" t="s">
        <v>7</v>
      </c>
      <c r="C1207" s="2" t="s">
        <v>8</v>
      </c>
      <c r="D1207" s="2" t="s">
        <v>9</v>
      </c>
      <c r="E1207" s="2" t="s">
        <v>10</v>
      </c>
      <c r="F1207" s="2" t="s">
        <v>11</v>
      </c>
      <c r="G1207" s="2" t="s">
        <v>12</v>
      </c>
      <c r="H1207" s="2" t="s">
        <v>13</v>
      </c>
      <c r="I1207" s="2" t="s">
        <v>14</v>
      </c>
      <c r="J1207" s="2" t="s">
        <v>15</v>
      </c>
      <c r="K1207" s="2" t="s">
        <v>16</v>
      </c>
      <c r="L1207" s="2" t="s">
        <v>17</v>
      </c>
    </row>
    <row r="1208" spans="1:12" x14ac:dyDescent="0.25">
      <c r="A1208" s="3">
        <v>45702.20616898148</v>
      </c>
      <c r="B1208" t="s">
        <v>38</v>
      </c>
      <c r="C1208" s="3">
        <v>45702.435995370368</v>
      </c>
      <c r="D1208" t="s">
        <v>128</v>
      </c>
      <c r="E1208" s="4">
        <v>80.581000000000003</v>
      </c>
      <c r="F1208" s="4">
        <v>64170.705999999998</v>
      </c>
      <c r="G1208" s="4">
        <v>64251.286999999997</v>
      </c>
      <c r="H1208" s="5">
        <f>8217 / 86400</f>
        <v>9.510416666666667E-2</v>
      </c>
      <c r="I1208" t="s">
        <v>20</v>
      </c>
      <c r="J1208" t="s">
        <v>31</v>
      </c>
      <c r="K1208" s="5">
        <f>19857 / 86400</f>
        <v>0.2298263888888889</v>
      </c>
      <c r="L1208" s="5">
        <f>18052 / 86400</f>
        <v>0.2089351851851852</v>
      </c>
    </row>
    <row r="1209" spans="1:12" x14ac:dyDescent="0.25">
      <c r="A1209" s="3">
        <v>45702.438761574071</v>
      </c>
      <c r="B1209" t="s">
        <v>128</v>
      </c>
      <c r="C1209" s="3">
        <v>45702.439398148148</v>
      </c>
      <c r="D1209" t="s">
        <v>128</v>
      </c>
      <c r="E1209" s="4">
        <v>3.9E-2</v>
      </c>
      <c r="F1209" s="4">
        <v>64251.286999999997</v>
      </c>
      <c r="G1209" s="4">
        <v>64251.326000000001</v>
      </c>
      <c r="H1209" s="5">
        <f>19 / 86400</f>
        <v>2.199074074074074E-4</v>
      </c>
      <c r="I1209" t="s">
        <v>53</v>
      </c>
      <c r="J1209" t="s">
        <v>152</v>
      </c>
      <c r="K1209" s="5">
        <f>54 / 86400</f>
        <v>6.2500000000000001E-4</v>
      </c>
      <c r="L1209" s="5">
        <f>351 / 86400</f>
        <v>4.0625000000000001E-3</v>
      </c>
    </row>
    <row r="1210" spans="1:12" x14ac:dyDescent="0.25">
      <c r="A1210" s="3">
        <v>45702.443460648152</v>
      </c>
      <c r="B1210" t="s">
        <v>128</v>
      </c>
      <c r="C1210" s="3">
        <v>45702.443611111114</v>
      </c>
      <c r="D1210" t="s">
        <v>128</v>
      </c>
      <c r="E1210" s="4">
        <v>0</v>
      </c>
      <c r="F1210" s="4">
        <v>64251.326000000001</v>
      </c>
      <c r="G1210" s="4">
        <v>64251.326000000001</v>
      </c>
      <c r="H1210" s="5">
        <f>0 / 86400</f>
        <v>0</v>
      </c>
      <c r="I1210" t="s">
        <v>88</v>
      </c>
      <c r="J1210" t="s">
        <v>88</v>
      </c>
      <c r="K1210" s="5">
        <f>13 / 86400</f>
        <v>1.5046296296296297E-4</v>
      </c>
      <c r="L1210" s="5">
        <f>205 / 86400</f>
        <v>2.3726851851851851E-3</v>
      </c>
    </row>
    <row r="1211" spans="1:12" x14ac:dyDescent="0.25">
      <c r="A1211" s="3">
        <v>45702.445983796293</v>
      </c>
      <c r="B1211" t="s">
        <v>128</v>
      </c>
      <c r="C1211" s="3">
        <v>45702.446886574078</v>
      </c>
      <c r="D1211" t="s">
        <v>128</v>
      </c>
      <c r="E1211" s="4">
        <v>5.1999999999999998E-2</v>
      </c>
      <c r="F1211" s="4">
        <v>64251.326000000001</v>
      </c>
      <c r="G1211" s="4">
        <v>64251.377999999997</v>
      </c>
      <c r="H1211" s="5">
        <f>19 / 86400</f>
        <v>2.199074074074074E-4</v>
      </c>
      <c r="I1211" t="s">
        <v>57</v>
      </c>
      <c r="J1211" t="s">
        <v>140</v>
      </c>
      <c r="K1211" s="5">
        <f>78 / 86400</f>
        <v>9.0277777777777774E-4</v>
      </c>
      <c r="L1211" s="5">
        <f>1346 / 86400</f>
        <v>1.5578703703703704E-2</v>
      </c>
    </row>
    <row r="1212" spans="1:12" x14ac:dyDescent="0.25">
      <c r="A1212" s="3">
        <v>45702.462465277778</v>
      </c>
      <c r="B1212" t="s">
        <v>137</v>
      </c>
      <c r="C1212" s="3">
        <v>45702.467233796298</v>
      </c>
      <c r="D1212" t="s">
        <v>124</v>
      </c>
      <c r="E1212" s="4">
        <v>1.3420000000000001</v>
      </c>
      <c r="F1212" s="4">
        <v>64251.377999999997</v>
      </c>
      <c r="G1212" s="4">
        <v>64252.72</v>
      </c>
      <c r="H1212" s="5">
        <f>100 / 86400</f>
        <v>1.1574074074074073E-3</v>
      </c>
      <c r="I1212" t="s">
        <v>184</v>
      </c>
      <c r="J1212" t="s">
        <v>62</v>
      </c>
      <c r="K1212" s="5">
        <f>411 / 86400</f>
        <v>4.7569444444444447E-3</v>
      </c>
      <c r="L1212" s="5">
        <f>618 / 86400</f>
        <v>7.1527777777777779E-3</v>
      </c>
    </row>
    <row r="1213" spans="1:12" x14ac:dyDescent="0.25">
      <c r="A1213" s="3">
        <v>45702.474386574075</v>
      </c>
      <c r="B1213" t="s">
        <v>124</v>
      </c>
      <c r="C1213" s="3">
        <v>45702.72761574074</v>
      </c>
      <c r="D1213" t="s">
        <v>38</v>
      </c>
      <c r="E1213" s="4">
        <v>104.023</v>
      </c>
      <c r="F1213" s="4">
        <v>64252.72</v>
      </c>
      <c r="G1213" s="4">
        <v>64356.743000000002</v>
      </c>
      <c r="H1213" s="5">
        <f>7199 / 86400</f>
        <v>8.3321759259259262E-2</v>
      </c>
      <c r="I1213" t="s">
        <v>56</v>
      </c>
      <c r="J1213" t="s">
        <v>28</v>
      </c>
      <c r="K1213" s="5">
        <f>21879 / 86400</f>
        <v>0.25322916666666667</v>
      </c>
      <c r="L1213" s="5">
        <f>342 / 86400</f>
        <v>3.9583333333333337E-3</v>
      </c>
    </row>
    <row r="1214" spans="1:12" x14ac:dyDescent="0.25">
      <c r="A1214" s="3">
        <v>45702.731574074074</v>
      </c>
      <c r="B1214" t="s">
        <v>38</v>
      </c>
      <c r="C1214" s="3">
        <v>45702.736180555556</v>
      </c>
      <c r="D1214" t="s">
        <v>38</v>
      </c>
      <c r="E1214" s="4">
        <v>1.3879999999999999</v>
      </c>
      <c r="F1214" s="4">
        <v>64356.743000000002</v>
      </c>
      <c r="G1214" s="4">
        <v>64358.131000000001</v>
      </c>
      <c r="H1214" s="5">
        <f>179 / 86400</f>
        <v>2.0717592592592593E-3</v>
      </c>
      <c r="I1214" t="s">
        <v>232</v>
      </c>
      <c r="J1214" t="s">
        <v>35</v>
      </c>
      <c r="K1214" s="5">
        <f>398 / 86400</f>
        <v>4.6064814814814814E-3</v>
      </c>
      <c r="L1214" s="5">
        <f>22793 / 86400</f>
        <v>0.26380787037037035</v>
      </c>
    </row>
    <row r="1215" spans="1:1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</row>
    <row r="1216" spans="1:1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</row>
    <row r="1217" spans="1:12" s="10" customFormat="1" ht="20.100000000000001" customHeight="1" x14ac:dyDescent="0.35">
      <c r="A1217" s="15" t="s">
        <v>474</v>
      </c>
      <c r="B1217" s="15"/>
      <c r="C1217" s="15"/>
      <c r="D1217" s="15"/>
      <c r="E1217" s="15"/>
      <c r="F1217" s="15"/>
      <c r="G1217" s="15"/>
      <c r="H1217" s="15"/>
      <c r="I1217" s="15"/>
      <c r="J1217" s="15"/>
    </row>
    <row r="1218" spans="1:1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</row>
    <row r="1219" spans="1:12" ht="30" x14ac:dyDescent="0.25">
      <c r="A1219" s="2" t="s">
        <v>6</v>
      </c>
      <c r="B1219" s="2" t="s">
        <v>7</v>
      </c>
      <c r="C1219" s="2" t="s">
        <v>8</v>
      </c>
      <c r="D1219" s="2" t="s">
        <v>9</v>
      </c>
      <c r="E1219" s="2" t="s">
        <v>10</v>
      </c>
      <c r="F1219" s="2" t="s">
        <v>11</v>
      </c>
      <c r="G1219" s="2" t="s">
        <v>12</v>
      </c>
      <c r="H1219" s="2" t="s">
        <v>13</v>
      </c>
      <c r="I1219" s="2" t="s">
        <v>14</v>
      </c>
      <c r="J1219" s="2" t="s">
        <v>15</v>
      </c>
      <c r="K1219" s="2" t="s">
        <v>16</v>
      </c>
      <c r="L1219" s="2" t="s">
        <v>17</v>
      </c>
    </row>
    <row r="1220" spans="1:12" x14ac:dyDescent="0.25">
      <c r="A1220" s="3">
        <v>45702.271562499998</v>
      </c>
      <c r="B1220" t="s">
        <v>70</v>
      </c>
      <c r="C1220" s="3">
        <v>45702.272951388892</v>
      </c>
      <c r="D1220" t="s">
        <v>70</v>
      </c>
      <c r="E1220" s="4">
        <v>0.09</v>
      </c>
      <c r="F1220" s="4">
        <v>5444.518</v>
      </c>
      <c r="G1220" s="4">
        <v>5444.6080000000002</v>
      </c>
      <c r="H1220" s="5">
        <f>79 / 86400</f>
        <v>9.1435185185185185E-4</v>
      </c>
      <c r="I1220" t="s">
        <v>62</v>
      </c>
      <c r="J1220" t="s">
        <v>152</v>
      </c>
      <c r="K1220" s="5">
        <f>120 / 86400</f>
        <v>1.3888888888888889E-3</v>
      </c>
      <c r="L1220" s="5">
        <f>24246 / 86400</f>
        <v>0.28062500000000001</v>
      </c>
    </row>
    <row r="1221" spans="1:12" x14ac:dyDescent="0.25">
      <c r="A1221" s="3">
        <v>45702.282013888893</v>
      </c>
      <c r="B1221" t="s">
        <v>70</v>
      </c>
      <c r="C1221" s="3">
        <v>45702.383599537032</v>
      </c>
      <c r="D1221" t="s">
        <v>124</v>
      </c>
      <c r="E1221" s="4">
        <v>35.012999999999998</v>
      </c>
      <c r="F1221" s="4">
        <v>5444.6080000000002</v>
      </c>
      <c r="G1221" s="4">
        <v>5479.6210000000001</v>
      </c>
      <c r="H1221" s="5">
        <f>3899 / 86400</f>
        <v>4.5127314814814815E-2</v>
      </c>
      <c r="I1221" t="s">
        <v>209</v>
      </c>
      <c r="J1221" t="s">
        <v>59</v>
      </c>
      <c r="K1221" s="5">
        <f>8777 / 86400</f>
        <v>0.10158564814814815</v>
      </c>
      <c r="L1221" s="5">
        <f>1502 / 86400</f>
        <v>1.7384259259259259E-2</v>
      </c>
    </row>
    <row r="1222" spans="1:12" x14ac:dyDescent="0.25">
      <c r="A1222" s="3">
        <v>45702.400983796295</v>
      </c>
      <c r="B1222" t="s">
        <v>124</v>
      </c>
      <c r="C1222" s="3">
        <v>45702.652812500004</v>
      </c>
      <c r="D1222" t="s">
        <v>144</v>
      </c>
      <c r="E1222" s="4">
        <v>100.712</v>
      </c>
      <c r="F1222" s="4">
        <v>5479.6210000000001</v>
      </c>
      <c r="G1222" s="4">
        <v>5580.3329999999996</v>
      </c>
      <c r="H1222" s="5">
        <f>7100 / 86400</f>
        <v>8.217592592592593E-2</v>
      </c>
      <c r="I1222" t="s">
        <v>106</v>
      </c>
      <c r="J1222" t="s">
        <v>28</v>
      </c>
      <c r="K1222" s="5">
        <f>21758 / 86400</f>
        <v>0.25182870370370369</v>
      </c>
      <c r="L1222" s="5">
        <f>201 / 86400</f>
        <v>2.3263888888888887E-3</v>
      </c>
    </row>
    <row r="1223" spans="1:12" x14ac:dyDescent="0.25">
      <c r="A1223" s="3">
        <v>45702.655138888891</v>
      </c>
      <c r="B1223" t="s">
        <v>144</v>
      </c>
      <c r="C1223" s="3">
        <v>45702.656388888892</v>
      </c>
      <c r="D1223" t="s">
        <v>82</v>
      </c>
      <c r="E1223" s="4">
        <v>0.45300000000000001</v>
      </c>
      <c r="F1223" s="4">
        <v>5580.3329999999996</v>
      </c>
      <c r="G1223" s="4">
        <v>5580.7860000000001</v>
      </c>
      <c r="H1223" s="5">
        <f>0 / 86400</f>
        <v>0</v>
      </c>
      <c r="I1223" t="s">
        <v>133</v>
      </c>
      <c r="J1223" t="s">
        <v>31</v>
      </c>
      <c r="K1223" s="5">
        <f>108 / 86400</f>
        <v>1.25E-3</v>
      </c>
      <c r="L1223" s="5">
        <f>1897 / 86400</f>
        <v>2.1956018518518517E-2</v>
      </c>
    </row>
    <row r="1224" spans="1:12" x14ac:dyDescent="0.25">
      <c r="A1224" s="3">
        <v>45702.678344907406</v>
      </c>
      <c r="B1224" t="s">
        <v>82</v>
      </c>
      <c r="C1224" s="3">
        <v>45702.680937500001</v>
      </c>
      <c r="D1224" t="s">
        <v>124</v>
      </c>
      <c r="E1224" s="4">
        <v>0.72599999999999998</v>
      </c>
      <c r="F1224" s="4">
        <v>5580.7860000000001</v>
      </c>
      <c r="G1224" s="4">
        <v>5581.5119999999997</v>
      </c>
      <c r="H1224" s="5">
        <f>19 / 86400</f>
        <v>2.199074074074074E-4</v>
      </c>
      <c r="I1224" t="s">
        <v>122</v>
      </c>
      <c r="J1224" t="s">
        <v>62</v>
      </c>
      <c r="K1224" s="5">
        <f>223 / 86400</f>
        <v>2.5810185185185185E-3</v>
      </c>
      <c r="L1224" s="5">
        <f>884 / 86400</f>
        <v>1.0231481481481482E-2</v>
      </c>
    </row>
    <row r="1225" spans="1:12" x14ac:dyDescent="0.25">
      <c r="A1225" s="3">
        <v>45702.691168981481</v>
      </c>
      <c r="B1225" t="s">
        <v>124</v>
      </c>
      <c r="C1225" s="3">
        <v>45702.767326388886</v>
      </c>
      <c r="D1225" t="s">
        <v>172</v>
      </c>
      <c r="E1225" s="4">
        <v>34.298999999999999</v>
      </c>
      <c r="F1225" s="4">
        <v>5581.5119999999997</v>
      </c>
      <c r="G1225" s="4">
        <v>5615.8109999999997</v>
      </c>
      <c r="H1225" s="5">
        <f>1719 / 86400</f>
        <v>1.9895833333333335E-2</v>
      </c>
      <c r="I1225" t="s">
        <v>212</v>
      </c>
      <c r="J1225" t="s">
        <v>99</v>
      </c>
      <c r="K1225" s="5">
        <f>6579 / 86400</f>
        <v>7.6145833333333329E-2</v>
      </c>
      <c r="L1225" s="5">
        <f>92 / 86400</f>
        <v>1.0648148148148149E-3</v>
      </c>
    </row>
    <row r="1226" spans="1:12" x14ac:dyDescent="0.25">
      <c r="A1226" s="3">
        <v>45702.768391203703</v>
      </c>
      <c r="B1226" t="s">
        <v>172</v>
      </c>
      <c r="C1226" s="3">
        <v>45702.775659722218</v>
      </c>
      <c r="D1226" t="s">
        <v>19</v>
      </c>
      <c r="E1226" s="4">
        <v>1.347</v>
      </c>
      <c r="F1226" s="4">
        <v>5615.8109999999997</v>
      </c>
      <c r="G1226" s="4">
        <v>5617.1580000000004</v>
      </c>
      <c r="H1226" s="5">
        <f>259 / 86400</f>
        <v>2.9976851851851853E-3</v>
      </c>
      <c r="I1226" t="s">
        <v>130</v>
      </c>
      <c r="J1226" t="s">
        <v>123</v>
      </c>
      <c r="K1226" s="5">
        <f>628 / 86400</f>
        <v>7.2685185185185188E-3</v>
      </c>
      <c r="L1226" s="5">
        <f>53 / 86400</f>
        <v>6.134259259259259E-4</v>
      </c>
    </row>
    <row r="1227" spans="1:12" x14ac:dyDescent="0.25">
      <c r="A1227" s="3">
        <v>45702.776273148149</v>
      </c>
      <c r="B1227" t="s">
        <v>19</v>
      </c>
      <c r="C1227" s="3">
        <v>45702.777280092589</v>
      </c>
      <c r="D1227" t="s">
        <v>70</v>
      </c>
      <c r="E1227" s="4">
        <v>2.7E-2</v>
      </c>
      <c r="F1227" s="4">
        <v>5617.1580000000004</v>
      </c>
      <c r="G1227" s="4">
        <v>5617.1850000000004</v>
      </c>
      <c r="H1227" s="5">
        <f>40 / 86400</f>
        <v>4.6296296296296298E-4</v>
      </c>
      <c r="I1227" t="s">
        <v>132</v>
      </c>
      <c r="J1227" t="s">
        <v>120</v>
      </c>
      <c r="K1227" s="5">
        <f>86 / 86400</f>
        <v>9.9537037037037042E-4</v>
      </c>
      <c r="L1227" s="5">
        <f>19242 / 86400</f>
        <v>0.22270833333333334</v>
      </c>
    </row>
    <row r="1228" spans="1:12" x14ac:dyDescent="0.2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</row>
    <row r="1229" spans="1:12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</row>
    <row r="1230" spans="1:12" s="10" customFormat="1" ht="20.100000000000001" customHeight="1" x14ac:dyDescent="0.35">
      <c r="A1230" s="15" t="s">
        <v>475</v>
      </c>
      <c r="B1230" s="15"/>
      <c r="C1230" s="15"/>
      <c r="D1230" s="15"/>
      <c r="E1230" s="15"/>
      <c r="F1230" s="15"/>
      <c r="G1230" s="15"/>
      <c r="H1230" s="15"/>
      <c r="I1230" s="15"/>
      <c r="J1230" s="15"/>
    </row>
    <row r="1231" spans="1:1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</row>
    <row r="1232" spans="1:12" ht="30" x14ac:dyDescent="0.25">
      <c r="A1232" s="2" t="s">
        <v>6</v>
      </c>
      <c r="B1232" s="2" t="s">
        <v>7</v>
      </c>
      <c r="C1232" s="2" t="s">
        <v>8</v>
      </c>
      <c r="D1232" s="2" t="s">
        <v>9</v>
      </c>
      <c r="E1232" s="2" t="s">
        <v>10</v>
      </c>
      <c r="F1232" s="2" t="s">
        <v>11</v>
      </c>
      <c r="G1232" s="2" t="s">
        <v>12</v>
      </c>
      <c r="H1232" s="2" t="s">
        <v>13</v>
      </c>
      <c r="I1232" s="2" t="s">
        <v>14</v>
      </c>
      <c r="J1232" s="2" t="s">
        <v>15</v>
      </c>
      <c r="K1232" s="2" t="s">
        <v>16</v>
      </c>
      <c r="L1232" s="2" t="s">
        <v>17</v>
      </c>
    </row>
    <row r="1233" spans="1:12" x14ac:dyDescent="0.25">
      <c r="A1233" s="3">
        <v>45702</v>
      </c>
      <c r="B1233" t="s">
        <v>107</v>
      </c>
      <c r="C1233" s="3">
        <v>45702.04923611111</v>
      </c>
      <c r="D1233" t="s">
        <v>47</v>
      </c>
      <c r="E1233" s="4">
        <v>22.849</v>
      </c>
      <c r="F1233" s="4">
        <v>408119.55</v>
      </c>
      <c r="G1233" s="4">
        <v>408142.39899999998</v>
      </c>
      <c r="H1233" s="5">
        <f>1080 / 86400</f>
        <v>1.2500000000000001E-2</v>
      </c>
      <c r="I1233" t="s">
        <v>245</v>
      </c>
      <c r="J1233" t="s">
        <v>99</v>
      </c>
      <c r="K1233" s="5">
        <f>4254 / 86400</f>
        <v>4.9236111111111112E-2</v>
      </c>
      <c r="L1233" s="5">
        <f>8609 / 86400</f>
        <v>9.9641203703703704E-2</v>
      </c>
    </row>
    <row r="1234" spans="1:12" x14ac:dyDescent="0.25">
      <c r="A1234" s="3">
        <v>45702.148877314816</v>
      </c>
      <c r="B1234" t="s">
        <v>47</v>
      </c>
      <c r="C1234" s="3">
        <v>45702.202615740738</v>
      </c>
      <c r="D1234" t="s">
        <v>80</v>
      </c>
      <c r="E1234" s="4">
        <v>32.402999999999999</v>
      </c>
      <c r="F1234" s="4">
        <v>408142.39899999998</v>
      </c>
      <c r="G1234" s="4">
        <v>408174.80200000003</v>
      </c>
      <c r="H1234" s="5">
        <f>641 / 86400</f>
        <v>7.4189814814814813E-3</v>
      </c>
      <c r="I1234" t="s">
        <v>89</v>
      </c>
      <c r="J1234" t="s">
        <v>122</v>
      </c>
      <c r="K1234" s="5">
        <f>4643 / 86400</f>
        <v>5.3738425925925926E-2</v>
      </c>
      <c r="L1234" s="5">
        <f>490 / 86400</f>
        <v>5.6712962962962967E-3</v>
      </c>
    </row>
    <row r="1235" spans="1:12" x14ac:dyDescent="0.25">
      <c r="A1235" s="3">
        <v>45702.208287037036</v>
      </c>
      <c r="B1235" t="s">
        <v>80</v>
      </c>
      <c r="C1235" s="3">
        <v>45702.209224537037</v>
      </c>
      <c r="D1235" t="s">
        <v>80</v>
      </c>
      <c r="E1235" s="4">
        <v>0.12</v>
      </c>
      <c r="F1235" s="4">
        <v>408174.80200000003</v>
      </c>
      <c r="G1235" s="4">
        <v>408174.92200000002</v>
      </c>
      <c r="H1235" s="5">
        <f>0 / 86400</f>
        <v>0</v>
      </c>
      <c r="I1235" t="s">
        <v>126</v>
      </c>
      <c r="J1235" t="s">
        <v>127</v>
      </c>
      <c r="K1235" s="5">
        <f>80 / 86400</f>
        <v>9.2592592592592596E-4</v>
      </c>
      <c r="L1235" s="5">
        <f>2630 / 86400</f>
        <v>3.0439814814814815E-2</v>
      </c>
    </row>
    <row r="1236" spans="1:12" x14ac:dyDescent="0.25">
      <c r="A1236" s="3">
        <v>45702.239664351851</v>
      </c>
      <c r="B1236" t="s">
        <v>80</v>
      </c>
      <c r="C1236" s="3">
        <v>45702.248148148152</v>
      </c>
      <c r="D1236" t="s">
        <v>29</v>
      </c>
      <c r="E1236" s="4">
        <v>2.242</v>
      </c>
      <c r="F1236" s="4">
        <v>408174.92200000002</v>
      </c>
      <c r="G1236" s="4">
        <v>408177.16399999999</v>
      </c>
      <c r="H1236" s="5">
        <f>300 / 86400</f>
        <v>3.472222222222222E-3</v>
      </c>
      <c r="I1236" t="s">
        <v>207</v>
      </c>
      <c r="J1236" t="s">
        <v>53</v>
      </c>
      <c r="K1236" s="5">
        <f>733 / 86400</f>
        <v>8.4837962962962966E-3</v>
      </c>
      <c r="L1236" s="5">
        <f>5589 / 86400</f>
        <v>6.4687499999999995E-2</v>
      </c>
    </row>
    <row r="1237" spans="1:12" x14ac:dyDescent="0.25">
      <c r="A1237" s="3">
        <v>45702.312835648147</v>
      </c>
      <c r="B1237" t="s">
        <v>29</v>
      </c>
      <c r="C1237" s="3">
        <v>45702.364548611113</v>
      </c>
      <c r="D1237" t="s">
        <v>87</v>
      </c>
      <c r="E1237" s="4">
        <v>24.97</v>
      </c>
      <c r="F1237" s="4">
        <v>408177.16399999999</v>
      </c>
      <c r="G1237" s="4">
        <v>408202.13400000002</v>
      </c>
      <c r="H1237" s="5">
        <f>1121 / 86400</f>
        <v>1.2974537037037038E-2</v>
      </c>
      <c r="I1237" t="s">
        <v>235</v>
      </c>
      <c r="J1237" t="s">
        <v>145</v>
      </c>
      <c r="K1237" s="5">
        <f>4468 / 86400</f>
        <v>5.1712962962962961E-2</v>
      </c>
      <c r="L1237" s="5">
        <f>3600 / 86400</f>
        <v>4.1666666666666664E-2</v>
      </c>
    </row>
    <row r="1238" spans="1:12" x14ac:dyDescent="0.25">
      <c r="A1238" s="3">
        <v>45702.406215277777</v>
      </c>
      <c r="B1238" t="s">
        <v>87</v>
      </c>
      <c r="C1238" s="3">
        <v>45702.53297453704</v>
      </c>
      <c r="D1238" t="s">
        <v>154</v>
      </c>
      <c r="E1238" s="4">
        <v>50.960999999999999</v>
      </c>
      <c r="F1238" s="4">
        <v>408202.13400000002</v>
      </c>
      <c r="G1238" s="4">
        <v>408253.09499999997</v>
      </c>
      <c r="H1238" s="5">
        <f>3979 / 86400</f>
        <v>4.6053240740740742E-2</v>
      </c>
      <c r="I1238" t="s">
        <v>56</v>
      </c>
      <c r="J1238" t="s">
        <v>28</v>
      </c>
      <c r="K1238" s="5">
        <f>10951 / 86400</f>
        <v>0.12674768518518517</v>
      </c>
      <c r="L1238" s="5">
        <f>1281 / 86400</f>
        <v>1.4826388888888889E-2</v>
      </c>
    </row>
    <row r="1239" spans="1:12" x14ac:dyDescent="0.25">
      <c r="A1239" s="3">
        <v>45702.547800925924</v>
      </c>
      <c r="B1239" t="s">
        <v>154</v>
      </c>
      <c r="C1239" s="3">
        <v>45702.69195601852</v>
      </c>
      <c r="D1239" t="s">
        <v>82</v>
      </c>
      <c r="E1239" s="4">
        <v>50.463000000000001</v>
      </c>
      <c r="F1239" s="4">
        <v>408253.09499999997</v>
      </c>
      <c r="G1239" s="4">
        <v>408303.55800000002</v>
      </c>
      <c r="H1239" s="5">
        <f>4599 / 86400</f>
        <v>5.3229166666666668E-2</v>
      </c>
      <c r="I1239" t="s">
        <v>61</v>
      </c>
      <c r="J1239" t="s">
        <v>31</v>
      </c>
      <c r="K1239" s="5">
        <f>12455 / 86400</f>
        <v>0.1441550925925926</v>
      </c>
      <c r="L1239" s="5">
        <f>1352 / 86400</f>
        <v>1.5648148148148147E-2</v>
      </c>
    </row>
    <row r="1240" spans="1:12" x14ac:dyDescent="0.25">
      <c r="A1240" s="3">
        <v>45702.707604166666</v>
      </c>
      <c r="B1240" t="s">
        <v>82</v>
      </c>
      <c r="C1240" s="3">
        <v>45702.779918981483</v>
      </c>
      <c r="D1240" t="s">
        <v>174</v>
      </c>
      <c r="E1240" s="4">
        <v>30.077999999999999</v>
      </c>
      <c r="F1240" s="4">
        <v>408303.55800000002</v>
      </c>
      <c r="G1240" s="4">
        <v>408333.636</v>
      </c>
      <c r="H1240" s="5">
        <f>1939 / 86400</f>
        <v>2.2442129629629631E-2</v>
      </c>
      <c r="I1240" t="s">
        <v>73</v>
      </c>
      <c r="J1240" t="s">
        <v>28</v>
      </c>
      <c r="K1240" s="5">
        <f>6248 / 86400</f>
        <v>7.2314814814814818E-2</v>
      </c>
      <c r="L1240" s="5">
        <f>282 / 86400</f>
        <v>3.2638888888888891E-3</v>
      </c>
    </row>
    <row r="1241" spans="1:12" x14ac:dyDescent="0.25">
      <c r="A1241" s="3">
        <v>45702.783182870371</v>
      </c>
      <c r="B1241" t="s">
        <v>174</v>
      </c>
      <c r="C1241" s="3">
        <v>45702.783715277779</v>
      </c>
      <c r="D1241" t="s">
        <v>174</v>
      </c>
      <c r="E1241" s="4">
        <v>2.4E-2</v>
      </c>
      <c r="F1241" s="4">
        <v>408333.636</v>
      </c>
      <c r="G1241" s="4">
        <v>408333.66</v>
      </c>
      <c r="H1241" s="5">
        <f>0 / 86400</f>
        <v>0</v>
      </c>
      <c r="I1241" t="s">
        <v>132</v>
      </c>
      <c r="J1241" t="s">
        <v>140</v>
      </c>
      <c r="K1241" s="5">
        <f>46 / 86400</f>
        <v>5.3240740740740744E-4</v>
      </c>
      <c r="L1241" s="5">
        <f>316 / 86400</f>
        <v>3.6574074074074074E-3</v>
      </c>
    </row>
    <row r="1242" spans="1:12" x14ac:dyDescent="0.25">
      <c r="A1242" s="3">
        <v>45702.787372685183</v>
      </c>
      <c r="B1242" t="s">
        <v>174</v>
      </c>
      <c r="C1242" s="3">
        <v>45702.789664351847</v>
      </c>
      <c r="D1242" t="s">
        <v>408</v>
      </c>
      <c r="E1242" s="4">
        <v>0.40400000000000003</v>
      </c>
      <c r="F1242" s="4">
        <v>408333.66</v>
      </c>
      <c r="G1242" s="4">
        <v>408334.06400000001</v>
      </c>
      <c r="H1242" s="5">
        <f>40 / 86400</f>
        <v>4.6296296296296298E-4</v>
      </c>
      <c r="I1242" t="s">
        <v>145</v>
      </c>
      <c r="J1242" t="s">
        <v>138</v>
      </c>
      <c r="K1242" s="5">
        <f>198 / 86400</f>
        <v>2.2916666666666667E-3</v>
      </c>
      <c r="L1242" s="5">
        <f>446 / 86400</f>
        <v>5.162037037037037E-3</v>
      </c>
    </row>
    <row r="1243" spans="1:12" x14ac:dyDescent="0.25">
      <c r="A1243" s="3">
        <v>45702.79482638889</v>
      </c>
      <c r="B1243" t="s">
        <v>408</v>
      </c>
      <c r="C1243" s="3">
        <v>45702.796817129631</v>
      </c>
      <c r="D1243" t="s">
        <v>29</v>
      </c>
      <c r="E1243" s="4">
        <v>0.46600000000000003</v>
      </c>
      <c r="F1243" s="4">
        <v>408334.06400000001</v>
      </c>
      <c r="G1243" s="4">
        <v>408334.53</v>
      </c>
      <c r="H1243" s="5">
        <f>40 / 86400</f>
        <v>4.6296296296296298E-4</v>
      </c>
      <c r="I1243" t="s">
        <v>24</v>
      </c>
      <c r="J1243" t="s">
        <v>126</v>
      </c>
      <c r="K1243" s="5">
        <f>171 / 86400</f>
        <v>1.9791666666666668E-3</v>
      </c>
      <c r="L1243" s="5">
        <f>4708 / 86400</f>
        <v>5.4490740740740742E-2</v>
      </c>
    </row>
    <row r="1244" spans="1:12" x14ac:dyDescent="0.25">
      <c r="A1244" s="3">
        <v>45702.851307870369</v>
      </c>
      <c r="B1244" t="s">
        <v>29</v>
      </c>
      <c r="C1244" s="3">
        <v>45702.852442129632</v>
      </c>
      <c r="D1244" t="s">
        <v>29</v>
      </c>
      <c r="E1244" s="4">
        <v>0</v>
      </c>
      <c r="F1244" s="4">
        <v>408334.53</v>
      </c>
      <c r="G1244" s="4">
        <v>408334.53</v>
      </c>
      <c r="H1244" s="5">
        <f>79 / 86400</f>
        <v>9.1435185185185185E-4</v>
      </c>
      <c r="I1244" t="s">
        <v>88</v>
      </c>
      <c r="J1244" t="s">
        <v>88</v>
      </c>
      <c r="K1244" s="5">
        <f>97 / 86400</f>
        <v>1.1226851851851851E-3</v>
      </c>
      <c r="L1244" s="5">
        <f>951 / 86400</f>
        <v>1.1006944444444444E-2</v>
      </c>
    </row>
    <row r="1245" spans="1:12" x14ac:dyDescent="0.25">
      <c r="A1245" s="3">
        <v>45702.863449074073</v>
      </c>
      <c r="B1245" t="s">
        <v>29</v>
      </c>
      <c r="C1245" s="3">
        <v>45702.877581018518</v>
      </c>
      <c r="D1245" t="s">
        <v>409</v>
      </c>
      <c r="E1245" s="4">
        <v>3.6890000000000001</v>
      </c>
      <c r="F1245" s="4">
        <v>408334.53</v>
      </c>
      <c r="G1245" s="4">
        <v>408338.21899999998</v>
      </c>
      <c r="H1245" s="5">
        <f>619 / 86400</f>
        <v>7.1643518518518514E-3</v>
      </c>
      <c r="I1245" t="s">
        <v>209</v>
      </c>
      <c r="J1245" t="s">
        <v>53</v>
      </c>
      <c r="K1245" s="5">
        <f>1220 / 86400</f>
        <v>1.412037037037037E-2</v>
      </c>
      <c r="L1245" s="5">
        <f>105 / 86400</f>
        <v>1.2152777777777778E-3</v>
      </c>
    </row>
    <row r="1246" spans="1:12" x14ac:dyDescent="0.25">
      <c r="A1246" s="3">
        <v>45702.878796296296</v>
      </c>
      <c r="B1246" t="s">
        <v>409</v>
      </c>
      <c r="C1246" s="3">
        <v>45702.967615740738</v>
      </c>
      <c r="D1246" t="s">
        <v>47</v>
      </c>
      <c r="E1246" s="4">
        <v>40.966000000000001</v>
      </c>
      <c r="F1246" s="4">
        <v>408338.21899999998</v>
      </c>
      <c r="G1246" s="4">
        <v>408379.185</v>
      </c>
      <c r="H1246" s="5">
        <f>2720 / 86400</f>
        <v>3.1481481481481478E-2</v>
      </c>
      <c r="I1246" t="s">
        <v>49</v>
      </c>
      <c r="J1246" t="s">
        <v>99</v>
      </c>
      <c r="K1246" s="5">
        <f>7673 / 86400</f>
        <v>8.880787037037037E-2</v>
      </c>
      <c r="L1246" s="5">
        <f>6 / 86400</f>
        <v>6.9444444444444444E-5</v>
      </c>
    </row>
    <row r="1247" spans="1:12" x14ac:dyDescent="0.25">
      <c r="A1247" s="3">
        <v>45702.967685185184</v>
      </c>
      <c r="B1247" t="s">
        <v>47</v>
      </c>
      <c r="C1247" s="3">
        <v>45702.96775462963</v>
      </c>
      <c r="D1247" t="s">
        <v>47</v>
      </c>
      <c r="E1247" s="4">
        <v>3.0000000000000001E-3</v>
      </c>
      <c r="F1247" s="4">
        <v>408379.185</v>
      </c>
      <c r="G1247" s="4">
        <v>408379.18800000002</v>
      </c>
      <c r="H1247" s="5">
        <f>0 / 86400</f>
        <v>0</v>
      </c>
      <c r="I1247" t="s">
        <v>138</v>
      </c>
      <c r="J1247" t="s">
        <v>140</v>
      </c>
      <c r="K1247" s="5">
        <f>6 / 86400</f>
        <v>6.9444444444444444E-5</v>
      </c>
      <c r="L1247" s="5">
        <f>64 / 86400</f>
        <v>7.407407407407407E-4</v>
      </c>
    </row>
    <row r="1248" spans="1:12" x14ac:dyDescent="0.25">
      <c r="A1248" s="3">
        <v>45702.968495370369</v>
      </c>
      <c r="B1248" t="s">
        <v>47</v>
      </c>
      <c r="C1248" s="3">
        <v>45702.99998842593</v>
      </c>
      <c r="D1248" t="s">
        <v>108</v>
      </c>
      <c r="E1248" s="4">
        <v>9.81</v>
      </c>
      <c r="F1248" s="4">
        <v>408379.18800000002</v>
      </c>
      <c r="G1248" s="4">
        <v>408388.99800000002</v>
      </c>
      <c r="H1248" s="5">
        <f>1102 / 86400</f>
        <v>1.275462962962963E-2</v>
      </c>
      <c r="I1248" t="s">
        <v>183</v>
      </c>
      <c r="J1248" t="s">
        <v>35</v>
      </c>
      <c r="K1248" s="5">
        <f>2721 / 86400</f>
        <v>3.1493055555555559E-2</v>
      </c>
      <c r="L1248" s="5">
        <f>0 / 86400</f>
        <v>0</v>
      </c>
    </row>
    <row r="1249" spans="1:1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</row>
    <row r="1250" spans="1:1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</row>
    <row r="1251" spans="1:12" s="10" customFormat="1" ht="20.100000000000001" customHeight="1" x14ac:dyDescent="0.35">
      <c r="A1251" s="15" t="s">
        <v>476</v>
      </c>
      <c r="B1251" s="15"/>
      <c r="C1251" s="15"/>
      <c r="D1251" s="15"/>
      <c r="E1251" s="15"/>
      <c r="F1251" s="15"/>
      <c r="G1251" s="15"/>
      <c r="H1251" s="15"/>
      <c r="I1251" s="15"/>
      <c r="J1251" s="15"/>
    </row>
    <row r="1252" spans="1:1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</row>
    <row r="1253" spans="1:12" ht="30" x14ac:dyDescent="0.25">
      <c r="A1253" s="2" t="s">
        <v>6</v>
      </c>
      <c r="B1253" s="2" t="s">
        <v>7</v>
      </c>
      <c r="C1253" s="2" t="s">
        <v>8</v>
      </c>
      <c r="D1253" s="2" t="s">
        <v>9</v>
      </c>
      <c r="E1253" s="2" t="s">
        <v>10</v>
      </c>
      <c r="F1253" s="2" t="s">
        <v>11</v>
      </c>
      <c r="G1253" s="2" t="s">
        <v>12</v>
      </c>
      <c r="H1253" s="2" t="s">
        <v>13</v>
      </c>
      <c r="I1253" s="2" t="s">
        <v>14</v>
      </c>
      <c r="J1253" s="2" t="s">
        <v>15</v>
      </c>
      <c r="K1253" s="2" t="s">
        <v>16</v>
      </c>
      <c r="L1253" s="2" t="s">
        <v>17</v>
      </c>
    </row>
    <row r="1254" spans="1:12" x14ac:dyDescent="0.25">
      <c r="A1254" s="3">
        <v>45702</v>
      </c>
      <c r="B1254" t="s">
        <v>109</v>
      </c>
      <c r="C1254" s="3">
        <v>45702.038437499999</v>
      </c>
      <c r="D1254" t="s">
        <v>80</v>
      </c>
      <c r="E1254" s="4">
        <v>24.001000000000001</v>
      </c>
      <c r="F1254" s="4">
        <v>550312.91799999995</v>
      </c>
      <c r="G1254" s="4">
        <v>550336.91899999999</v>
      </c>
      <c r="H1254" s="5">
        <f>220 / 86400</f>
        <v>2.5462962962962965E-3</v>
      </c>
      <c r="I1254" t="s">
        <v>170</v>
      </c>
      <c r="J1254" t="s">
        <v>272</v>
      </c>
      <c r="K1254" s="5">
        <f>3321 / 86400</f>
        <v>3.8437499999999999E-2</v>
      </c>
      <c r="L1254" s="5">
        <f>1489 / 86400</f>
        <v>1.7233796296296296E-2</v>
      </c>
    </row>
    <row r="1255" spans="1:12" x14ac:dyDescent="0.25">
      <c r="A1255" s="3">
        <v>45702.055671296301</v>
      </c>
      <c r="B1255" t="s">
        <v>80</v>
      </c>
      <c r="C1255" s="3">
        <v>45702.063159722224</v>
      </c>
      <c r="D1255" t="s">
        <v>81</v>
      </c>
      <c r="E1255" s="4">
        <v>0.79500000000000004</v>
      </c>
      <c r="F1255" s="4">
        <v>550336.91899999999</v>
      </c>
      <c r="G1255" s="4">
        <v>550337.71400000004</v>
      </c>
      <c r="H1255" s="5">
        <f>320 / 86400</f>
        <v>3.7037037037037038E-3</v>
      </c>
      <c r="I1255" t="s">
        <v>196</v>
      </c>
      <c r="J1255" t="s">
        <v>156</v>
      </c>
      <c r="K1255" s="5">
        <f>646 / 86400</f>
        <v>7.4768518518518517E-3</v>
      </c>
      <c r="L1255" s="5">
        <f>13788 / 86400</f>
        <v>0.15958333333333333</v>
      </c>
    </row>
    <row r="1256" spans="1:12" x14ac:dyDescent="0.25">
      <c r="A1256" s="3">
        <v>45702.22274305555</v>
      </c>
      <c r="B1256" t="s">
        <v>81</v>
      </c>
      <c r="C1256" s="3">
        <v>45702.236412037033</v>
      </c>
      <c r="D1256" t="s">
        <v>103</v>
      </c>
      <c r="E1256" s="4">
        <v>8.4480000000000004</v>
      </c>
      <c r="F1256" s="4">
        <v>550337.71400000004</v>
      </c>
      <c r="G1256" s="4">
        <v>550346.16200000001</v>
      </c>
      <c r="H1256" s="5">
        <f>339 / 86400</f>
        <v>3.9236111111111112E-3</v>
      </c>
      <c r="I1256" t="s">
        <v>150</v>
      </c>
      <c r="J1256" t="s">
        <v>272</v>
      </c>
      <c r="K1256" s="5">
        <f>1180 / 86400</f>
        <v>1.3657407407407408E-2</v>
      </c>
      <c r="L1256" s="5">
        <f>1832 / 86400</f>
        <v>2.1203703703703704E-2</v>
      </c>
    </row>
    <row r="1257" spans="1:12" x14ac:dyDescent="0.25">
      <c r="A1257" s="3">
        <v>45702.257615740746</v>
      </c>
      <c r="B1257" t="s">
        <v>410</v>
      </c>
      <c r="C1257" s="3">
        <v>45702.64261574074</v>
      </c>
      <c r="D1257" t="s">
        <v>129</v>
      </c>
      <c r="E1257" s="4">
        <v>146.459</v>
      </c>
      <c r="F1257" s="4">
        <v>550346.16200000001</v>
      </c>
      <c r="G1257" s="4">
        <v>550492.62100000004</v>
      </c>
      <c r="H1257" s="5">
        <f>10997 / 86400</f>
        <v>0.1272800925925926</v>
      </c>
      <c r="I1257" t="s">
        <v>89</v>
      </c>
      <c r="J1257" t="s">
        <v>34</v>
      </c>
      <c r="K1257" s="5">
        <f>33264 / 86400</f>
        <v>0.38500000000000001</v>
      </c>
      <c r="L1257" s="5">
        <f>1872 / 86400</f>
        <v>2.1666666666666667E-2</v>
      </c>
    </row>
    <row r="1258" spans="1:12" x14ac:dyDescent="0.25">
      <c r="A1258" s="3">
        <v>45702.664282407408</v>
      </c>
      <c r="B1258" t="s">
        <v>129</v>
      </c>
      <c r="C1258" s="3">
        <v>45702.99998842593</v>
      </c>
      <c r="D1258" t="s">
        <v>110</v>
      </c>
      <c r="E1258" s="4">
        <v>122.422</v>
      </c>
      <c r="F1258" s="4">
        <v>550492.62100000004</v>
      </c>
      <c r="G1258" s="4">
        <v>550615.04299999995</v>
      </c>
      <c r="H1258" s="5">
        <f>9759 / 86400</f>
        <v>0.11295138888888889</v>
      </c>
      <c r="I1258" t="s">
        <v>52</v>
      </c>
      <c r="J1258" t="s">
        <v>31</v>
      </c>
      <c r="K1258" s="5">
        <f>29005 / 86400</f>
        <v>0.3357060185185185</v>
      </c>
      <c r="L1258" s="5">
        <f>0 / 86400</f>
        <v>0</v>
      </c>
    </row>
    <row r="1259" spans="1:1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2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</row>
    <row r="1261" spans="1:12" s="10" customFormat="1" ht="20.100000000000001" customHeight="1" x14ac:dyDescent="0.35">
      <c r="A1261" s="15" t="s">
        <v>477</v>
      </c>
      <c r="B1261" s="15"/>
      <c r="C1261" s="15"/>
      <c r="D1261" s="15"/>
      <c r="E1261" s="15"/>
      <c r="F1261" s="15"/>
      <c r="G1261" s="15"/>
      <c r="H1261" s="15"/>
      <c r="I1261" s="15"/>
      <c r="J1261" s="15"/>
    </row>
    <row r="1262" spans="1:1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</row>
    <row r="1263" spans="1:12" ht="30" x14ac:dyDescent="0.25">
      <c r="A1263" s="2" t="s">
        <v>6</v>
      </c>
      <c r="B1263" s="2" t="s">
        <v>7</v>
      </c>
      <c r="C1263" s="2" t="s">
        <v>8</v>
      </c>
      <c r="D1263" s="2" t="s">
        <v>9</v>
      </c>
      <c r="E1263" s="2" t="s">
        <v>10</v>
      </c>
      <c r="F1263" s="2" t="s">
        <v>11</v>
      </c>
      <c r="G1263" s="2" t="s">
        <v>12</v>
      </c>
      <c r="H1263" s="2" t="s">
        <v>13</v>
      </c>
      <c r="I1263" s="2" t="s">
        <v>14</v>
      </c>
      <c r="J1263" s="2" t="s">
        <v>15</v>
      </c>
      <c r="K1263" s="2" t="s">
        <v>16</v>
      </c>
      <c r="L1263" s="2" t="s">
        <v>17</v>
      </c>
    </row>
    <row r="1264" spans="1:12" x14ac:dyDescent="0.25">
      <c r="A1264" s="3">
        <v>45702</v>
      </c>
      <c r="B1264" t="s">
        <v>111</v>
      </c>
      <c r="C1264" s="3">
        <v>45702.047326388885</v>
      </c>
      <c r="D1264" t="s">
        <v>411</v>
      </c>
      <c r="E1264" s="4">
        <v>109.30500000000001</v>
      </c>
      <c r="F1264" s="4">
        <v>52753.599999999999</v>
      </c>
      <c r="G1264" s="4">
        <v>52862.904999999999</v>
      </c>
      <c r="H1264" s="5">
        <f>1000 / 86400</f>
        <v>1.1574074074074073E-2</v>
      </c>
      <c r="I1264" t="s">
        <v>150</v>
      </c>
      <c r="J1264" t="s">
        <v>42</v>
      </c>
      <c r="K1264" s="5">
        <f>4089 / 86400</f>
        <v>4.732638888888889E-2</v>
      </c>
      <c r="L1264" s="5">
        <f>796 / 86400</f>
        <v>9.2129629629629627E-3</v>
      </c>
    </row>
    <row r="1265" spans="1:12" x14ac:dyDescent="0.25">
      <c r="A1265" s="3">
        <v>45702.056539351848</v>
      </c>
      <c r="B1265" t="s">
        <v>411</v>
      </c>
      <c r="C1265" s="3">
        <v>45702.056759259256</v>
      </c>
      <c r="D1265" t="s">
        <v>411</v>
      </c>
      <c r="E1265" s="4">
        <v>2.5000000000000001E-2</v>
      </c>
      <c r="F1265" s="4">
        <v>52862.904999999999</v>
      </c>
      <c r="G1265" s="4">
        <v>52862.93</v>
      </c>
      <c r="H1265" s="5">
        <f>0 / 86400</f>
        <v>0</v>
      </c>
      <c r="I1265" t="s">
        <v>127</v>
      </c>
      <c r="J1265" t="s">
        <v>127</v>
      </c>
      <c r="K1265" s="5">
        <f>18 / 86400</f>
        <v>2.0833333333333335E-4</v>
      </c>
      <c r="L1265" s="5">
        <f>2656 / 86400</f>
        <v>3.0740740740740742E-2</v>
      </c>
    </row>
    <row r="1266" spans="1:12" x14ac:dyDescent="0.25">
      <c r="A1266" s="3">
        <v>45702.087500000001</v>
      </c>
      <c r="B1266" t="s">
        <v>411</v>
      </c>
      <c r="C1266" s="3">
        <v>45702.194918981477</v>
      </c>
      <c r="D1266" t="s">
        <v>412</v>
      </c>
      <c r="E1266" s="4">
        <v>327.98</v>
      </c>
      <c r="F1266" s="4">
        <v>52862.93</v>
      </c>
      <c r="G1266" s="4">
        <v>53190.91</v>
      </c>
      <c r="H1266" s="5">
        <f>1059 / 86400</f>
        <v>1.2256944444444445E-2</v>
      </c>
      <c r="I1266" t="s">
        <v>212</v>
      </c>
      <c r="J1266" t="s">
        <v>413</v>
      </c>
      <c r="K1266" s="5">
        <f>9280 / 86400</f>
        <v>0.10740740740740741</v>
      </c>
      <c r="L1266" s="5">
        <f>331 / 86400</f>
        <v>3.8310185185185183E-3</v>
      </c>
    </row>
    <row r="1267" spans="1:12" x14ac:dyDescent="0.25">
      <c r="A1267" s="3">
        <v>45702.198749999996</v>
      </c>
      <c r="B1267" t="s">
        <v>412</v>
      </c>
      <c r="C1267" s="3">
        <v>45702.212037037039</v>
      </c>
      <c r="D1267" t="s">
        <v>29</v>
      </c>
      <c r="E1267" s="4">
        <v>31.415000000007449</v>
      </c>
      <c r="F1267" s="4">
        <v>53190.91</v>
      </c>
      <c r="G1267" s="4">
        <v>53222.325000000004</v>
      </c>
      <c r="H1267" s="5">
        <f>220 / 86400</f>
        <v>2.5462962962962965E-3</v>
      </c>
      <c r="I1267" t="s">
        <v>221</v>
      </c>
      <c r="J1267" t="s">
        <v>36</v>
      </c>
      <c r="K1267" s="5">
        <f>1148 / 86400</f>
        <v>1.3287037037037036E-2</v>
      </c>
      <c r="L1267" s="5">
        <f>13711 / 86400</f>
        <v>0.15869212962962964</v>
      </c>
    </row>
    <row r="1268" spans="1:12" x14ac:dyDescent="0.25">
      <c r="A1268" s="3">
        <v>45702.370729166665</v>
      </c>
      <c r="B1268" t="s">
        <v>29</v>
      </c>
      <c r="C1268" s="3">
        <v>45702.375046296293</v>
      </c>
      <c r="D1268" t="s">
        <v>354</v>
      </c>
      <c r="E1268" s="4">
        <v>4.8649999999925493</v>
      </c>
      <c r="F1268" s="4">
        <v>53222.325000000004</v>
      </c>
      <c r="G1268" s="4">
        <v>53227.19</v>
      </c>
      <c r="H1268" s="5">
        <f>39 / 86400</f>
        <v>4.5138888888888887E-4</v>
      </c>
      <c r="I1268" t="s">
        <v>122</v>
      </c>
      <c r="J1268" t="s">
        <v>143</v>
      </c>
      <c r="K1268" s="5">
        <f>373 / 86400</f>
        <v>4.31712962962963E-3</v>
      </c>
      <c r="L1268" s="5">
        <f>2044 / 86400</f>
        <v>2.3657407407407408E-2</v>
      </c>
    </row>
    <row r="1269" spans="1:12" x14ac:dyDescent="0.25">
      <c r="A1269" s="3">
        <v>45702.3987037037</v>
      </c>
      <c r="B1269" t="s">
        <v>354</v>
      </c>
      <c r="C1269" s="3">
        <v>45702.447152777779</v>
      </c>
      <c r="D1269" t="s">
        <v>144</v>
      </c>
      <c r="E1269" s="4">
        <v>116.77</v>
      </c>
      <c r="F1269" s="4">
        <v>53227.19</v>
      </c>
      <c r="G1269" s="4">
        <v>53343.96</v>
      </c>
      <c r="H1269" s="5">
        <f>1159 / 86400</f>
        <v>1.3414351851851853E-2</v>
      </c>
      <c r="I1269" t="s">
        <v>52</v>
      </c>
      <c r="J1269" t="s">
        <v>105</v>
      </c>
      <c r="K1269" s="5">
        <f>4186 / 86400</f>
        <v>4.8449074074074075E-2</v>
      </c>
      <c r="L1269" s="5">
        <f>164 / 86400</f>
        <v>1.8981481481481482E-3</v>
      </c>
    </row>
    <row r="1270" spans="1:12" x14ac:dyDescent="0.25">
      <c r="A1270" s="3">
        <v>45702.449050925927</v>
      </c>
      <c r="B1270" t="s">
        <v>144</v>
      </c>
      <c r="C1270" s="3">
        <v>45702.451273148152</v>
      </c>
      <c r="D1270" t="s">
        <v>87</v>
      </c>
      <c r="E1270" s="4">
        <v>4.01</v>
      </c>
      <c r="F1270" s="4">
        <v>53343.96</v>
      </c>
      <c r="G1270" s="4">
        <v>53347.97</v>
      </c>
      <c r="H1270" s="5">
        <f>20 / 86400</f>
        <v>2.3148148148148149E-4</v>
      </c>
      <c r="I1270" t="s">
        <v>189</v>
      </c>
      <c r="J1270" t="s">
        <v>338</v>
      </c>
      <c r="K1270" s="5">
        <f>191 / 86400</f>
        <v>2.2106481481481482E-3</v>
      </c>
      <c r="L1270" s="5">
        <f>293 / 86400</f>
        <v>3.3912037037037036E-3</v>
      </c>
    </row>
    <row r="1271" spans="1:12" x14ac:dyDescent="0.25">
      <c r="A1271" s="3">
        <v>45702.454664351855</v>
      </c>
      <c r="B1271" t="s">
        <v>87</v>
      </c>
      <c r="C1271" s="3">
        <v>45702.455671296295</v>
      </c>
      <c r="D1271" t="s">
        <v>87</v>
      </c>
      <c r="E1271" s="4">
        <v>0</v>
      </c>
      <c r="F1271" s="4">
        <v>53347.97</v>
      </c>
      <c r="G1271" s="4">
        <v>53347.97</v>
      </c>
      <c r="H1271" s="5">
        <f>79 / 86400</f>
        <v>9.1435185185185185E-4</v>
      </c>
      <c r="I1271" t="s">
        <v>88</v>
      </c>
      <c r="J1271" t="s">
        <v>88</v>
      </c>
      <c r="K1271" s="5">
        <f>86 / 86400</f>
        <v>9.9537037037037042E-4</v>
      </c>
      <c r="L1271" s="5">
        <f>8705 / 86400</f>
        <v>0.10075231481481481</v>
      </c>
    </row>
    <row r="1272" spans="1:12" x14ac:dyDescent="0.25">
      <c r="A1272" s="3">
        <v>45702.556423611109</v>
      </c>
      <c r="B1272" t="s">
        <v>87</v>
      </c>
      <c r="C1272" s="3">
        <v>45702.56863425926</v>
      </c>
      <c r="D1272" t="s">
        <v>87</v>
      </c>
      <c r="E1272" s="4">
        <v>36.89</v>
      </c>
      <c r="F1272" s="4">
        <v>53347.97</v>
      </c>
      <c r="G1272" s="4">
        <v>53384.86</v>
      </c>
      <c r="H1272" s="5">
        <f>179 / 86400</f>
        <v>2.0717592592592593E-3</v>
      </c>
      <c r="I1272" t="s">
        <v>334</v>
      </c>
      <c r="J1272" t="s">
        <v>414</v>
      </c>
      <c r="K1272" s="5">
        <f>1055 / 86400</f>
        <v>1.2210648148148148E-2</v>
      </c>
      <c r="L1272" s="5">
        <f>617 / 86400</f>
        <v>7.1412037037037034E-3</v>
      </c>
    </row>
    <row r="1273" spans="1:12" x14ac:dyDescent="0.25">
      <c r="A1273" s="3">
        <v>45702.575775462959</v>
      </c>
      <c r="B1273" t="s">
        <v>87</v>
      </c>
      <c r="C1273" s="3">
        <v>45702.578298611115</v>
      </c>
      <c r="D1273" t="s">
        <v>87</v>
      </c>
      <c r="E1273" s="4">
        <v>0</v>
      </c>
      <c r="F1273" s="4">
        <v>53384.86</v>
      </c>
      <c r="G1273" s="4">
        <v>53384.86</v>
      </c>
      <c r="H1273" s="5">
        <f>199 / 86400</f>
        <v>2.3032407407407407E-3</v>
      </c>
      <c r="I1273" t="s">
        <v>88</v>
      </c>
      <c r="J1273" t="s">
        <v>88</v>
      </c>
      <c r="K1273" s="5">
        <f>218 / 86400</f>
        <v>2.5231481481481481E-3</v>
      </c>
      <c r="L1273" s="5">
        <f>1457 / 86400</f>
        <v>1.6863425925925928E-2</v>
      </c>
    </row>
    <row r="1274" spans="1:12" x14ac:dyDescent="0.25">
      <c r="A1274" s="3">
        <v>45702.595162037032</v>
      </c>
      <c r="B1274" t="s">
        <v>87</v>
      </c>
      <c r="C1274" s="3">
        <v>45702.727673611109</v>
      </c>
      <c r="D1274" t="s">
        <v>158</v>
      </c>
      <c r="E1274" s="4">
        <v>249.29</v>
      </c>
      <c r="F1274" s="4">
        <v>53384.86</v>
      </c>
      <c r="G1274" s="4">
        <v>53634.15</v>
      </c>
      <c r="H1274" s="5">
        <f>4039 / 86400</f>
        <v>4.6747685185185184E-2</v>
      </c>
      <c r="I1274" t="s">
        <v>23</v>
      </c>
      <c r="J1274" t="s">
        <v>39</v>
      </c>
      <c r="K1274" s="5">
        <f>11448 / 86400</f>
        <v>0.13250000000000001</v>
      </c>
      <c r="L1274" s="5">
        <f>357 / 86400</f>
        <v>4.1319444444444442E-3</v>
      </c>
    </row>
    <row r="1275" spans="1:12" x14ac:dyDescent="0.25">
      <c r="A1275" s="3">
        <v>45702.731805555552</v>
      </c>
      <c r="B1275" t="s">
        <v>158</v>
      </c>
      <c r="C1275" s="3">
        <v>45702.920972222222</v>
      </c>
      <c r="D1275" t="s">
        <v>412</v>
      </c>
      <c r="E1275" s="4">
        <v>323.45999999999998</v>
      </c>
      <c r="F1275" s="4">
        <v>53634.15</v>
      </c>
      <c r="G1275" s="4">
        <v>53957.61</v>
      </c>
      <c r="H1275" s="5">
        <f>5718 / 86400</f>
        <v>6.6180555555555562E-2</v>
      </c>
      <c r="I1275" t="s">
        <v>56</v>
      </c>
      <c r="J1275" t="s">
        <v>63</v>
      </c>
      <c r="K1275" s="5">
        <f>16344 / 86400</f>
        <v>0.18916666666666668</v>
      </c>
      <c r="L1275" s="5">
        <f>893 / 86400</f>
        <v>1.0335648148148148E-2</v>
      </c>
    </row>
    <row r="1276" spans="1:12" x14ac:dyDescent="0.25">
      <c r="A1276" s="3">
        <v>45702.931307870371</v>
      </c>
      <c r="B1276" t="s">
        <v>412</v>
      </c>
      <c r="C1276" s="3">
        <v>45702.93614583333</v>
      </c>
      <c r="D1276" t="s">
        <v>29</v>
      </c>
      <c r="E1276" s="4">
        <v>4.92</v>
      </c>
      <c r="F1276" s="4">
        <v>53957.61</v>
      </c>
      <c r="G1276" s="4">
        <v>53962.53</v>
      </c>
      <c r="H1276" s="5">
        <f>100 / 86400</f>
        <v>1.1574074074074073E-3</v>
      </c>
      <c r="I1276" t="s">
        <v>145</v>
      </c>
      <c r="J1276" t="s">
        <v>208</v>
      </c>
      <c r="K1276" s="5">
        <f>417 / 86400</f>
        <v>4.8263888888888887E-3</v>
      </c>
      <c r="L1276" s="5">
        <f>5516 / 86400</f>
        <v>6.384259259259259E-2</v>
      </c>
    </row>
    <row r="1277" spans="1:12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</row>
    <row r="1278" spans="1:1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</row>
    <row r="1279" spans="1:12" s="10" customFormat="1" ht="20.100000000000001" customHeight="1" x14ac:dyDescent="0.35">
      <c r="A1279" s="15" t="s">
        <v>478</v>
      </c>
      <c r="B1279" s="15"/>
      <c r="C1279" s="15"/>
      <c r="D1279" s="15"/>
      <c r="E1279" s="15"/>
      <c r="F1279" s="15"/>
      <c r="G1279" s="15"/>
      <c r="H1279" s="15"/>
      <c r="I1279" s="15"/>
      <c r="J1279" s="15"/>
    </row>
    <row r="1280" spans="1:12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</row>
    <row r="1281" spans="1:12" ht="30" x14ac:dyDescent="0.25">
      <c r="A1281" s="2" t="s">
        <v>6</v>
      </c>
      <c r="B1281" s="2" t="s">
        <v>7</v>
      </c>
      <c r="C1281" s="2" t="s">
        <v>8</v>
      </c>
      <c r="D1281" s="2" t="s">
        <v>9</v>
      </c>
      <c r="E1281" s="2" t="s">
        <v>10</v>
      </c>
      <c r="F1281" s="2" t="s">
        <v>11</v>
      </c>
      <c r="G1281" s="2" t="s">
        <v>12</v>
      </c>
      <c r="H1281" s="2" t="s">
        <v>13</v>
      </c>
      <c r="I1281" s="2" t="s">
        <v>14</v>
      </c>
      <c r="J1281" s="2" t="s">
        <v>15</v>
      </c>
      <c r="K1281" s="2" t="s">
        <v>16</v>
      </c>
      <c r="L1281" s="2" t="s">
        <v>17</v>
      </c>
    </row>
    <row r="1282" spans="1:12" x14ac:dyDescent="0.25">
      <c r="A1282" s="3">
        <v>45702</v>
      </c>
      <c r="B1282" t="s">
        <v>111</v>
      </c>
      <c r="C1282" s="3">
        <v>45702.013912037037</v>
      </c>
      <c r="D1282" t="s">
        <v>415</v>
      </c>
      <c r="E1282" s="4">
        <v>8.7409999999999997</v>
      </c>
      <c r="F1282" s="4">
        <v>59499.010999999999</v>
      </c>
      <c r="G1282" s="4">
        <v>59507.752</v>
      </c>
      <c r="H1282" s="5">
        <f>320 / 86400</f>
        <v>3.7037037037037038E-3</v>
      </c>
      <c r="I1282" t="s">
        <v>338</v>
      </c>
      <c r="J1282" t="s">
        <v>272</v>
      </c>
      <c r="K1282" s="5">
        <f>1202 / 86400</f>
        <v>1.3912037037037037E-2</v>
      </c>
      <c r="L1282" s="5">
        <f>19 / 86400</f>
        <v>2.199074074074074E-4</v>
      </c>
    </row>
    <row r="1283" spans="1:12" x14ac:dyDescent="0.25">
      <c r="A1283" s="3">
        <v>45702.014131944445</v>
      </c>
      <c r="B1283" t="s">
        <v>415</v>
      </c>
      <c r="C1283" s="3">
        <v>45702.0393287037</v>
      </c>
      <c r="D1283" t="s">
        <v>363</v>
      </c>
      <c r="E1283" s="4">
        <v>18.044</v>
      </c>
      <c r="F1283" s="4">
        <v>59507.752</v>
      </c>
      <c r="G1283" s="4">
        <v>59525.796000000002</v>
      </c>
      <c r="H1283" s="5">
        <f>220 / 86400</f>
        <v>2.5462962962962965E-3</v>
      </c>
      <c r="I1283" t="s">
        <v>134</v>
      </c>
      <c r="J1283" t="s">
        <v>189</v>
      </c>
      <c r="K1283" s="5">
        <f>2177 / 86400</f>
        <v>2.5196759259259259E-2</v>
      </c>
      <c r="L1283" s="5">
        <f>300 / 86400</f>
        <v>3.472222222222222E-3</v>
      </c>
    </row>
    <row r="1284" spans="1:12" x14ac:dyDescent="0.25">
      <c r="A1284" s="3">
        <v>45702.042800925927</v>
      </c>
      <c r="B1284" t="s">
        <v>363</v>
      </c>
      <c r="C1284" s="3">
        <v>45702.042939814812</v>
      </c>
      <c r="D1284" t="s">
        <v>363</v>
      </c>
      <c r="E1284" s="4">
        <v>8.9999999999999993E-3</v>
      </c>
      <c r="F1284" s="4">
        <v>59525.796000000002</v>
      </c>
      <c r="G1284" s="4">
        <v>59525.805</v>
      </c>
      <c r="H1284" s="5">
        <f>0 / 86400</f>
        <v>0</v>
      </c>
      <c r="I1284" t="s">
        <v>132</v>
      </c>
      <c r="J1284" t="s">
        <v>152</v>
      </c>
      <c r="K1284" s="5">
        <f>12 / 86400</f>
        <v>1.3888888888888889E-4</v>
      </c>
      <c r="L1284" s="5">
        <f>958 / 86400</f>
        <v>1.1087962962962963E-2</v>
      </c>
    </row>
    <row r="1285" spans="1:12" x14ac:dyDescent="0.25">
      <c r="A1285" s="3">
        <v>45702.054027777776</v>
      </c>
      <c r="B1285" t="s">
        <v>363</v>
      </c>
      <c r="C1285" s="3">
        <v>45702.058263888888</v>
      </c>
      <c r="D1285" t="s">
        <v>361</v>
      </c>
      <c r="E1285" s="4">
        <v>0.32900000000000001</v>
      </c>
      <c r="F1285" s="4">
        <v>59525.805</v>
      </c>
      <c r="G1285" s="4">
        <v>59526.133999999998</v>
      </c>
      <c r="H1285" s="5">
        <f>200 / 86400</f>
        <v>2.3148148148148147E-3</v>
      </c>
      <c r="I1285" t="s">
        <v>145</v>
      </c>
      <c r="J1285" t="s">
        <v>152</v>
      </c>
      <c r="K1285" s="5">
        <f>366 / 86400</f>
        <v>4.2361111111111115E-3</v>
      </c>
      <c r="L1285" s="5">
        <f>11858 / 86400</f>
        <v>0.13724537037037038</v>
      </c>
    </row>
    <row r="1286" spans="1:12" x14ac:dyDescent="0.25">
      <c r="A1286" s="3">
        <v>45702.195509259254</v>
      </c>
      <c r="B1286" t="s">
        <v>361</v>
      </c>
      <c r="C1286" s="3">
        <v>45702.301099537042</v>
      </c>
      <c r="D1286" t="s">
        <v>287</v>
      </c>
      <c r="E1286" s="4">
        <v>53.17</v>
      </c>
      <c r="F1286" s="4">
        <v>59526.133999999998</v>
      </c>
      <c r="G1286" s="4">
        <v>59579.303999999996</v>
      </c>
      <c r="H1286" s="5">
        <f>2679 / 86400</f>
        <v>3.1006944444444445E-2</v>
      </c>
      <c r="I1286" t="s">
        <v>27</v>
      </c>
      <c r="J1286" t="s">
        <v>21</v>
      </c>
      <c r="K1286" s="5">
        <f>9123 / 86400</f>
        <v>0.10559027777777778</v>
      </c>
      <c r="L1286" s="5">
        <f>9 / 86400</f>
        <v>1.0416666666666667E-4</v>
      </c>
    </row>
    <row r="1287" spans="1:12" x14ac:dyDescent="0.25">
      <c r="A1287" s="3">
        <v>45702.301203703704</v>
      </c>
      <c r="B1287" t="s">
        <v>287</v>
      </c>
      <c r="C1287" s="3">
        <v>45702.417650462958</v>
      </c>
      <c r="D1287" t="s">
        <v>416</v>
      </c>
      <c r="E1287" s="4">
        <v>35.277000000000001</v>
      </c>
      <c r="F1287" s="4">
        <v>59579.303999999996</v>
      </c>
      <c r="G1287" s="4">
        <v>59614.580999999998</v>
      </c>
      <c r="H1287" s="5">
        <f>3539 / 86400</f>
        <v>4.0960648148148149E-2</v>
      </c>
      <c r="I1287" t="s">
        <v>56</v>
      </c>
      <c r="J1287" t="s">
        <v>35</v>
      </c>
      <c r="K1287" s="5">
        <f>10060 / 86400</f>
        <v>0.11643518518518518</v>
      </c>
      <c r="L1287" s="5">
        <f>70 / 86400</f>
        <v>8.1018518518518516E-4</v>
      </c>
    </row>
    <row r="1288" spans="1:12" x14ac:dyDescent="0.25">
      <c r="A1288" s="3">
        <v>45702.418460648143</v>
      </c>
      <c r="B1288" t="s">
        <v>416</v>
      </c>
      <c r="C1288" s="3">
        <v>45702.489641203705</v>
      </c>
      <c r="D1288" t="s">
        <v>307</v>
      </c>
      <c r="E1288" s="4">
        <v>14.212</v>
      </c>
      <c r="F1288" s="4">
        <v>59614.580999999998</v>
      </c>
      <c r="G1288" s="4">
        <v>59628.792999999998</v>
      </c>
      <c r="H1288" s="5">
        <f>3099 / 86400</f>
        <v>3.5868055555555556E-2</v>
      </c>
      <c r="I1288" t="s">
        <v>245</v>
      </c>
      <c r="J1288" t="s">
        <v>123</v>
      </c>
      <c r="K1288" s="5">
        <f>6150 / 86400</f>
        <v>7.1180555555555552E-2</v>
      </c>
      <c r="L1288" s="5">
        <f>68 / 86400</f>
        <v>7.8703703703703705E-4</v>
      </c>
    </row>
    <row r="1289" spans="1:12" x14ac:dyDescent="0.25">
      <c r="A1289" s="3">
        <v>45702.490428240737</v>
      </c>
      <c r="B1289" t="s">
        <v>307</v>
      </c>
      <c r="C1289" s="3">
        <v>45702.567407407405</v>
      </c>
      <c r="D1289" t="s">
        <v>417</v>
      </c>
      <c r="E1289" s="4">
        <v>36.131</v>
      </c>
      <c r="F1289" s="4">
        <v>59628.792999999998</v>
      </c>
      <c r="G1289" s="4">
        <v>59664.923999999999</v>
      </c>
      <c r="H1289" s="5">
        <f>1739 / 86400</f>
        <v>2.0127314814814813E-2</v>
      </c>
      <c r="I1289" t="s">
        <v>233</v>
      </c>
      <c r="J1289" t="s">
        <v>145</v>
      </c>
      <c r="K1289" s="5">
        <f>6650 / 86400</f>
        <v>7.6967592592592587E-2</v>
      </c>
      <c r="L1289" s="5">
        <f>65 / 86400</f>
        <v>7.5231481481481482E-4</v>
      </c>
    </row>
    <row r="1290" spans="1:12" x14ac:dyDescent="0.25">
      <c r="A1290" s="3">
        <v>45702.568159722221</v>
      </c>
      <c r="B1290" t="s">
        <v>417</v>
      </c>
      <c r="C1290" s="3">
        <v>45702.581203703703</v>
      </c>
      <c r="D1290" t="s">
        <v>361</v>
      </c>
      <c r="E1290" s="4">
        <v>7.4870000000000001</v>
      </c>
      <c r="F1290" s="4">
        <v>59664.923999999999</v>
      </c>
      <c r="G1290" s="4">
        <v>59672.411</v>
      </c>
      <c r="H1290" s="5">
        <f>199 / 86400</f>
        <v>2.3032407407407407E-3</v>
      </c>
      <c r="I1290" t="s">
        <v>197</v>
      </c>
      <c r="J1290" t="s">
        <v>196</v>
      </c>
      <c r="K1290" s="5">
        <f>1127 / 86400</f>
        <v>1.3043981481481481E-2</v>
      </c>
      <c r="L1290" s="5">
        <f>450 / 86400</f>
        <v>5.208333333333333E-3</v>
      </c>
    </row>
    <row r="1291" spans="1:12" x14ac:dyDescent="0.25">
      <c r="A1291" s="3">
        <v>45702.586412037039</v>
      </c>
      <c r="B1291" t="s">
        <v>361</v>
      </c>
      <c r="C1291" s="3">
        <v>45702.588379629626</v>
      </c>
      <c r="D1291" t="s">
        <v>128</v>
      </c>
      <c r="E1291" s="4">
        <v>0.28899999999999998</v>
      </c>
      <c r="F1291" s="4">
        <v>59672.411</v>
      </c>
      <c r="G1291" s="4">
        <v>59672.7</v>
      </c>
      <c r="H1291" s="5">
        <f>39 / 86400</f>
        <v>4.5138888888888887E-4</v>
      </c>
      <c r="I1291" t="s">
        <v>130</v>
      </c>
      <c r="J1291" t="s">
        <v>132</v>
      </c>
      <c r="K1291" s="5">
        <f>169 / 86400</f>
        <v>1.9560185185185184E-3</v>
      </c>
      <c r="L1291" s="5">
        <f>86 / 86400</f>
        <v>9.9537037037037042E-4</v>
      </c>
    </row>
    <row r="1292" spans="1:12" x14ac:dyDescent="0.25">
      <c r="A1292" s="3">
        <v>45702.589374999996</v>
      </c>
      <c r="B1292" t="s">
        <v>128</v>
      </c>
      <c r="C1292" s="3">
        <v>45702.589525462958</v>
      </c>
      <c r="D1292" t="s">
        <v>128</v>
      </c>
      <c r="E1292" s="4">
        <v>0</v>
      </c>
      <c r="F1292" s="4">
        <v>59672.7</v>
      </c>
      <c r="G1292" s="4">
        <v>59672.7</v>
      </c>
      <c r="H1292" s="5">
        <f>0 / 86400</f>
        <v>0</v>
      </c>
      <c r="I1292" t="s">
        <v>88</v>
      </c>
      <c r="J1292" t="s">
        <v>88</v>
      </c>
      <c r="K1292" s="5">
        <f>12 / 86400</f>
        <v>1.3888888888888889E-4</v>
      </c>
      <c r="L1292" s="5">
        <f>865 / 86400</f>
        <v>1.0011574074074074E-2</v>
      </c>
    </row>
    <row r="1293" spans="1:12" x14ac:dyDescent="0.25">
      <c r="A1293" s="3">
        <v>45702.599537037036</v>
      </c>
      <c r="B1293" t="s">
        <v>128</v>
      </c>
      <c r="C1293" s="3">
        <v>45702.605046296296</v>
      </c>
      <c r="D1293" t="s">
        <v>144</v>
      </c>
      <c r="E1293" s="4">
        <v>0.152</v>
      </c>
      <c r="F1293" s="4">
        <v>59672.7</v>
      </c>
      <c r="G1293" s="4">
        <v>59672.851999999999</v>
      </c>
      <c r="H1293" s="5">
        <f>359 / 86400</f>
        <v>4.1550925925925922E-3</v>
      </c>
      <c r="I1293" t="s">
        <v>57</v>
      </c>
      <c r="J1293" t="s">
        <v>120</v>
      </c>
      <c r="K1293" s="5">
        <f>475 / 86400</f>
        <v>5.4976851851851853E-3</v>
      </c>
      <c r="L1293" s="5">
        <f>285 / 86400</f>
        <v>3.2986111111111111E-3</v>
      </c>
    </row>
    <row r="1294" spans="1:12" x14ac:dyDescent="0.25">
      <c r="A1294" s="3">
        <v>45702.608344907407</v>
      </c>
      <c r="B1294" t="s">
        <v>144</v>
      </c>
      <c r="C1294" s="3">
        <v>45702.609270833331</v>
      </c>
      <c r="D1294" t="s">
        <v>128</v>
      </c>
      <c r="E1294" s="4">
        <v>0.28100000000000003</v>
      </c>
      <c r="F1294" s="4">
        <v>59672.851999999999</v>
      </c>
      <c r="G1294" s="4">
        <v>59673.133000000002</v>
      </c>
      <c r="H1294" s="5">
        <f>0 / 86400</f>
        <v>0</v>
      </c>
      <c r="I1294" t="s">
        <v>196</v>
      </c>
      <c r="J1294" t="s">
        <v>35</v>
      </c>
      <c r="K1294" s="5">
        <f>79 / 86400</f>
        <v>9.1435185185185185E-4</v>
      </c>
      <c r="L1294" s="5">
        <f>352 / 86400</f>
        <v>4.0740740740740737E-3</v>
      </c>
    </row>
    <row r="1295" spans="1:12" x14ac:dyDescent="0.25">
      <c r="A1295" s="3">
        <v>45702.613344907411</v>
      </c>
      <c r="B1295" t="s">
        <v>128</v>
      </c>
      <c r="C1295" s="3">
        <v>45702.613773148143</v>
      </c>
      <c r="D1295" t="s">
        <v>128</v>
      </c>
      <c r="E1295" s="4">
        <v>5.0000000000000001E-3</v>
      </c>
      <c r="F1295" s="4">
        <v>59673.133000000002</v>
      </c>
      <c r="G1295" s="4">
        <v>59673.137999999999</v>
      </c>
      <c r="H1295" s="5">
        <f>0 / 86400</f>
        <v>0</v>
      </c>
      <c r="I1295" t="s">
        <v>120</v>
      </c>
      <c r="J1295" t="s">
        <v>120</v>
      </c>
      <c r="K1295" s="5">
        <f>36 / 86400</f>
        <v>4.1666666666666669E-4</v>
      </c>
      <c r="L1295" s="5">
        <f>368 / 86400</f>
        <v>4.2592592592592595E-3</v>
      </c>
    </row>
    <row r="1296" spans="1:12" x14ac:dyDescent="0.25">
      <c r="A1296" s="3">
        <v>45702.618032407408</v>
      </c>
      <c r="B1296" t="s">
        <v>128</v>
      </c>
      <c r="C1296" s="3">
        <v>45702.619212962964</v>
      </c>
      <c r="D1296" t="s">
        <v>361</v>
      </c>
      <c r="E1296" s="4">
        <v>0.20100000000000001</v>
      </c>
      <c r="F1296" s="4">
        <v>59673.137999999999</v>
      </c>
      <c r="G1296" s="4">
        <v>59673.339</v>
      </c>
      <c r="H1296" s="5">
        <f>0 / 86400</f>
        <v>0</v>
      </c>
      <c r="I1296" t="s">
        <v>126</v>
      </c>
      <c r="J1296" t="s">
        <v>138</v>
      </c>
      <c r="K1296" s="5">
        <f>101 / 86400</f>
        <v>1.1689814814814816E-3</v>
      </c>
      <c r="L1296" s="5">
        <f>60 / 86400</f>
        <v>6.9444444444444447E-4</v>
      </c>
    </row>
    <row r="1297" spans="1:12" x14ac:dyDescent="0.25">
      <c r="A1297" s="3">
        <v>45702.61990740741</v>
      </c>
      <c r="B1297" t="s">
        <v>361</v>
      </c>
      <c r="C1297" s="3">
        <v>45702.620439814811</v>
      </c>
      <c r="D1297" t="s">
        <v>361</v>
      </c>
      <c r="E1297" s="4">
        <v>1.2999999999999999E-2</v>
      </c>
      <c r="F1297" s="4">
        <v>59673.339</v>
      </c>
      <c r="G1297" s="4">
        <v>59673.351999999999</v>
      </c>
      <c r="H1297" s="5">
        <f>20 / 86400</f>
        <v>2.3148148148148149E-4</v>
      </c>
      <c r="I1297" t="s">
        <v>120</v>
      </c>
      <c r="J1297" t="s">
        <v>120</v>
      </c>
      <c r="K1297" s="5">
        <f>46 / 86400</f>
        <v>5.3240740740740744E-4</v>
      </c>
      <c r="L1297" s="5">
        <f>59 / 86400</f>
        <v>6.8287037037037036E-4</v>
      </c>
    </row>
    <row r="1298" spans="1:12" x14ac:dyDescent="0.25">
      <c r="A1298" s="3">
        <v>45702.621122685188</v>
      </c>
      <c r="B1298" t="s">
        <v>361</v>
      </c>
      <c r="C1298" s="3">
        <v>45702.622800925921</v>
      </c>
      <c r="D1298" t="s">
        <v>361</v>
      </c>
      <c r="E1298" s="4">
        <v>4.3999999999999997E-2</v>
      </c>
      <c r="F1298" s="4">
        <v>59673.351999999999</v>
      </c>
      <c r="G1298" s="4">
        <v>59673.396000000001</v>
      </c>
      <c r="H1298" s="5">
        <f>100 / 86400</f>
        <v>1.1574074074074073E-3</v>
      </c>
      <c r="I1298" t="s">
        <v>138</v>
      </c>
      <c r="J1298" t="s">
        <v>120</v>
      </c>
      <c r="K1298" s="5">
        <f>145 / 86400</f>
        <v>1.6782407407407408E-3</v>
      </c>
      <c r="L1298" s="5">
        <f>71 / 86400</f>
        <v>8.2175925925925927E-4</v>
      </c>
    </row>
    <row r="1299" spans="1:12" x14ac:dyDescent="0.25">
      <c r="A1299" s="3">
        <v>45702.623622685191</v>
      </c>
      <c r="B1299" t="s">
        <v>361</v>
      </c>
      <c r="C1299" s="3">
        <v>45702.623888888891</v>
      </c>
      <c r="D1299" t="s">
        <v>361</v>
      </c>
      <c r="E1299" s="4">
        <v>2E-3</v>
      </c>
      <c r="F1299" s="4">
        <v>59673.396000000001</v>
      </c>
      <c r="G1299" s="4">
        <v>59673.398000000001</v>
      </c>
      <c r="H1299" s="5">
        <f>19 / 86400</f>
        <v>2.199074074074074E-4</v>
      </c>
      <c r="I1299" t="s">
        <v>88</v>
      </c>
      <c r="J1299" t="s">
        <v>88</v>
      </c>
      <c r="K1299" s="5">
        <f>22 / 86400</f>
        <v>2.5462962962962961E-4</v>
      </c>
      <c r="L1299" s="5">
        <f>4526 / 86400</f>
        <v>5.2384259259259262E-2</v>
      </c>
    </row>
    <row r="1300" spans="1:12" x14ac:dyDescent="0.25">
      <c r="A1300" s="3">
        <v>45702.676273148143</v>
      </c>
      <c r="B1300" t="s">
        <v>361</v>
      </c>
      <c r="C1300" s="3">
        <v>45702.783136574071</v>
      </c>
      <c r="D1300" t="s">
        <v>101</v>
      </c>
      <c r="E1300" s="4">
        <v>40.683</v>
      </c>
      <c r="F1300" s="4">
        <v>59673.398000000001</v>
      </c>
      <c r="G1300" s="4">
        <v>59714.080999999998</v>
      </c>
      <c r="H1300" s="5">
        <f>3419 / 86400</f>
        <v>3.9571759259259258E-2</v>
      </c>
      <c r="I1300" t="s">
        <v>30</v>
      </c>
      <c r="J1300" t="s">
        <v>34</v>
      </c>
      <c r="K1300" s="5">
        <f>9233 / 86400</f>
        <v>0.10686342592592593</v>
      </c>
      <c r="L1300" s="5">
        <f>38 / 86400</f>
        <v>4.3981481481481481E-4</v>
      </c>
    </row>
    <row r="1301" spans="1:12" x14ac:dyDescent="0.25">
      <c r="A1301" s="3">
        <v>45702.783576388887</v>
      </c>
      <c r="B1301" t="s">
        <v>101</v>
      </c>
      <c r="C1301" s="3">
        <v>45702.978912037041</v>
      </c>
      <c r="D1301" t="s">
        <v>47</v>
      </c>
      <c r="E1301" s="4">
        <v>80.673000000000002</v>
      </c>
      <c r="F1301" s="4">
        <v>59714.080999999998</v>
      </c>
      <c r="G1301" s="4">
        <v>59794.754000000001</v>
      </c>
      <c r="H1301" s="5">
        <f>5339 / 86400</f>
        <v>6.1793981481481484E-2</v>
      </c>
      <c r="I1301" t="s">
        <v>63</v>
      </c>
      <c r="J1301" t="s">
        <v>28</v>
      </c>
      <c r="K1301" s="5">
        <f>16876 / 86400</f>
        <v>0.19532407407407407</v>
      </c>
      <c r="L1301" s="5">
        <f>203 / 86400</f>
        <v>2.3495370370370371E-3</v>
      </c>
    </row>
    <row r="1302" spans="1:12" x14ac:dyDescent="0.25">
      <c r="A1302" s="3">
        <v>45702.981261574074</v>
      </c>
      <c r="B1302" t="s">
        <v>47</v>
      </c>
      <c r="C1302" s="3">
        <v>45702.981388888889</v>
      </c>
      <c r="D1302" t="s">
        <v>47</v>
      </c>
      <c r="E1302" s="4">
        <v>5.0000000000000001E-3</v>
      </c>
      <c r="F1302" s="4">
        <v>59794.754000000001</v>
      </c>
      <c r="G1302" s="4">
        <v>59794.758999999998</v>
      </c>
      <c r="H1302" s="5">
        <f>0 / 86400</f>
        <v>0</v>
      </c>
      <c r="I1302" t="s">
        <v>127</v>
      </c>
      <c r="J1302" t="s">
        <v>140</v>
      </c>
      <c r="K1302" s="5">
        <f>11 / 86400</f>
        <v>1.273148148148148E-4</v>
      </c>
      <c r="L1302" s="5">
        <f>184 / 86400</f>
        <v>2.1296296296296298E-3</v>
      </c>
    </row>
    <row r="1303" spans="1:12" x14ac:dyDescent="0.25">
      <c r="A1303" s="3">
        <v>45702.983518518522</v>
      </c>
      <c r="B1303" t="s">
        <v>47</v>
      </c>
      <c r="C1303" s="3">
        <v>45702.983668981484</v>
      </c>
      <c r="D1303" t="s">
        <v>47</v>
      </c>
      <c r="E1303" s="4">
        <v>3.0000000000000001E-3</v>
      </c>
      <c r="F1303" s="4">
        <v>59794.758999999998</v>
      </c>
      <c r="G1303" s="4">
        <v>59794.762000000002</v>
      </c>
      <c r="H1303" s="5">
        <f>0 / 86400</f>
        <v>0</v>
      </c>
      <c r="I1303" t="s">
        <v>88</v>
      </c>
      <c r="J1303" t="s">
        <v>120</v>
      </c>
      <c r="K1303" s="5">
        <f>12 / 86400</f>
        <v>1.3888888888888889E-4</v>
      </c>
      <c r="L1303" s="5">
        <f>204 / 86400</f>
        <v>2.3611111111111111E-3</v>
      </c>
    </row>
    <row r="1304" spans="1:12" x14ac:dyDescent="0.25">
      <c r="A1304" s="3">
        <v>45702.986030092594</v>
      </c>
      <c r="B1304" t="s">
        <v>47</v>
      </c>
      <c r="C1304" s="3">
        <v>45702.986145833333</v>
      </c>
      <c r="D1304" t="s">
        <v>47</v>
      </c>
      <c r="E1304" s="4">
        <v>8.9999999999999993E-3</v>
      </c>
      <c r="F1304" s="4">
        <v>59794.762000000002</v>
      </c>
      <c r="G1304" s="4">
        <v>59794.771000000001</v>
      </c>
      <c r="H1304" s="5">
        <f>0 / 86400</f>
        <v>0</v>
      </c>
      <c r="I1304" t="s">
        <v>88</v>
      </c>
      <c r="J1304" t="s">
        <v>156</v>
      </c>
      <c r="K1304" s="5">
        <f>9 / 86400</f>
        <v>1.0416666666666667E-4</v>
      </c>
      <c r="L1304" s="5">
        <f>505 / 86400</f>
        <v>5.8449074074074072E-3</v>
      </c>
    </row>
    <row r="1305" spans="1:12" x14ac:dyDescent="0.25">
      <c r="A1305" s="3">
        <v>45702.991990740746</v>
      </c>
      <c r="B1305" t="s">
        <v>47</v>
      </c>
      <c r="C1305" s="3">
        <v>45702.992337962962</v>
      </c>
      <c r="D1305" t="s">
        <v>47</v>
      </c>
      <c r="E1305" s="4">
        <v>5.0000000000000001E-3</v>
      </c>
      <c r="F1305" s="4">
        <v>59794.771000000001</v>
      </c>
      <c r="G1305" s="4">
        <v>59794.775999999998</v>
      </c>
      <c r="H1305" s="5">
        <f>19 / 86400</f>
        <v>2.199074074074074E-4</v>
      </c>
      <c r="I1305" t="s">
        <v>88</v>
      </c>
      <c r="J1305" t="s">
        <v>120</v>
      </c>
      <c r="K1305" s="5">
        <f>29 / 86400</f>
        <v>3.3564814814814812E-4</v>
      </c>
      <c r="L1305" s="5">
        <f>97 / 86400</f>
        <v>1.1226851851851851E-3</v>
      </c>
    </row>
    <row r="1306" spans="1:12" x14ac:dyDescent="0.25">
      <c r="A1306" s="3">
        <v>45702.993460648147</v>
      </c>
      <c r="B1306" t="s">
        <v>47</v>
      </c>
      <c r="C1306" s="3">
        <v>45702.99998842593</v>
      </c>
      <c r="D1306" t="s">
        <v>112</v>
      </c>
      <c r="E1306" s="4">
        <v>0.152</v>
      </c>
      <c r="F1306" s="4">
        <v>59794.775999999998</v>
      </c>
      <c r="G1306" s="4">
        <v>59794.928</v>
      </c>
      <c r="H1306" s="5">
        <f>499 / 86400</f>
        <v>5.7754629629629631E-3</v>
      </c>
      <c r="I1306" t="s">
        <v>24</v>
      </c>
      <c r="J1306" t="s">
        <v>120</v>
      </c>
      <c r="K1306" s="5">
        <f>564 / 86400</f>
        <v>6.5277777777777782E-3</v>
      </c>
      <c r="L1306" s="5">
        <f>0 / 86400</f>
        <v>0</v>
      </c>
    </row>
    <row r="1307" spans="1:1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</row>
    <row r="1308" spans="1:1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</row>
    <row r="1309" spans="1:12" s="10" customFormat="1" ht="20.100000000000001" customHeight="1" x14ac:dyDescent="0.35">
      <c r="A1309" s="15" t="s">
        <v>479</v>
      </c>
      <c r="B1309" s="15"/>
      <c r="C1309" s="15"/>
      <c r="D1309" s="15"/>
      <c r="E1309" s="15"/>
      <c r="F1309" s="15"/>
      <c r="G1309" s="15"/>
      <c r="H1309" s="15"/>
      <c r="I1309" s="15"/>
      <c r="J1309" s="15"/>
    </row>
    <row r="1310" spans="1:1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</row>
    <row r="1311" spans="1:12" ht="30" x14ac:dyDescent="0.25">
      <c r="A1311" s="2" t="s">
        <v>6</v>
      </c>
      <c r="B1311" s="2" t="s">
        <v>7</v>
      </c>
      <c r="C1311" s="2" t="s">
        <v>8</v>
      </c>
      <c r="D1311" s="2" t="s">
        <v>9</v>
      </c>
      <c r="E1311" s="2" t="s">
        <v>10</v>
      </c>
      <c r="F1311" s="2" t="s">
        <v>11</v>
      </c>
      <c r="G1311" s="2" t="s">
        <v>12</v>
      </c>
      <c r="H1311" s="2" t="s">
        <v>13</v>
      </c>
      <c r="I1311" s="2" t="s">
        <v>14</v>
      </c>
      <c r="J1311" s="2" t="s">
        <v>15</v>
      </c>
      <c r="K1311" s="2" t="s">
        <v>16</v>
      </c>
      <c r="L1311" s="2" t="s">
        <v>17</v>
      </c>
    </row>
    <row r="1312" spans="1:12" x14ac:dyDescent="0.25">
      <c r="A1312" s="3">
        <v>45702</v>
      </c>
      <c r="B1312" t="s">
        <v>113</v>
      </c>
      <c r="C1312" s="3">
        <v>45702.048055555555</v>
      </c>
      <c r="D1312" t="s">
        <v>384</v>
      </c>
      <c r="E1312" s="4">
        <v>27.254000000000001</v>
      </c>
      <c r="F1312" s="4">
        <v>63202.423999999999</v>
      </c>
      <c r="G1312" s="4">
        <v>63229.678</v>
      </c>
      <c r="H1312" s="5">
        <f>1720 / 86400</f>
        <v>1.9907407407407408E-2</v>
      </c>
      <c r="I1312" t="s">
        <v>89</v>
      </c>
      <c r="J1312" t="s">
        <v>196</v>
      </c>
      <c r="K1312" s="5">
        <f>4152 / 86400</f>
        <v>4.8055555555555553E-2</v>
      </c>
      <c r="L1312" s="5">
        <f>434 / 86400</f>
        <v>5.0231481481481481E-3</v>
      </c>
    </row>
    <row r="1313" spans="1:12" x14ac:dyDescent="0.25">
      <c r="A1313" s="3">
        <v>45702.053078703699</v>
      </c>
      <c r="B1313" t="s">
        <v>384</v>
      </c>
      <c r="C1313" s="3">
        <v>45702.05369212963</v>
      </c>
      <c r="D1313" t="s">
        <v>222</v>
      </c>
      <c r="E1313" s="4">
        <v>3.2000000000000001E-2</v>
      </c>
      <c r="F1313" s="4">
        <v>63229.678</v>
      </c>
      <c r="G1313" s="4">
        <v>63229.71</v>
      </c>
      <c r="H1313" s="5">
        <f>19 / 86400</f>
        <v>2.199074074074074E-4</v>
      </c>
      <c r="I1313" t="s">
        <v>138</v>
      </c>
      <c r="J1313" t="s">
        <v>140</v>
      </c>
      <c r="K1313" s="5">
        <f>52 / 86400</f>
        <v>6.018518518518519E-4</v>
      </c>
      <c r="L1313" s="5">
        <f>984 / 86400</f>
        <v>1.1388888888888889E-2</v>
      </c>
    </row>
    <row r="1314" spans="1:12" x14ac:dyDescent="0.25">
      <c r="A1314" s="3">
        <v>45702.065081018518</v>
      </c>
      <c r="B1314" t="s">
        <v>222</v>
      </c>
      <c r="C1314" s="3">
        <v>45702.078634259262</v>
      </c>
      <c r="D1314" t="s">
        <v>87</v>
      </c>
      <c r="E1314" s="4">
        <v>5.7759999999999998</v>
      </c>
      <c r="F1314" s="4">
        <v>63229.71</v>
      </c>
      <c r="G1314" s="4">
        <v>63235.485999999997</v>
      </c>
      <c r="H1314" s="5">
        <f>298 / 86400</f>
        <v>3.449074074074074E-3</v>
      </c>
      <c r="I1314" t="s">
        <v>208</v>
      </c>
      <c r="J1314" t="s">
        <v>24</v>
      </c>
      <c r="K1314" s="5">
        <f>1171 / 86400</f>
        <v>1.3553240740740741E-2</v>
      </c>
      <c r="L1314" s="5">
        <f>6138 / 86400</f>
        <v>7.104166666666667E-2</v>
      </c>
    </row>
    <row r="1315" spans="1:12" x14ac:dyDescent="0.25">
      <c r="A1315" s="3">
        <v>45702.149675925924</v>
      </c>
      <c r="B1315" t="s">
        <v>87</v>
      </c>
      <c r="C1315" s="3">
        <v>45702.625590277778</v>
      </c>
      <c r="D1315" t="s">
        <v>128</v>
      </c>
      <c r="E1315" s="4">
        <v>204.958</v>
      </c>
      <c r="F1315" s="4">
        <v>63235.485999999997</v>
      </c>
      <c r="G1315" s="4">
        <v>63440.444000000003</v>
      </c>
      <c r="H1315" s="5">
        <f>15760 / 86400</f>
        <v>0.18240740740740741</v>
      </c>
      <c r="I1315" t="s">
        <v>36</v>
      </c>
      <c r="J1315" t="s">
        <v>24</v>
      </c>
      <c r="K1315" s="5">
        <f>41118 / 86400</f>
        <v>0.47590277777777779</v>
      </c>
      <c r="L1315" s="5">
        <f>336 / 86400</f>
        <v>3.8888888888888888E-3</v>
      </c>
    </row>
    <row r="1316" spans="1:12" x14ac:dyDescent="0.25">
      <c r="A1316" s="3">
        <v>45702.629479166666</v>
      </c>
      <c r="B1316" t="s">
        <v>144</v>
      </c>
      <c r="C1316" s="3">
        <v>45702.631620370375</v>
      </c>
      <c r="D1316" t="s">
        <v>87</v>
      </c>
      <c r="E1316" s="4">
        <v>0.83599999999999997</v>
      </c>
      <c r="F1316" s="4">
        <v>63440.444000000003</v>
      </c>
      <c r="G1316" s="4">
        <v>63441.279999999999</v>
      </c>
      <c r="H1316" s="5">
        <f>19 / 86400</f>
        <v>2.199074074074074E-4</v>
      </c>
      <c r="I1316" t="s">
        <v>155</v>
      </c>
      <c r="J1316" t="s">
        <v>34</v>
      </c>
      <c r="K1316" s="5">
        <f>184 / 86400</f>
        <v>2.1296296296296298E-3</v>
      </c>
      <c r="L1316" s="5">
        <f>468 / 86400</f>
        <v>5.4166666666666669E-3</v>
      </c>
    </row>
    <row r="1317" spans="1:12" x14ac:dyDescent="0.25">
      <c r="A1317" s="3">
        <v>45702.637037037042</v>
      </c>
      <c r="B1317" t="s">
        <v>87</v>
      </c>
      <c r="C1317" s="3">
        <v>45702.99998842593</v>
      </c>
      <c r="D1317" t="s">
        <v>114</v>
      </c>
      <c r="E1317" s="4">
        <v>154.91999999999999</v>
      </c>
      <c r="F1317" s="4">
        <v>63441.279999999999</v>
      </c>
      <c r="G1317" s="4">
        <v>63596.2</v>
      </c>
      <c r="H1317" s="5">
        <f>11170 / 86400</f>
        <v>0.1292824074074074</v>
      </c>
      <c r="I1317" t="s">
        <v>116</v>
      </c>
      <c r="J1317" t="s">
        <v>24</v>
      </c>
      <c r="K1317" s="5">
        <f>31359 / 86400</f>
        <v>0.36295138888888889</v>
      </c>
      <c r="L1317" s="5">
        <f>0 / 86400</f>
        <v>0</v>
      </c>
    </row>
    <row r="1318" spans="1:1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</row>
    <row r="1319" spans="1:1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</row>
    <row r="1320" spans="1:12" s="10" customFormat="1" ht="20.100000000000001" customHeight="1" x14ac:dyDescent="0.35">
      <c r="A1320" s="15" t="s">
        <v>480</v>
      </c>
      <c r="B1320" s="15"/>
      <c r="C1320" s="15"/>
      <c r="D1320" s="15"/>
      <c r="E1320" s="15"/>
      <c r="F1320" s="15"/>
      <c r="G1320" s="15"/>
      <c r="H1320" s="15"/>
      <c r="I1320" s="15"/>
      <c r="J1320" s="15"/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2" ht="30" x14ac:dyDescent="0.25">
      <c r="A1322" s="2" t="s">
        <v>6</v>
      </c>
      <c r="B1322" s="2" t="s">
        <v>7</v>
      </c>
      <c r="C1322" s="2" t="s">
        <v>8</v>
      </c>
      <c r="D1322" s="2" t="s">
        <v>9</v>
      </c>
      <c r="E1322" s="2" t="s">
        <v>10</v>
      </c>
      <c r="F1322" s="2" t="s">
        <v>11</v>
      </c>
      <c r="G1322" s="2" t="s">
        <v>12</v>
      </c>
      <c r="H1322" s="2" t="s">
        <v>13</v>
      </c>
      <c r="I1322" s="2" t="s">
        <v>14</v>
      </c>
      <c r="J1322" s="2" t="s">
        <v>15</v>
      </c>
      <c r="K1322" s="2" t="s">
        <v>16</v>
      </c>
      <c r="L1322" s="2" t="s">
        <v>17</v>
      </c>
    </row>
    <row r="1323" spans="1:12" x14ac:dyDescent="0.25">
      <c r="A1323" s="3">
        <v>45702</v>
      </c>
      <c r="B1323" t="s">
        <v>115</v>
      </c>
      <c r="C1323" s="3">
        <v>45702.089837962965</v>
      </c>
      <c r="D1323" t="s">
        <v>87</v>
      </c>
      <c r="E1323" s="4">
        <v>41.244</v>
      </c>
      <c r="F1323" s="4">
        <v>291806.89799999999</v>
      </c>
      <c r="G1323" s="4">
        <v>291848.14199999999</v>
      </c>
      <c r="H1323" s="5">
        <f>3780 / 86400</f>
        <v>4.3749999999999997E-2</v>
      </c>
      <c r="I1323" t="s">
        <v>116</v>
      </c>
      <c r="J1323" t="s">
        <v>99</v>
      </c>
      <c r="K1323" s="5">
        <f>7762 / 86400</f>
        <v>8.9837962962962967E-2</v>
      </c>
      <c r="L1323" s="5">
        <f>37327 / 86400</f>
        <v>0.43202546296296296</v>
      </c>
    </row>
    <row r="1324" spans="1:12" x14ac:dyDescent="0.25">
      <c r="A1324" s="3">
        <v>45702.521863425922</v>
      </c>
      <c r="B1324" t="s">
        <v>87</v>
      </c>
      <c r="C1324" s="3">
        <v>45702.523472222223</v>
      </c>
      <c r="D1324" t="s">
        <v>87</v>
      </c>
      <c r="E1324" s="4">
        <v>5.2999999999999999E-2</v>
      </c>
      <c r="F1324" s="4">
        <v>291848.14199999999</v>
      </c>
      <c r="G1324" s="4">
        <v>291848.19500000001</v>
      </c>
      <c r="H1324" s="5">
        <f>80 / 86400</f>
        <v>9.2592592592592596E-4</v>
      </c>
      <c r="I1324" t="s">
        <v>57</v>
      </c>
      <c r="J1324" t="s">
        <v>120</v>
      </c>
      <c r="K1324" s="5">
        <f>139 / 86400</f>
        <v>1.6087962962962963E-3</v>
      </c>
      <c r="L1324" s="5">
        <f>12077 / 86400</f>
        <v>0.13978009259259258</v>
      </c>
    </row>
    <row r="1325" spans="1:12" x14ac:dyDescent="0.25">
      <c r="A1325" s="3">
        <v>45702.663252314815</v>
      </c>
      <c r="B1325" t="s">
        <v>87</v>
      </c>
      <c r="C1325" s="3">
        <v>45702.99998842593</v>
      </c>
      <c r="D1325" t="s">
        <v>47</v>
      </c>
      <c r="E1325" s="4">
        <v>115.44199999999999</v>
      </c>
      <c r="F1325" s="4">
        <v>291848.19500000001</v>
      </c>
      <c r="G1325" s="4">
        <v>291963.63699999999</v>
      </c>
      <c r="H1325" s="5">
        <f>12783 / 86400</f>
        <v>0.1479513888888889</v>
      </c>
      <c r="I1325" t="s">
        <v>49</v>
      </c>
      <c r="J1325" t="s">
        <v>59</v>
      </c>
      <c r="K1325" s="5">
        <f>29094 / 86400</f>
        <v>0.33673611111111112</v>
      </c>
      <c r="L1325" s="5">
        <f>0 / 86400</f>
        <v>0</v>
      </c>
    </row>
    <row r="1326" spans="1:12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</row>
    <row r="1327" spans="1:12" x14ac:dyDescent="0.25">
      <c r="A1327" s="12" t="s">
        <v>118</v>
      </c>
      <c r="B1327" s="12"/>
      <c r="C1327" s="12"/>
      <c r="D1327" s="12"/>
      <c r="E1327" s="12"/>
      <c r="F1327" s="12"/>
      <c r="G1327" s="12"/>
      <c r="H1327" s="12"/>
      <c r="I1327" s="12"/>
      <c r="J1327" s="12"/>
    </row>
  </sheetData>
  <mergeCells count="262">
    <mergeCell ref="A1326:J1326"/>
    <mergeCell ref="A1327:J1327"/>
    <mergeCell ref="A1280:J1280"/>
    <mergeCell ref="A1307:J1307"/>
    <mergeCell ref="A1308:J1308"/>
    <mergeCell ref="A1309:J1309"/>
    <mergeCell ref="A1310:J1310"/>
    <mergeCell ref="A1318:J1318"/>
    <mergeCell ref="A1319:J1319"/>
    <mergeCell ref="A1320:J1320"/>
    <mergeCell ref="A1321:J1321"/>
    <mergeCell ref="A1251:J1251"/>
    <mergeCell ref="A1252:J1252"/>
    <mergeCell ref="A1259:J1259"/>
    <mergeCell ref="A1260:J1260"/>
    <mergeCell ref="A1261:J1261"/>
    <mergeCell ref="A1262:J1262"/>
    <mergeCell ref="A1277:J1277"/>
    <mergeCell ref="A1278:J1278"/>
    <mergeCell ref="A1279:J1279"/>
    <mergeCell ref="A1216:J1216"/>
    <mergeCell ref="A1217:J1217"/>
    <mergeCell ref="A1218:J1218"/>
    <mergeCell ref="A1228:J1228"/>
    <mergeCell ref="A1229:J1229"/>
    <mergeCell ref="A1230:J1230"/>
    <mergeCell ref="A1231:J1231"/>
    <mergeCell ref="A1249:J1249"/>
    <mergeCell ref="A1250:J1250"/>
    <mergeCell ref="A1186:J1186"/>
    <mergeCell ref="A1187:J1187"/>
    <mergeCell ref="A1188:J1188"/>
    <mergeCell ref="A1189:J1189"/>
    <mergeCell ref="A1203:J1203"/>
    <mergeCell ref="A1204:J1204"/>
    <mergeCell ref="A1205:J1205"/>
    <mergeCell ref="A1206:J1206"/>
    <mergeCell ref="A1215:J1215"/>
    <mergeCell ref="A1138:J1138"/>
    <mergeCell ref="A1156:J1156"/>
    <mergeCell ref="A1157:J1157"/>
    <mergeCell ref="A1158:J1158"/>
    <mergeCell ref="A1159:J1159"/>
    <mergeCell ref="A1173:J1173"/>
    <mergeCell ref="A1174:J1174"/>
    <mergeCell ref="A1175:J1175"/>
    <mergeCell ref="A1176:J1176"/>
    <mergeCell ref="A1112:J1112"/>
    <mergeCell ref="A1113:J1113"/>
    <mergeCell ref="A1120:J1120"/>
    <mergeCell ref="A1121:J1121"/>
    <mergeCell ref="A1122:J1122"/>
    <mergeCell ref="A1123:J1123"/>
    <mergeCell ref="A1135:J1135"/>
    <mergeCell ref="A1136:J1136"/>
    <mergeCell ref="A1137:J1137"/>
    <mergeCell ref="A1075:J1075"/>
    <mergeCell ref="A1076:J1076"/>
    <mergeCell ref="A1077:J1077"/>
    <mergeCell ref="A1094:J1094"/>
    <mergeCell ref="A1095:J1095"/>
    <mergeCell ref="A1096:J1096"/>
    <mergeCell ref="A1097:J1097"/>
    <mergeCell ref="A1110:J1110"/>
    <mergeCell ref="A1111:J1111"/>
    <mergeCell ref="A1052:J1052"/>
    <mergeCell ref="A1053:J1053"/>
    <mergeCell ref="A1054:J1054"/>
    <mergeCell ref="A1055:J1055"/>
    <mergeCell ref="A1065:J1065"/>
    <mergeCell ref="A1066:J1066"/>
    <mergeCell ref="A1067:J1067"/>
    <mergeCell ref="A1068:J1068"/>
    <mergeCell ref="A1074:J1074"/>
    <mergeCell ref="A1022:J1022"/>
    <mergeCell ref="A1029:J1029"/>
    <mergeCell ref="A1030:J1030"/>
    <mergeCell ref="A1031:J1031"/>
    <mergeCell ref="A1032:J1032"/>
    <mergeCell ref="A1036:J1036"/>
    <mergeCell ref="A1037:J1037"/>
    <mergeCell ref="A1038:J1038"/>
    <mergeCell ref="A1039:J1039"/>
    <mergeCell ref="A988:J988"/>
    <mergeCell ref="A989:J989"/>
    <mergeCell ref="A1001:J1001"/>
    <mergeCell ref="A1002:J1002"/>
    <mergeCell ref="A1003:J1003"/>
    <mergeCell ref="A1004:J1004"/>
    <mergeCell ref="A1019:J1019"/>
    <mergeCell ref="A1020:J1020"/>
    <mergeCell ref="A1021:J1021"/>
    <mergeCell ref="A960:J960"/>
    <mergeCell ref="A961:J961"/>
    <mergeCell ref="A962:J962"/>
    <mergeCell ref="A973:J973"/>
    <mergeCell ref="A974:J974"/>
    <mergeCell ref="A975:J975"/>
    <mergeCell ref="A976:J976"/>
    <mergeCell ref="A986:J986"/>
    <mergeCell ref="A987:J987"/>
    <mergeCell ref="A922:J922"/>
    <mergeCell ref="A923:J923"/>
    <mergeCell ref="A924:J924"/>
    <mergeCell ref="A925:J925"/>
    <mergeCell ref="A946:J946"/>
    <mergeCell ref="A947:J947"/>
    <mergeCell ref="A948:J948"/>
    <mergeCell ref="A949:J949"/>
    <mergeCell ref="A959:J959"/>
    <mergeCell ref="A889:J889"/>
    <mergeCell ref="A897:J897"/>
    <mergeCell ref="A898:J898"/>
    <mergeCell ref="A899:J899"/>
    <mergeCell ref="A900:J900"/>
    <mergeCell ref="A907:J907"/>
    <mergeCell ref="A908:J908"/>
    <mergeCell ref="A909:J909"/>
    <mergeCell ref="A910:J910"/>
    <mergeCell ref="A872:J872"/>
    <mergeCell ref="A873:J873"/>
    <mergeCell ref="A880:J880"/>
    <mergeCell ref="A881:J881"/>
    <mergeCell ref="A882:J882"/>
    <mergeCell ref="A883:J883"/>
    <mergeCell ref="A886:J886"/>
    <mergeCell ref="A887:J887"/>
    <mergeCell ref="A888:J888"/>
    <mergeCell ref="A834:J834"/>
    <mergeCell ref="A835:J835"/>
    <mergeCell ref="A836:J836"/>
    <mergeCell ref="A851:J851"/>
    <mergeCell ref="A852:J852"/>
    <mergeCell ref="A853:J853"/>
    <mergeCell ref="A854:J854"/>
    <mergeCell ref="A870:J870"/>
    <mergeCell ref="A871:J871"/>
    <mergeCell ref="A795:J795"/>
    <mergeCell ref="A796:J796"/>
    <mergeCell ref="A797:J797"/>
    <mergeCell ref="A798:J798"/>
    <mergeCell ref="A815:J815"/>
    <mergeCell ref="A816:J816"/>
    <mergeCell ref="A817:J817"/>
    <mergeCell ref="A818:J818"/>
    <mergeCell ref="A833:J833"/>
    <mergeCell ref="A766:J766"/>
    <mergeCell ref="A772:J772"/>
    <mergeCell ref="A773:J773"/>
    <mergeCell ref="A774:J774"/>
    <mergeCell ref="A775:J775"/>
    <mergeCell ref="A780:J780"/>
    <mergeCell ref="A781:J781"/>
    <mergeCell ref="A782:J782"/>
    <mergeCell ref="A783:J783"/>
    <mergeCell ref="A745:J745"/>
    <mergeCell ref="A746:J746"/>
    <mergeCell ref="A752:J752"/>
    <mergeCell ref="A753:J753"/>
    <mergeCell ref="A754:J754"/>
    <mergeCell ref="A755:J755"/>
    <mergeCell ref="A763:J763"/>
    <mergeCell ref="A764:J764"/>
    <mergeCell ref="A765:J765"/>
    <mergeCell ref="A713:J713"/>
    <mergeCell ref="A714:J714"/>
    <mergeCell ref="A715:J715"/>
    <mergeCell ref="A733:J733"/>
    <mergeCell ref="A734:J734"/>
    <mergeCell ref="A735:J735"/>
    <mergeCell ref="A736:J736"/>
    <mergeCell ref="A743:J743"/>
    <mergeCell ref="A744:J744"/>
    <mergeCell ref="A690:J690"/>
    <mergeCell ref="A691:J691"/>
    <mergeCell ref="A692:J692"/>
    <mergeCell ref="A693:J693"/>
    <mergeCell ref="A700:J700"/>
    <mergeCell ref="A701:J701"/>
    <mergeCell ref="A702:J702"/>
    <mergeCell ref="A703:J703"/>
    <mergeCell ref="A712:J712"/>
    <mergeCell ref="A642:J642"/>
    <mergeCell ref="A653:J653"/>
    <mergeCell ref="A654:J654"/>
    <mergeCell ref="A655:J655"/>
    <mergeCell ref="A656:J656"/>
    <mergeCell ref="A668:J668"/>
    <mergeCell ref="A669:J669"/>
    <mergeCell ref="A670:J670"/>
    <mergeCell ref="A671:J671"/>
    <mergeCell ref="A600:J600"/>
    <mergeCell ref="A601:J601"/>
    <mergeCell ref="A624:J624"/>
    <mergeCell ref="A625:J625"/>
    <mergeCell ref="A626:J626"/>
    <mergeCell ref="A627:J627"/>
    <mergeCell ref="A639:J639"/>
    <mergeCell ref="A640:J640"/>
    <mergeCell ref="A641:J641"/>
    <mergeCell ref="A555:J555"/>
    <mergeCell ref="A556:J556"/>
    <mergeCell ref="A557:J557"/>
    <mergeCell ref="A573:J573"/>
    <mergeCell ref="A574:J574"/>
    <mergeCell ref="A575:J575"/>
    <mergeCell ref="A576:J576"/>
    <mergeCell ref="A598:J598"/>
    <mergeCell ref="A599:J599"/>
    <mergeCell ref="A516:J516"/>
    <mergeCell ref="A517:J517"/>
    <mergeCell ref="A518:J518"/>
    <mergeCell ref="A519:J519"/>
    <mergeCell ref="A529:J529"/>
    <mergeCell ref="A530:J530"/>
    <mergeCell ref="A531:J531"/>
    <mergeCell ref="A532:J532"/>
    <mergeCell ref="A554:J554"/>
    <mergeCell ref="A164:J164"/>
    <mergeCell ref="A175:J175"/>
    <mergeCell ref="A176:J176"/>
    <mergeCell ref="A177:J177"/>
    <mergeCell ref="A178:J178"/>
    <mergeCell ref="A509:J509"/>
    <mergeCell ref="A510:J510"/>
    <mergeCell ref="A511:J511"/>
    <mergeCell ref="A512:J512"/>
    <mergeCell ref="A133:J133"/>
    <mergeCell ref="A134:J134"/>
    <mergeCell ref="A144:J144"/>
    <mergeCell ref="A145:J145"/>
    <mergeCell ref="A146:J146"/>
    <mergeCell ref="A147:J147"/>
    <mergeCell ref="A161:J161"/>
    <mergeCell ref="A162:J162"/>
    <mergeCell ref="A163:J163"/>
    <mergeCell ref="A97:J97"/>
    <mergeCell ref="A98:J98"/>
    <mergeCell ref="A99:J99"/>
    <mergeCell ref="A115:J115"/>
    <mergeCell ref="A116:J116"/>
    <mergeCell ref="A117:J117"/>
    <mergeCell ref="A118:J118"/>
    <mergeCell ref="A131:J131"/>
    <mergeCell ref="A132:J132"/>
    <mergeCell ref="A74:J74"/>
    <mergeCell ref="A75:J75"/>
    <mergeCell ref="A76:J76"/>
    <mergeCell ref="A77:J77"/>
    <mergeCell ref="A83:J83"/>
    <mergeCell ref="A84:J84"/>
    <mergeCell ref="A85:J85"/>
    <mergeCell ref="A86:J86"/>
    <mergeCell ref="A96:J96"/>
    <mergeCell ref="A1:J1"/>
    <mergeCell ref="A2:J2"/>
    <mergeCell ref="A3:J3"/>
    <mergeCell ref="A4:J4"/>
    <mergeCell ref="A5:J5"/>
    <mergeCell ref="A6:J6"/>
    <mergeCell ref="A72:J72"/>
    <mergeCell ref="A73:J73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2025-09-22T19:52:31Z</dcterms:created>
  <dcterms:modified xsi:type="dcterms:W3CDTF">2025-09-23T05:33:48Z</dcterms:modified>
</cp:coreProperties>
</file>