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6D6B2CB9-C80B-4E8B-993F-827F2475D26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033" i="1" l="1"/>
  <c r="K1033" i="1"/>
  <c r="H1033" i="1"/>
  <c r="L1032" i="1"/>
  <c r="K1032" i="1"/>
  <c r="H1032" i="1"/>
  <c r="L1031" i="1"/>
  <c r="K1031" i="1"/>
  <c r="H1031" i="1"/>
  <c r="L1030" i="1"/>
  <c r="K1030" i="1"/>
  <c r="H1030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66" i="1"/>
  <c r="K866" i="1"/>
  <c r="H866" i="1"/>
  <c r="L865" i="1"/>
  <c r="K865" i="1"/>
  <c r="H865" i="1"/>
  <c r="L864" i="1"/>
  <c r="K864" i="1"/>
  <c r="H864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34" i="1"/>
  <c r="K834" i="1"/>
  <c r="H834" i="1"/>
  <c r="L828" i="1"/>
  <c r="K828" i="1"/>
  <c r="H828" i="1"/>
  <c r="L827" i="1"/>
  <c r="K827" i="1"/>
  <c r="H827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57" i="1"/>
  <c r="K757" i="1"/>
  <c r="H757" i="1"/>
  <c r="L756" i="1"/>
  <c r="K756" i="1"/>
  <c r="H756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0" i="1"/>
  <c r="K690" i="1"/>
  <c r="H690" i="1"/>
  <c r="L689" i="1"/>
  <c r="K689" i="1"/>
  <c r="H689" i="1"/>
  <c r="L688" i="1"/>
  <c r="K688" i="1"/>
  <c r="H688" i="1"/>
  <c r="L682" i="1"/>
  <c r="K682" i="1"/>
  <c r="H682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29" i="1"/>
  <c r="K629" i="1"/>
  <c r="H629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499" i="1"/>
  <c r="K499" i="1"/>
  <c r="H499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3" i="1"/>
  <c r="K113" i="1"/>
  <c r="H113" i="1"/>
  <c r="L112" i="1"/>
  <c r="K112" i="1"/>
  <c r="H112" i="1"/>
  <c r="L106" i="1"/>
  <c r="K106" i="1"/>
  <c r="H106" i="1"/>
  <c r="L105" i="1"/>
  <c r="K105" i="1"/>
  <c r="H105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L70" i="1"/>
  <c r="K70" i="1"/>
  <c r="H70" i="1"/>
  <c r="L69" i="1"/>
  <c r="K69" i="1"/>
  <c r="H69" i="1"/>
  <c r="L68" i="1"/>
  <c r="K68" i="1"/>
  <c r="H68" i="1"/>
  <c r="L67" i="1"/>
  <c r="K67" i="1"/>
  <c r="H67" i="1"/>
  <c r="L66" i="1"/>
  <c r="K66" i="1"/>
  <c r="H66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<sst xmlns="http://schemas.openxmlformats.org/spreadsheetml/2006/main" count="3821" uniqueCount="429">
  <si>
    <t>Informe de trayectos</t>
  </si>
  <si>
    <t>Periodo: 16 de febrero de 2025 0:00 - 16 de febrero de 2025 23:59</t>
  </si>
  <si>
    <t>Informe generado</t>
  </si>
  <si>
    <t>a: 22 de septiembre de 2025 14:18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</si>
  <si>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</si>
  <si>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</si>
  <si>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</si>
  <si>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</si>
  <si>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</si>
  <si>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</si>
  <si>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</si>
  <si>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</si>
  <si>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</si>
  <si>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</si>
  <si>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</si>
  <si>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</si>
  <si>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</si>
  <si>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</si>
  <si>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</si>
  <si>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94 km/h</t>
  </si>
  <si>
    <t>22 km/h</t>
  </si>
  <si>
    <t>Avenida Lima Norte, Santa Eulalia, Lima Metropolitana, Lima, 15468, Perú</t>
  </si>
  <si>
    <t>92 km/h</t>
  </si>
  <si>
    <t>21 km/h</t>
  </si>
  <si>
    <t>Avenida Los Incas, Ate, Lima Metropolitana, Lima, 15483, Perú</t>
  </si>
  <si>
    <t>Los Huancas, Ate, Lima Metropolitana, Lima, 15483, Perú</t>
  </si>
  <si>
    <t>80 km/h</t>
  </si>
  <si>
    <t>23 km/h</t>
  </si>
  <si>
    <t>Ate, Lima Metropolitana, Lima, 15483, Perú</t>
  </si>
  <si>
    <t>28 km/h</t>
  </si>
  <si>
    <t>9 km/h</t>
  </si>
  <si>
    <t>Calle Manantiales de Vida, Ate, Lima Metropolitana, Lima, 15487, Perú</t>
  </si>
  <si>
    <t>83 km/h</t>
  </si>
  <si>
    <t>20 km/h</t>
  </si>
  <si>
    <t>85 km/h</t>
  </si>
  <si>
    <t>30 km/h</t>
  </si>
  <si>
    <t>97 km/h</t>
  </si>
  <si>
    <t>Jirón Tacna, Chosica, Lima Metropolitana, Lima, 15468, Perú</t>
  </si>
  <si>
    <t>77 km/h</t>
  </si>
  <si>
    <t>Avenida José Santos Chocano, Ricardo Palma, Huarochirí, Lima, 15468, Perú</t>
  </si>
  <si>
    <t>Capitan Gamarra, Ricardo Palma, Huarochirí, Lima, 15468, Perú, (Ruta4507nueva era 23-10-23)</t>
  </si>
  <si>
    <t>71 km/h</t>
  </si>
  <si>
    <t>Calle A, Chosica, Lima Metropolitana, Lima, 15468, Perú</t>
  </si>
  <si>
    <t>79 km/h</t>
  </si>
  <si>
    <t>19 km/h</t>
  </si>
  <si>
    <t>Avenida José Carlos Mariátegui, Ricardo Palma, Huarochirí, Lima, 15468, Perú</t>
  </si>
  <si>
    <t>Jirón Sánchez Pinillos, Lima, Lima Metropolitana, Lima, 15082, Perú</t>
  </si>
  <si>
    <t>81 km/h</t>
  </si>
  <si>
    <t>17 km/h</t>
  </si>
  <si>
    <t>Carretera Central, 200, Chaclacayo, Lima Metropolitana, Lima, 15476, Perú</t>
  </si>
  <si>
    <t>98 km/h</t>
  </si>
  <si>
    <t>18 km/h</t>
  </si>
  <si>
    <t>Calle Cerro de Pasco, Ate, Lima Metropolitana, Lima, 15498, Perú</t>
  </si>
  <si>
    <t>74 km/h</t>
  </si>
  <si>
    <t>86 km/h</t>
  </si>
  <si>
    <t>0 km/h</t>
  </si>
  <si>
    <t>Carretera Central, Chaclacayo, Lima Metropolitana, Lima, 15476, Perú</t>
  </si>
  <si>
    <t>82 km/h</t>
  </si>
  <si>
    <t>Calle 1, Ate, Lima Metropolitana, Lima, 15483, Perú</t>
  </si>
  <si>
    <t>76 km/h</t>
  </si>
  <si>
    <t>Avenida Almirante Miguel Grau, La Victoria, Lima Metropolitana, Lima, 15001, Perú, (Ruta4507nueva era 23-10-23)</t>
  </si>
  <si>
    <t>Avenida Las Retamas, Chaclacayo, Lima Metropolitana, Lima, 15474, Perú</t>
  </si>
  <si>
    <t>61 km/h</t>
  </si>
  <si>
    <t>Calle Leoncio Prado, Santa Eulalia, Huarochirí, Lima, 15468, Perú</t>
  </si>
  <si>
    <t>91 km/h</t>
  </si>
  <si>
    <t>Calle Los Topacios, Lurigancho, Lima Metropolitana, Lima, 15472, Perú</t>
  </si>
  <si>
    <t>Carretera Panamericana Sur, Bujama, Cañete, Lima, Perú</t>
  </si>
  <si>
    <t>93 km/h</t>
  </si>
  <si>
    <t>24 km/h</t>
  </si>
  <si>
    <t>Avenida Malecón Manco Cápac, Chaclacayo, Lima Metropolitana, Lima, 15472, Perú</t>
  </si>
  <si>
    <t>Avenida Alfonso Cobián, Chaclacayo, Lima Metropolitana, Lima, 15476, Perú</t>
  </si>
  <si>
    <t>102 km/h</t>
  </si>
  <si>
    <t>Avenida de La Cultura, Santa Anita, Lima Metropolitana, Lima, 15009, Perú</t>
  </si>
  <si>
    <t>Avenida Simón Bolívar, Santa Eulalia, Huarochirí, Lima, 15468, Perú</t>
  </si>
  <si>
    <t>Avenida Simón Bolívar, Santa Eulalia, Huarochirí, Lima, 15468, Perú, (Ruta4507nueva era 23-10-23)</t>
  </si>
  <si>
    <t>75 km/h</t>
  </si>
  <si>
    <t>Calle Los Pinos, Ate, Lima Metropolitana, Lima, 15483, Perú</t>
  </si>
  <si>
    <t>Jirón Argentina, Chosica, Lima Metropolitana, Lima, 15468, Perú</t>
  </si>
  <si>
    <t>Avenida Lima Sur, Chosica, Lima Metropolitana, Lima, 15468, Perú</t>
  </si>
  <si>
    <t>Ate, Lima Metropolitana, Lima, 15474, Perú</t>
  </si>
  <si>
    <t>Santa Eulalia, Huarochirí, Lima, 15468, Perú</t>
  </si>
  <si>
    <t>Avenida Lima Norte, Santa Eulalia, Lima Metropolitana, Lima, 15468, Perú, (Ruta4507nueva era 23-10-23)</t>
  </si>
  <si>
    <t>Avenida Las Retamas, Ricardo Palma, Huarochirí, Lima, 15468, Perú</t>
  </si>
  <si>
    <t>Avenida Nicolás de Ayllón, Ate, Lima Metropolitana, Lima, 15487, Perú, (Ruta4507nueva era 23-10-23)</t>
  </si>
  <si>
    <t>Corcona, Huarochirí, Lima, Perú</t>
  </si>
  <si>
    <t>64 km/h</t>
  </si>
  <si>
    <t>13 km/h</t>
  </si>
  <si>
    <t>3 km/h</t>
  </si>
  <si>
    <t>6 km/h</t>
  </si>
  <si>
    <t>Carretera Central, Ate, Lima Metropolitana, Lima, 15487, Perú, (Ruta4507nueva era 23-10-23)</t>
  </si>
  <si>
    <t>Avenida Huancaray, Santa Anita, Lima Metropolitana, Lima, 15007, Perú, (RUTA DESVIO TEM.  4507)</t>
  </si>
  <si>
    <t>87 km/h</t>
  </si>
  <si>
    <t>Avenida Colectora, Chosica, Lima Metropolitana, Lima, 15468, Perú</t>
  </si>
  <si>
    <t>67 km/h</t>
  </si>
  <si>
    <t>26 km/h</t>
  </si>
  <si>
    <t>Carretera Central, Ate, Lima Metropolitana, Lima, 15474, Perú</t>
  </si>
  <si>
    <t>84 km/h</t>
  </si>
  <si>
    <t>Micaela Bastidas, Ate, Lima Metropolitana, Lima, 15498, Perú</t>
  </si>
  <si>
    <t>Avenida Lima Norte, Chosica, Lima Metropolitana, Lima, 15468, Perú</t>
  </si>
  <si>
    <t>70 km/h</t>
  </si>
  <si>
    <t>Calle Estocolmo, Ate, Lima Metropolitana, Lima, 15498, Perú</t>
  </si>
  <si>
    <t>88 km/h</t>
  </si>
  <si>
    <t>33 km/h</t>
  </si>
  <si>
    <t>90 km/h</t>
  </si>
  <si>
    <t>Carretera Central, Ate, Lima Metropolitana, Lima, 15474, Perú, (Ruta4507nueva era 23-10-23)</t>
  </si>
  <si>
    <t>Avenida Nicolás Ayllón, Chaclacayo, Lima Metropolitana, Lima, 15464, Perú, (Ruta4507nueva era 23-10-23)</t>
  </si>
  <si>
    <t>Avenida Paseo de la República, Lima, Lima Metropolitana, Lima, 15083, Perú, (Ruta4507nueva era 23-10-23)</t>
  </si>
  <si>
    <t>Carretera Central, Chaclacayo, Lima Metropolitana, Lima, 15474, Perú, (S07ÑAÑA, Ruta4507nueva era 23-10-23)</t>
  </si>
  <si>
    <t>78 km/h</t>
  </si>
  <si>
    <t>Avenida 9 de Diciembre, Lima, Lima Metropolitana, Lima, 15083, Perú, (Ruta4507nueva era 23-10-23)</t>
  </si>
  <si>
    <t>96 km/h</t>
  </si>
  <si>
    <t>Totales:</t>
  </si>
  <si>
    <t/>
  </si>
  <si>
    <t>* Los datos de combustible se calculan de acuerdo con el consumo medio de combustible del vehículo especificado en su configuración</t>
  </si>
  <si>
    <t>Vía de Evitamiento, Ate, Lima Metropolitana, Lima, 15008, Perú, (Ruta4507nueva era 23-10-23, RUTA DESVIO TEM.  4507)</t>
  </si>
  <si>
    <t>Jose Carlos Mariátegui, Ricardo Palma, Lima Metropolitana, Lima, 15468, Perú, (PARADERO RICARDO PALMA)</t>
  </si>
  <si>
    <t>34 km/h</t>
  </si>
  <si>
    <t>Avenida Guillermo Dansey, Lima, Lima Metropolitana, Lima, 15079, Perú</t>
  </si>
  <si>
    <t>Avenida Óscar Raimundo Benavides, 150, Lima, Lima Metropolitana, Lima, 15082, Perú, (Ruta4507nueva era 23-10-23)</t>
  </si>
  <si>
    <t>8 km/h</t>
  </si>
  <si>
    <t>Simón Bolívar, Ricardo Palma, Huarochirí, Lima, 15468, Perú</t>
  </si>
  <si>
    <t>Avenida Río Perene, Ate, Lima Metropolitana, Lima, 15498, Perú</t>
  </si>
  <si>
    <t>25 km/h</t>
  </si>
  <si>
    <t>Avenida Cajamarquilla, Lurigancho, Lima Metropolitana, Lima, 15487, Perú</t>
  </si>
  <si>
    <t>63 km/h</t>
  </si>
  <si>
    <t>Lurigancho, Lima Metropolitana, Lima, 15487, Perú</t>
  </si>
  <si>
    <t>47 km/h</t>
  </si>
  <si>
    <t>5 km/h</t>
  </si>
  <si>
    <t>1 km/h</t>
  </si>
  <si>
    <t>2 km/h</t>
  </si>
  <si>
    <t>46 km/h</t>
  </si>
  <si>
    <t>Calle Berlín, Ate, Lima Metropolitana, Lima, 15498, Perú</t>
  </si>
  <si>
    <t>35 km/h</t>
  </si>
  <si>
    <t>16 km/h</t>
  </si>
  <si>
    <t>Marcos Puente Llanos, Ate, Lima Metropolitana, Lima, 15498, Perú, (RUTA DESVIO TEM.  4507)</t>
  </si>
  <si>
    <t>Marcos Puente Llanos, Ate, Lima Metropolitana, Lima, 15498, Perú</t>
  </si>
  <si>
    <t>7 km/h</t>
  </si>
  <si>
    <t>4 km/h</t>
  </si>
  <si>
    <t>Chosica, Lima Metropolitana, Lima, 15468, Perú</t>
  </si>
  <si>
    <t>40 km/h</t>
  </si>
  <si>
    <t>Ricardo Palma, Huarochirí, Lima, 15468, Perú, (CURVA RICARDO PALMA, Ruta4507nueva era 23-10-23)</t>
  </si>
  <si>
    <t>Avenida José Carlos Mariátegui, Ricardo Palma, Huarochirí, Lima, 15468, Perú, (CURVA RICARDO PALMA, Ruta4507nueva era 23-10-23)</t>
  </si>
  <si>
    <t>43 km/h</t>
  </si>
  <si>
    <t>11 km/h</t>
  </si>
  <si>
    <t>Jirón Tacna, Chosica, Lima Metropolitana, Lima, 15468, Perú, (Ruta4507nueva era 23-10-23)</t>
  </si>
  <si>
    <t>Avenida Alexander Fleming, Ate, Lima Metropolitana, Lima, 15002, Perú</t>
  </si>
  <si>
    <t>Calle Salaverry, 280, Chosica, Lima Metropolitana, Lima, 15468, Perú</t>
  </si>
  <si>
    <t>Calle Salaverry, 280, Chosica, Lima Metropolitana, Lima, 15468, Perú, (Ruta4507nueva era 23-10-23)</t>
  </si>
  <si>
    <t>Avenida Almirante Miguel Grau, 300, La Victoria, Lima Metropolitana, Lima, 15001, Perú, (Ruta4507nueva era 23-10-23)</t>
  </si>
  <si>
    <t>Avenida Iquitos, Lima, Lima Metropolitana, Lima, 15001, Perú, (Ruta4507nueva era 23-10-23)</t>
  </si>
  <si>
    <t>50 km/h</t>
  </si>
  <si>
    <t>10 km/h</t>
  </si>
  <si>
    <t>62 km/h</t>
  </si>
  <si>
    <t>Avenida José Carlos Mariátegui, Ricardo Palma, Huarochirí, Lima, 15468, Perú, (Ruta4507nueva era 23-10-23)</t>
  </si>
  <si>
    <t>36 km/h</t>
  </si>
  <si>
    <t>Jirón Sánchez Pinillos, Breña, Lima Metropolitana, Lima, 15082, Perú</t>
  </si>
  <si>
    <t>73 km/h</t>
  </si>
  <si>
    <t>Carretera Central, Ate, Lima Metropolitana, Lima, 15487, Perú, (S06 SANTA CLARA)</t>
  </si>
  <si>
    <t>14 km/h</t>
  </si>
  <si>
    <t>39 km/h</t>
  </si>
  <si>
    <t>Chaclacayo, Lima Metropolitana, Lima, 15476, Perú</t>
  </si>
  <si>
    <t>44 km/h</t>
  </si>
  <si>
    <t>Avenida Integración, Chaclacayo, Lima Metropolitana, Lima, 15476, Perú</t>
  </si>
  <si>
    <t>San Antonio, Cañete, Lima, Perú</t>
  </si>
  <si>
    <t>38 km/h</t>
  </si>
  <si>
    <t>12 km/h</t>
  </si>
  <si>
    <t>31 km/h</t>
  </si>
  <si>
    <t>Jirón Trujillo Sur, Chosica, Lima Metropolitana, Lima, 15468, Perú, (Ruta4507nueva era 23-10-23)</t>
  </si>
  <si>
    <t>Avenida Circunvalación, 200, San Luis, Lima Metropolitana, Lima, 15019, Perú</t>
  </si>
  <si>
    <t>Ricardo Palma, Huarochirí, Lima, 15468, Perú, (Ruta4507nueva era 23-10-23)</t>
  </si>
  <si>
    <t>32 km/h</t>
  </si>
  <si>
    <t>Carretera Central, Ate, Lima Metropolitana, Lima, 15483, Perú, (Ruta4507nueva era 23-10-23)</t>
  </si>
  <si>
    <t>49 km/h</t>
  </si>
  <si>
    <t>Avenida Andrés Avelino Cáceres, Ate, Lima Metropolitana, Lima, 15483, Perú</t>
  </si>
  <si>
    <t>59 km/h</t>
  </si>
  <si>
    <t>29 km/h</t>
  </si>
  <si>
    <t>Avenida 15 de Julio, Ate, Lima Metropolitana, Lima, 15483, Perú</t>
  </si>
  <si>
    <t>Avenida Jaime Zubieta Calderon, Ate, Lima Metropolitana, Lima, 15483, Perú</t>
  </si>
  <si>
    <t>51 km/h</t>
  </si>
  <si>
    <t>Avenida Jaime Zubieta Calderon, Ate, Lima Metropolitana, Lima, 15483, Perú, (Ruta4507nueva era 23-10-23)</t>
  </si>
  <si>
    <t>56 km/h</t>
  </si>
  <si>
    <t>Ate, Lima Metropolitana, Lima, 15487, Perú, (Ruta4507nueva era 23-10-23)</t>
  </si>
  <si>
    <t>58 km/h</t>
  </si>
  <si>
    <t>60 km/h</t>
  </si>
  <si>
    <t>54 km/h</t>
  </si>
  <si>
    <t>Avenida Nicolás de Ayllón, 836, Ate, Lima Metropolitana, Lima, 15487, Perú, (Ruta4507nueva era 23-10-23)</t>
  </si>
  <si>
    <t>Avenida Bernardino Rivadavia, Ate, Lima Metropolitana, Lima, 15498, Perú, (RUTA DESVIO TEM.  4507)</t>
  </si>
  <si>
    <t>Avenida Metropolitana, Ate, Lima Metropolitana, Lima, 15498, Perú, (RUTA DESVIO TEM.  4507)</t>
  </si>
  <si>
    <t>Avenida Metropolitana, Santa Anita, Lima Metropolitana, Lima, 15009, Perú, (RUTA DESVIO TEM.  4507)</t>
  </si>
  <si>
    <t>Avenida Huancaray, Santa Anita, Lima Metropolitana, Lima, 15009, Perú, (RUTA DESVIO TEM.  4507)</t>
  </si>
  <si>
    <t>Avenida Huancaray, Santa Anita, Lima Metropolitana, Lima, 15009, Perú, (S04 AV. Metropolitana / Colectora Industrial, RUTA DESVIO TEM.  4507)</t>
  </si>
  <si>
    <t>Avenida Gran Chimu, Santa Anita, Lima Metropolitana, Lima, 15007, Perú</t>
  </si>
  <si>
    <t>42 km/h</t>
  </si>
  <si>
    <t>Avenida Los Eucaliptos, Santa Anita, Lima Metropolitana, Lima, 15008, Perú, (RUTA DESVIO TEM.  4507)</t>
  </si>
  <si>
    <t>Avenida Minería, Santa Anita, Lima Metropolitana, Lima, 15008, Perú, (RUTA DESVIO TEM.  4507)</t>
  </si>
  <si>
    <t>41 km/h</t>
  </si>
  <si>
    <t>Avenida Nicolás de Ayllón, Santa Anita, Lima Metropolitana, Lima, 15008, Perú, (RUTA DESVIO TEM.  4507)</t>
  </si>
  <si>
    <t>Avenida Nicolás de Ayllón, Santa Anita, Lima Metropolitana, Lima, 15008, Perú, (Ruta4507nueva era 23-10-23, RUTA DESVIO TEM.  4507)</t>
  </si>
  <si>
    <t>Avenida Nicolás de Ayllón, El Agustino, Lima Metropolitana, Lima, 15008, Perú, (Ruta4507nueva era 23-10-23, RUTA DESVIO TEM.  4507)</t>
  </si>
  <si>
    <t>Avenida Nicolás de Ayllón, Ate, Lima Metropolitana, Lima, 15022, Perú, (Ruta4507nueva era 23-10-23, RUTA DESVIO TEM.  4507)</t>
  </si>
  <si>
    <t>27 km/h</t>
  </si>
  <si>
    <t>Avenida Inca Garcilazo de la Vega, Lima, Lima Metropolitana, Lima, 15004, Perú</t>
  </si>
  <si>
    <t>Avenida José de la Riva Aguero, Lima, Lima Metropolitana, Lima, 15004, Perú</t>
  </si>
  <si>
    <t>Avenida José de la Riva Aguero, El Agustino, Lima Metropolitana, Lima, 15004, Perú</t>
  </si>
  <si>
    <t>Jirón Junín, El Agustino, Lima Metropolitana, Lima, 15003, Perú</t>
  </si>
  <si>
    <t>52 km/h</t>
  </si>
  <si>
    <t>Jirón Junín, Lima, Lima Metropolitana, Lima, 15003, Perú</t>
  </si>
  <si>
    <t>Avenida Almirante Miguel Grau, 1772, Lima, Lima Metropolitana, Lima, 15011, Perú</t>
  </si>
  <si>
    <t>Vía Expresa Almirante Miguel Grau, La Victoria, Lima Metropolitana, Lima, 15011, Perú, (Ruta4507nueva era 23-10-23)</t>
  </si>
  <si>
    <t>57 km/h</t>
  </si>
  <si>
    <t>Avenida Almirante Miguel Grau, 619, Lima, Lima Metropolitana, Lima, 15001, Perú, (S02 AV.GRAU/ JR ANDAHUAYLAS, Ruta4507nueva era 23-10-23)</t>
  </si>
  <si>
    <t>45 km/h</t>
  </si>
  <si>
    <t>Avenida Almirante Miguel Grau, 179, Lima, Lima Metropolitana, Lima, 15001, Perú, (Ruta4507nueva era 23-10-23)</t>
  </si>
  <si>
    <t>Avenida Almirante Miguel Grau, Lima, Lima Metropolitana, Lima, 15001, Perú, (Ruta4507nueva era 23-10-23)</t>
  </si>
  <si>
    <t>Avenida Almirante Miguel Grau, Lima, Lima Metropolitana, Lima, 15083, Perú, (Ruta4507nueva era 23-10-23)</t>
  </si>
  <si>
    <t>Vía Expresa Almirante Miguel Grau, La Victoria, Lima Metropolitana, Lima, 15001, Perú, (Ruta4507nueva era 23-10-23)</t>
  </si>
  <si>
    <t>Avenida Almirante Miguel Grau, 354, Lima, Lima Metropolitana, Lima, 15001, Perú, (Ruta4507nueva era 23-10-23)</t>
  </si>
  <si>
    <t>Vía Expresa Almirante Miguel Grau, Lima, Lima Metropolitana, Lima, 15001, Perú, (Ruta4507nueva era 23-10-23)</t>
  </si>
  <si>
    <t>Avenida Almirante Miguel Grau, 813, Lima, Lima Metropolitana, Lima, 15001, Perú, (Ruta4507nueva era 23-10-23)</t>
  </si>
  <si>
    <t>37 km/h</t>
  </si>
  <si>
    <t>Avenida Almirante Miguel Grau, 1005, Lima, Lima Metropolitana, Lima, 15011, Perú, (Ruta4507nueva era 23-10-23)</t>
  </si>
  <si>
    <t>Vía Expresa Almirante Miguel Grau, Lima, Lima Metropolitana, Lima, 15011, Perú, (Ruta4507nueva era 23-10-23)</t>
  </si>
  <si>
    <t>Avenida Almirante Miguel Grau, Lima, Lima Metropolitana, Lima, 15011, Perú, (Ruta4507nueva era 23-10-23)</t>
  </si>
  <si>
    <t>Avenida Inca Garcilazo de la Vega, El Agustino, Lima Metropolitana, Lima, 15004, Perú</t>
  </si>
  <si>
    <t>Auxiliar Avenida Circunvalación, La Victoria, Lima Metropolitana, Lima, 15019, Perú</t>
  </si>
  <si>
    <t>Avenida Nicolás de Ayllón, San Luis, Lima Metropolitana, Lima, 15022, Perú, (Ruta4507nueva era 23-10-23, RUTA DESVIO TEM.  4507)</t>
  </si>
  <si>
    <t>53 km/h</t>
  </si>
  <si>
    <t>Avenida Nicolás de Ayllón, Ate, Lima Metropolitana, Lima, 15002, Perú, (Ruta4507nueva era 23-10-23, RUTA DESVIO TEM.  4507)</t>
  </si>
  <si>
    <t>Avenida Nicolás de Ayllón, Ate, Lima Metropolitana, Lima, 15008, Perú, (Ruta4507nueva era 23-10-23, RUTA DESVIO TEM.  4507)</t>
  </si>
  <si>
    <t>Avenida Nicolás de Ayllón, Ate, Lima Metropolitana, Lima, 15008, Perú</t>
  </si>
  <si>
    <t>Calle Santa Inés, Ate, Lima Metropolitana, Lima, 15008, Perú, (Ruta4507nueva era 23-10-23, RUTA DESVIO TEM.  4507)</t>
  </si>
  <si>
    <t>Avenida Los Cipreses, Santa Anita, Lima Metropolitana, Lima, 15002, Perú, (RUTA DESVIO TEM.  4507)</t>
  </si>
  <si>
    <t>55 km/h</t>
  </si>
  <si>
    <t>Avenida de La Cultura, Santa Anita, Lima Metropolitana, Lima, 15009, Perú, (RUTA DESVIO TEM.  4507)</t>
  </si>
  <si>
    <t>Avenida Metropolitana, Ate, Lima Metropolitana, Lima, 15498, Perú</t>
  </si>
  <si>
    <t>Calle 4, Ate, Lima Metropolitana, Lima, 15498, Perú</t>
  </si>
  <si>
    <t>Avenida Nicolás de Ayllón, Ate, Lima Metropolitana, Lima, 15498, Perú, (Ruta4507nueva era 23-10-23, RUTA DESVIO TEM.  4507)</t>
  </si>
  <si>
    <t>48 km/h</t>
  </si>
  <si>
    <t>Avenida Gloria Grande, Ate, Lima Metropolitana, Lima, 15483, Perú, (Ruta4507nueva era 23-10-23)</t>
  </si>
  <si>
    <t>Avenida Jaime Zubieta Calderón, Ate, Lima Metropolitana, Lima, 15483, Perú, (Ruta4507nueva era 23-10-23)</t>
  </si>
  <si>
    <t>Carretera Central, Ate, Lima Metropolitana, Lima, 15474, Perú, (Horacio Zeballos)</t>
  </si>
  <si>
    <t>66 km/h</t>
  </si>
  <si>
    <t>Avenida José Carlos Mariátegui, Ate, Lima Metropolitana, Lima, 15483, Perú</t>
  </si>
  <si>
    <t>Avenida 15 de Julio, Nº 512 UVC 3, Ate, Lima Metropolitana, Lima, 15483, Perú</t>
  </si>
  <si>
    <t>Carretera Central, Ate, Lima Metropolitana, Lima, 15487, Perú, (S06 SANTA CLARA, Ruta4507nueva era 23-10-23)</t>
  </si>
  <si>
    <t>Prolongación Javier Prado Este, Ate, Lima Metropolitana, Lima, 15498, Perú, (RUTA DESVIO TEM.  4507)</t>
  </si>
  <si>
    <t>Avenida La Encalada, Santa Anita, Lima Metropolitana, Lima, 15007, Perú, (S04 AV. Metropolitana / Colectora Industrial, RUTA DESVIO TEM.  4507)</t>
  </si>
  <si>
    <t>Avenida Santa Rosa, Santa Anita, Lima Metropolitana, Lima, 15007, Perú, (RUTA DESVIO TEM.  4507)</t>
  </si>
  <si>
    <t>Avenida Huancaray, Santa Anita, Lima Metropolitana, Lima, 15008, Perú, (RUTA DESVIO TEM.  4507)</t>
  </si>
  <si>
    <t>Avenida Santiago de Chuco, Santa Anita, Lima Metropolitana, Lima, 15008, Perú, (RUTA DESVIO TEM.  4507)</t>
  </si>
  <si>
    <t>Vía de Evitamiento, Santa Anita, Lima Metropolitana, Lima, 15008, Perú, (Ruta4507nueva era 23-10-23, RUTA DESVIO TEM.  4507)</t>
  </si>
  <si>
    <t>Avenida Nicolás de Ayllón, El Agustino, Lima Metropolitana, Lima, 15008, Perú, (Ruta4507nueva era 23-10-23)</t>
  </si>
  <si>
    <t>Avenida Andrés Avelino Cáceres, Ate, Lima Metropolitana, Lima, 15019, Perú</t>
  </si>
  <si>
    <t>Avenida Nicolás de Ayllón, Lima, Lima Metropolitana, Lima, 15004, Perú, (Ruta4507nueva era 23-10-23)</t>
  </si>
  <si>
    <t>Avenida Nicolás Ayllón, 137, Lima, Lima Metropolitana, Lima, 15011, Perú, (Ruta4507nueva era 23-10-23)</t>
  </si>
  <si>
    <t>65 km/h</t>
  </si>
  <si>
    <t>Avenida Almirante Miguel Grau, La Victoria,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</si>
  <si>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</si>
  <si>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</si>
  <si>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Inca Garcilaso de la Vega, Lima, Lima Metropolitana, Lima, 15019, Perú</t>
  </si>
  <si>
    <t>Pasaje Tahuantinsuyo, San Luis, Lima Metropolitana, Lima, 15019, Perú</t>
  </si>
  <si>
    <t>Avenida Circunvalación, La Victoria, Lima Metropolitana, Lima, 15019, Perú</t>
  </si>
  <si>
    <t>Avenida Nicolás de Ayllón, 6376, Ate, Lima Metropolitana, Lima, 15498, Perú, (Ruta4507nueva era 23-10-23)</t>
  </si>
  <si>
    <t>Avenida Nicolás de Ayllón, Ate, Lima Metropolitana, Lima, 15498, Perú, (Ruta4507nueva era 23-10-23)</t>
  </si>
  <si>
    <t>Avenida Nicolás de Ayllón, 816-818, Ate, Lima Metropolitana, Lima, 15487, Perú, (Ruta4507nueva era 23-10-23)</t>
  </si>
  <si>
    <t>Avenida Nicolás de Ayllón, Ate, Lima Metropolitana, Lima, 15487, Perú</t>
  </si>
  <si>
    <t>Venta, Ate, Lima Metropolitana, Lima, 15474, Perú</t>
  </si>
  <si>
    <t>Avenida José Carlos Mariátegui, Ate, Lima Metropolitana, Lima, 15474, Perú, (Horacio Zeballos)</t>
  </si>
  <si>
    <t>Carretera Central, Ate, Lima Metropolitana, Lima, 15474, Perú, (Horacio Zeballos, Ruta4507nueva era 23-10-23)</t>
  </si>
  <si>
    <t>Ate, Lima Metropolitana, Lima, 15487, Perú, (S06 SANTA CLARA, Ruta4507nueva era 23-10-23)</t>
  </si>
  <si>
    <t>Avenida Nicolás de Ayllón, 5880, Ate, Lima Metropolitana, Lima, 15498, Perú, (Ruta4507nueva era 23-10-23)</t>
  </si>
  <si>
    <t>68 km/h</t>
  </si>
  <si>
    <t>Avenida Metropolitana, Santa Anita, Lima Metropolitana, Lima, 15009, Perú</t>
  </si>
  <si>
    <t>Santa Anita, Lima Metropolitana, Lima, 15009, Perú, (RUTA DESVIO TEM.  4507)</t>
  </si>
  <si>
    <t>Avenida Huancaray, Santa Anita, Lima Metropolitana, Lima, 15009, Perú</t>
  </si>
  <si>
    <t>Avenida Los Ruiseñores, Santa Anita, Lima Metropolitana, Lima, 15007, Perú, (RUTA DESVIO TEM.  4507)</t>
  </si>
  <si>
    <t>Avenida Manuel de la Torre Ugarte, Santa Anita, Lima Metropolitana, Lima, 15008, Perú, (RUTA DESVIO TEM.  4507)</t>
  </si>
  <si>
    <t>Avenida Minería, 385, Santa Anita, Lima Metropolitana, Lima, 15008, Perú, (RUTA DESVIO TEM.  4507)</t>
  </si>
  <si>
    <t>Avenida Minería, Santa Anita, Lima Metropolitana, Lima, 15008, Perú, (Ruta4507nueva era 23-10-23, RUTA DESVIO TEM.  4507)</t>
  </si>
  <si>
    <t>15 km/h</t>
  </si>
  <si>
    <t>Avenida Los Ruiseñores, Santa Anita, Lima Metropolitana, Lima, 15008, Perú, (RUTA DESVIO TEM.  4507)</t>
  </si>
  <si>
    <t>Calle 50, Santa Anita, Lima Metropolitana, Lima, 15009, Perú, (RUTA DESVIO TEM.  4507)</t>
  </si>
  <si>
    <t>Avenida Separadora Industrial, Ate, Lima Metropolitana, Lima, 15498, Perú, (RUTA DESVIO TEM.  4507)</t>
  </si>
  <si>
    <t>Avenida Nicolás de Ayllón, 5818, Ate, Lima Metropolitana, Lima, 15498, Perú, (Ruta4507nueva era 23-10-23)</t>
  </si>
  <si>
    <t>Avenida José Carlos Mariátegui, Ate, Lima Metropolitana, Lima, 15474, Perú, (Horacio Zeballos, Ruta4507nueva era 23-10-23)</t>
  </si>
  <si>
    <t>Avenida El Pozo, Ate, Lima Metropolitana, Lima, 15474, Perú</t>
  </si>
  <si>
    <t>Avenida Andrés Avelino Cáceres, Ate, Lima Metropolitana, Lima, 15474, Perú</t>
  </si>
  <si>
    <t>Carretera Central, Chaclacayo, Lima Metropolitana, Lima, 15476, Perú, (Ruta4507nueva era 23-10-23)</t>
  </si>
  <si>
    <t>Avenida Nicolás Ayllón, 1159, Chaclacayo, Lima Metropolitana, Lima, 15472, Perú, (Ruta4507nueva era 23-10-23)</t>
  </si>
  <si>
    <t>Avenida Nicolás Ayllón, Chaclacayo, Lima Metropolitana, Lima, 15472, Perú, (Ruta4507nueva era 23-10-23)</t>
  </si>
  <si>
    <t>Carretera Central, Lurigancho, Lima Metropolitana, Lima, 15472, Perú, (Ruta4507nueva era 23-10-23)</t>
  </si>
  <si>
    <t>Avenida Las Flores, 29000, Lurigancho, Lima Metropolitana, Lima, 15472, Perú, (Ruta4507nueva era 23-10-23)</t>
  </si>
  <si>
    <t>Avenida Las Flores, Lurigancho, Lima Metropolitana, Lima, 15468, Perú, (Ruta4507nueva era 23-10-23)</t>
  </si>
  <si>
    <t>Avenida Lima Sur, Chosica, Lima Metropolitana, Lima, 15468, Perú, (Ruta4507nueva era 23-10-23)</t>
  </si>
  <si>
    <t>Avenida Lima Norte, Santa Eulalia, Huarochirí, Lima, 15468, Perú, (Ruta4507nueva era 23-10-23)</t>
  </si>
  <si>
    <t>Jirón Cornelio Borda, Breña, Lima Metropolitana, Lima, 15082, Perú, (Ruta4507nueva era 23-10-23)</t>
  </si>
  <si>
    <t>Jirón Huarochirí, 643, Lima, Lima Metropolitana, Lima, 15082, Perú</t>
  </si>
  <si>
    <t>Abraham Valdelomar, Ricardo Palma, Huarochirí, Lima, 15468, Perú</t>
  </si>
  <si>
    <t>Jirón Ascope, Lima, Lima Metropolitana, Lima, 15082, Perú, (PARADERO DESTINO ASCOPE, Ruta4507nueva era 23-10-23)</t>
  </si>
  <si>
    <t>Avenida Nicolás de Ayllón, Ate, Lima Metropolitana, Lima, 15002, Perú, (Ruta4507nueva era 23-10-23)</t>
  </si>
  <si>
    <t>Calle Arequipa, Ate, Lima Metropolitana, Lima, 15498, Perú</t>
  </si>
  <si>
    <t>Avenida Nicolás Ayllón, Lima, Lima Metropolitana, Lima, 15011, Perú, (Ruta4507nueva era 23-10-23)</t>
  </si>
  <si>
    <t>Avenida Óscar Raimundo Benavides, 150, Lima, Lima Metropolitana, Lima, 15082, Perú</t>
  </si>
  <si>
    <t>Avenida Almirante Miguel Grau, 1804, Lima, Lima Metropolitana, Lima, 15011, Perú</t>
  </si>
  <si>
    <t>Nivel 1, Lima, Lima Metropolitana, Lima, 15011, Perú</t>
  </si>
  <si>
    <t>Avenida Nicolás Ayllón, Chaclacayo, Lima Metropolitana, Lima, 15472, Perú</t>
  </si>
  <si>
    <t>Chaclacayo, Lima Metropolitana, Lima, 15472, Perú</t>
  </si>
  <si>
    <t>Avenida Paseo de la República, Lima, Lima Metropolitana, Lima, 15083, Perú</t>
  </si>
  <si>
    <t>Jose Carlos Mariátegui, Chosica, Lima Metropolitana, Lima, 15468, Perú, (PARADERO RICARDO PALMA)</t>
  </si>
  <si>
    <t>Carretera Central, Ate, Lima Metropolitana, Lima, 15483, Perú</t>
  </si>
  <si>
    <t>Jirón Coronel Miguel Baquero, 210, Lima, Lima Metropolitana, Lima, 15082, Perú</t>
  </si>
  <si>
    <t>Avenida República de Venezuela, 199, Breña, Lima Metropolitana, Lima, 15082, Perú</t>
  </si>
  <si>
    <t>Jirón Iquique, 459, Breña, Lima Metropolitana, Lima, 15082, Perú</t>
  </si>
  <si>
    <t>Ciclovía Colonial, 100, Lima, Lima Metropolitana, Lima, 15082, Perú</t>
  </si>
  <si>
    <t>Calle Los Gladiolos, Chosica, Lima Metropolitana, Lima, 15468, Perú</t>
  </si>
  <si>
    <t>Calle Las Azucenas, Chaclacayo, Lima Metropolitana, Lima, 15474, Perú</t>
  </si>
  <si>
    <t>Calle Las Azucenas, M20, Chaclacayo, Lima Metropolitana, Lima, 15474, Perú</t>
  </si>
  <si>
    <t>69 km/h</t>
  </si>
  <si>
    <t>Avenida San Martín, Santa Eulalia, Huarochirí, Lima, 15468, Perú</t>
  </si>
  <si>
    <t>Calle Nueva Los Alamos, Santa Eulalia, Huarochirí, Lima, 15468, Perú</t>
  </si>
  <si>
    <t>Malecon Jose Olaya, Cerro Azul, Cañete, Lima, Perú</t>
  </si>
  <si>
    <t>72 km/h</t>
  </si>
  <si>
    <t>Jirón Junín, El Agustino, Lima Metropolitana, Lima, 15011, Perú</t>
  </si>
  <si>
    <t>Avenida Nicolás Ayllón, 2032, Chaclacayo, Lima Metropolitana, Lima, 15472, Perú, (Ruta4507nueva era 23-10-23)</t>
  </si>
  <si>
    <t>Avenida Alfonso Ugarte, 494, Breña, Lima Metropolitana, Lima, 15083, Perú, (Ruta4507nueva era 23-10-23)</t>
  </si>
  <si>
    <t>Avenida Alfonso Ugarte, 1439, Lima, Lima Metropolitana, Lima, 15083, Perú, (Ruta4507nueva era 23-10-23)</t>
  </si>
  <si>
    <t>Avenida Santa Cecilia, Ate, Lima Metropolitana, Lima, 15002, Perú, (Ruta4507nueva era 23-10-23, RUTA DESVIO TEM.  4507)</t>
  </si>
  <si>
    <t>Avenida Nicolás de Ayllón, Ate, Lima Metropolitana, Lima, 15008, Perú, (Ruta4507nueva era 23-10-23)</t>
  </si>
  <si>
    <t>Avenida Lima Sur, 1205, Chosica, Lima Metropolitana, Lima, 15468, Perú</t>
  </si>
  <si>
    <t>Calle Abraham Valdelomar, 108, Ricardo Palma, Huarochirí, Lima, 15468, Perú</t>
  </si>
  <si>
    <t>Avenida Lima Norte, Chosica, Lima Metropolitana, Lima, 15468, Perú, (Ruta4507nueva era 23-10-23)</t>
  </si>
  <si>
    <t>Jirón Trujillo Norte, Chosica, Lima Metropolitana, Lima, 15468, Perú, (Ruta4507nueva era 23-10-23)</t>
  </si>
  <si>
    <t>Avenida Lima Sur, 1471, Chosica, Lima Metropolitana, Lima, 15468, Perú, (Ruta4507nueva era 23-10-23)</t>
  </si>
  <si>
    <t>Avenida Las Flores, Chosica, Lima Metropolitana, Lima, 15468, Perú, (Ruta4507nueva era 23-10-23)</t>
  </si>
  <si>
    <t>Avenida Malecón Manco Cápac, Chaclacayo, Lima Metropolitana, Lima, 15472, Perú, (Ruta4507nueva era 23-10-23)</t>
  </si>
  <si>
    <t>Jirón San Martín de Porres, Ate, Lima Metropolitana, Lima, 15498, Perú, (Ruta4507nueva era 23-10-23, RUTA DESVIO TEM.  4507)</t>
  </si>
  <si>
    <t>Avenida Abancay, Lima, Lima Metropolitana, Lima, 15001, Perú, (Ruta4507nueva era 23-10-23)</t>
  </si>
  <si>
    <t>Avenida Almirante Miguel Grau, 369, Lima, Lima Metropolitana, Lima, 15001, Perú, (Ruta4507nueva era 23-10-23)</t>
  </si>
  <si>
    <t>Avenida Guzmán Blanco, 199, Lima, Lima Metropolitana, Lima, 15083, Perú</t>
  </si>
  <si>
    <t>Jirón Gregorio Paredes, Lima, Lima Metropolitana, Lima, 15083, Perú</t>
  </si>
  <si>
    <t>Acobamba, Lima, Lima Metropolitana, Lima, 15083, Perú</t>
  </si>
  <si>
    <t>Avenida Almirante Miguel Grau, 500, La Victoria, Lima Metropolitana, Lima, 15001, Perú, (Ruta4507nueva era 23-10-23)</t>
  </si>
  <si>
    <t>Avenida Almirante Miguel Grau, 800, La Victoria, Lima Metropolitana, Lima, 15011, Perú, (Ruta4507nueva era 23-10-23)</t>
  </si>
  <si>
    <t>Avenida Nicolás de Ayllón, Santa Anita, Lima Metropolitana, Lima, 15009, Perú, (Ruta4507nueva era 23-10-23)</t>
  </si>
  <si>
    <t>Avenida Nicolás de Ayllón, Santa Anita, Lima Metropolitana, Lima, 00051, Perú, (Ruta4507nueva era 23-10-23)</t>
  </si>
  <si>
    <t>Ciclovía Colonial, Lima, Lima Metropolitana, Lima, 15082, Perú, (Ruta4507nueva era 23-10-23)</t>
  </si>
  <si>
    <t>Avenida Nicolás de Ayllón, Lima, Lima Metropolitana, Lima, 15011, Perú, (Ruta4507nueva era 23-10-23)</t>
  </si>
  <si>
    <t>Avenida República de Chile, Jesús María, Lima Metropolitana, Lima, 15083, Perú</t>
  </si>
  <si>
    <t>Calle Las Magnolias, Santa Eulalia, Huarochirí, Lima, 15500, Perú</t>
  </si>
  <si>
    <t>Carretera Central, Chaclacayo, Lima Metropolitana, Lima, 15474, Perú, (Ruta4507nueva era 23-10-23)</t>
  </si>
  <si>
    <t>Avenida José Carlos Mariátegui, Ate, Lima Metropolitana, Lima, 15474, Perú</t>
  </si>
  <si>
    <t>Chaclacayo, Lima Metropolitana, Lima, 15474, Perú</t>
  </si>
  <si>
    <t>Chaclacayo, Lima Metropolitana, Lima, 15474, Perú, (Ruta4507nueva era 23-10-23)</t>
  </si>
  <si>
    <t>Vía Expresa Almirante Miguel Grau, La Victoria, Lima Metropolitana, Lima, 15001, Perú, (S02 AV.GRAU/ JR ANDAHUAYLAS, Ruta4507nueva era 23-10-23)</t>
  </si>
  <si>
    <t>Calle Cesar Vallejo, Ricardo Palma, Huarochirí, Lima, 15468, Perú</t>
  </si>
  <si>
    <t>Carretera Central, Ricardo Palma, Huarochirí, Lima, 15468, Perú</t>
  </si>
  <si>
    <t>Calle 20 de Enero, Santa Eulalia, Huarochirí, Lima, 15468, Perú</t>
  </si>
  <si>
    <t>Avenida Santa Rosa, 148, Ate, Lima Metropolitana, Lima, 15002, Perú</t>
  </si>
  <si>
    <t>Carretera Central, Corcona, Huarochirí, Lima, Perú</t>
  </si>
  <si>
    <t>Calle Alhelíes, Chaclacayo, Lima Metropolitana, Lima, 15476, Perú</t>
  </si>
  <si>
    <t>Alameda E, Chaclacayo, Lima Metropolitana, Lima, 15476, Perú</t>
  </si>
  <si>
    <t>Ricardo Palma, Huarochirí, Lima, 15468, Perú</t>
  </si>
  <si>
    <t>Carretera Central, Sol de Cupiche, Huarochirí, Lima, 15500, Perú</t>
  </si>
  <si>
    <t>Carretera Central, Ricardo Palma, Huarochirí, Lima, 15500, Perú</t>
  </si>
  <si>
    <t>Calle Berlín, Ate, Lima Metropolitana, Lima, 15498, Perú, (RUTA DESVIO TEM.  4507)</t>
  </si>
  <si>
    <t>Jirón Cornelio Borda, Lima, Lima Metropolitana, Lima, 15082, Perú</t>
  </si>
  <si>
    <t>Avenida 5 de Setiembre, Ricardo Palma, Huarochirí, Lima, 15468, Perú, (Ruta4507nueva era 23-10-23)</t>
  </si>
  <si>
    <t>Prolongación Javier Prado Este, Ate, Lima Metropolitana, Lima, 15498, Perú</t>
  </si>
  <si>
    <t>Avenida Santa María, Ate, Lima Metropolitana, Lima, 15498, Perú</t>
  </si>
  <si>
    <t>LM-123, Naplo, Lima Metropolitana, Lima, 15866, Perú</t>
  </si>
  <si>
    <t>Alexander Von Humboldt, Naplo, Lima Metropolitana, Lima, 15866, Perú</t>
  </si>
  <si>
    <t>120 km/h</t>
  </si>
  <si>
    <t>136 km/h</t>
  </si>
  <si>
    <t>108 km/h</t>
  </si>
  <si>
    <t>Jirón Los Próceres, Santa Eulalia, Huarochirí, Lima, 15468, Perú</t>
  </si>
  <si>
    <t>Avenida Palomar Sur, Santa Eulalia, Huarochirí, Lima, 15468, Perú</t>
  </si>
  <si>
    <t>Lurigancho, Lima Metropolitana, Lima, 15468, Perú</t>
  </si>
  <si>
    <t>Jirón Arequipa, 208, Chosica, Lima Metropolitana, Lima, 15468, Perú</t>
  </si>
  <si>
    <t>Jirón Acomayo, Lima, Lima Metropolitana, Lima, 15079,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</si>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</sst>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035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379</v>
      </c>
      <c r="B8" s="3">
        <v>45704.246145833335</v>
      </c>
      <c r="C8" t="s">
        <v>18</v>
      </c>
      <c r="D8" s="3">
        <v>45704.823587962965</v>
      </c>
      <c r="E8" t="s">
        <v>18</v>
      </c>
      <c r="F8" s="4">
        <v>213.87200000000001</v>
      </c>
      <c r="G8" s="4">
        <v>514612.07400000002</v>
      </c>
      <c r="H8" s="4">
        <v>514825.946</v>
      </c>
      <c r="I8" s="5">
        <f>7610 / 86400</f>
        <v>8.8078703703703701E-2</v>
      </c>
      <c r="J8" t="s">
        <v>19</v>
      </c>
      <c r="K8" t="s">
        <v>20</v>
      </c>
      <c r="L8" s="5">
        <f>35561 / 86400</f>
        <v>0.41158564814814813</v>
      </c>
      <c r="M8" s="5">
        <f>50830 / 86400</f>
        <v>0.58831018518518519</v>
      </c>
    </row>
    <row r="9" spans="1:13" x14ac:dyDescent="0.25">
      <c r="A9" t="s">
        <v>380</v>
      </c>
      <c r="B9" s="3">
        <v>45704.302662037036</v>
      </c>
      <c r="C9" t="s">
        <v>21</v>
      </c>
      <c r="D9" s="3">
        <v>45704.938946759255</v>
      </c>
      <c r="E9" t="s">
        <v>21</v>
      </c>
      <c r="F9" s="4">
        <v>279.98599999999999</v>
      </c>
      <c r="G9" s="4">
        <v>19922.346000000001</v>
      </c>
      <c r="H9" s="4">
        <v>20202.331999999999</v>
      </c>
      <c r="I9" s="5">
        <f>14033 / 86400</f>
        <v>0.16241898148148148</v>
      </c>
      <c r="J9" t="s">
        <v>22</v>
      </c>
      <c r="K9" t="s">
        <v>23</v>
      </c>
      <c r="L9" s="5">
        <f>48501 / 86400</f>
        <v>0.56135416666666671</v>
      </c>
      <c r="M9" s="5">
        <f>37896 / 86400</f>
        <v>0.43861111111111112</v>
      </c>
    </row>
    <row r="10" spans="1:13" x14ac:dyDescent="0.25">
      <c r="A10" t="s">
        <v>381</v>
      </c>
      <c r="B10" s="3">
        <v>45704.303611111114</v>
      </c>
      <c r="C10" t="s">
        <v>24</v>
      </c>
      <c r="D10" s="3">
        <v>45704.781944444447</v>
      </c>
      <c r="E10" t="s">
        <v>25</v>
      </c>
      <c r="F10" s="4">
        <v>243.536</v>
      </c>
      <c r="G10" s="4">
        <v>329069.78000000003</v>
      </c>
      <c r="H10" s="4">
        <v>329313.31599999999</v>
      </c>
      <c r="I10" s="5">
        <f>11406 / 86400</f>
        <v>0.13201388888888888</v>
      </c>
      <c r="J10" t="s">
        <v>26</v>
      </c>
      <c r="K10" t="s">
        <v>27</v>
      </c>
      <c r="L10" s="5">
        <f>38720 / 86400</f>
        <v>0.44814814814814813</v>
      </c>
      <c r="M10" s="5">
        <f>47677 / 86400</f>
        <v>0.55181712962962959</v>
      </c>
    </row>
    <row r="11" spans="1:13" x14ac:dyDescent="0.25">
      <c r="A11" t="s">
        <v>382</v>
      </c>
      <c r="B11" s="3">
        <v>45704.496516203704</v>
      </c>
      <c r="C11" t="s">
        <v>28</v>
      </c>
      <c r="D11" s="3">
        <v>45704.713402777779</v>
      </c>
      <c r="E11" t="s">
        <v>28</v>
      </c>
      <c r="F11" s="4">
        <v>2.004</v>
      </c>
      <c r="G11" s="4">
        <v>20986.401999999998</v>
      </c>
      <c r="H11" s="4">
        <v>20988.405999999999</v>
      </c>
      <c r="I11" s="5">
        <f>258 / 86400</f>
        <v>2.9861111111111113E-3</v>
      </c>
      <c r="J11" t="s">
        <v>29</v>
      </c>
      <c r="K11" t="s">
        <v>30</v>
      </c>
      <c r="L11" s="5">
        <f>840 / 86400</f>
        <v>9.7222222222222224E-3</v>
      </c>
      <c r="M11" s="5">
        <f>85557 / 86400</f>
        <v>0.99024305555555558</v>
      </c>
    </row>
    <row r="12" spans="1:13" x14ac:dyDescent="0.25">
      <c r="A12" t="s">
        <v>383</v>
      </c>
      <c r="B12" s="3">
        <v>45704.231458333335</v>
      </c>
      <c r="C12" t="s">
        <v>31</v>
      </c>
      <c r="D12" s="3">
        <v>45704.931990740741</v>
      </c>
      <c r="E12" t="s">
        <v>31</v>
      </c>
      <c r="F12" s="4">
        <v>261.81600000000003</v>
      </c>
      <c r="G12" s="4">
        <v>513939.94199999998</v>
      </c>
      <c r="H12" s="4">
        <v>514201.75799999997</v>
      </c>
      <c r="I12" s="5">
        <f>13135 / 86400</f>
        <v>0.15202546296296296</v>
      </c>
      <c r="J12" t="s">
        <v>32</v>
      </c>
      <c r="K12" t="s">
        <v>33</v>
      </c>
      <c r="L12" s="5">
        <f>46048 / 86400</f>
        <v>0.53296296296296297</v>
      </c>
      <c r="M12" s="5">
        <f>40346 / 86400</f>
        <v>0.46696759259259257</v>
      </c>
    </row>
    <row r="13" spans="1:13" x14ac:dyDescent="0.25">
      <c r="A13" t="s">
        <v>384</v>
      </c>
      <c r="B13" s="3">
        <v>45704.214201388888</v>
      </c>
      <c r="C13" t="s">
        <v>28</v>
      </c>
      <c r="D13" s="3">
        <v>45704.917048611111</v>
      </c>
      <c r="E13" t="s">
        <v>28</v>
      </c>
      <c r="F13" s="4">
        <v>219.97</v>
      </c>
      <c r="G13" s="4">
        <v>92948.475999999995</v>
      </c>
      <c r="H13" s="4">
        <v>93168.445999999996</v>
      </c>
      <c r="I13" s="5">
        <f>5152 / 86400</f>
        <v>5.962962962962963E-2</v>
      </c>
      <c r="J13" t="s">
        <v>34</v>
      </c>
      <c r="K13" t="s">
        <v>35</v>
      </c>
      <c r="L13" s="5">
        <f>26032 / 86400</f>
        <v>0.30129629629629628</v>
      </c>
      <c r="M13" s="5">
        <f>60359 / 86400</f>
        <v>0.69859953703703703</v>
      </c>
    </row>
    <row r="14" spans="1:13" x14ac:dyDescent="0.25">
      <c r="A14" t="s">
        <v>385</v>
      </c>
      <c r="B14" s="3">
        <v>45704.262708333335</v>
      </c>
      <c r="C14" t="s">
        <v>18</v>
      </c>
      <c r="D14" s="3">
        <v>45704.901863425926</v>
      </c>
      <c r="E14" t="s">
        <v>18</v>
      </c>
      <c r="F14" s="4">
        <v>263.435</v>
      </c>
      <c r="G14" s="4">
        <v>138656.215</v>
      </c>
      <c r="H14" s="4">
        <v>138919.65</v>
      </c>
      <c r="I14" s="5">
        <f>12294 / 86400</f>
        <v>0.14229166666666668</v>
      </c>
      <c r="J14" t="s">
        <v>36</v>
      </c>
      <c r="K14" t="s">
        <v>27</v>
      </c>
      <c r="L14" s="5">
        <f>41654 / 86400</f>
        <v>0.4821064814814815</v>
      </c>
      <c r="M14" s="5">
        <f>44734 / 86400</f>
        <v>0.51775462962962959</v>
      </c>
    </row>
    <row r="15" spans="1:13" x14ac:dyDescent="0.25">
      <c r="A15" t="s">
        <v>386</v>
      </c>
      <c r="B15" s="3">
        <v>45704.550277777773</v>
      </c>
      <c r="C15" t="s">
        <v>28</v>
      </c>
      <c r="D15" s="3">
        <v>45704.999374999999</v>
      </c>
      <c r="E15" t="s">
        <v>37</v>
      </c>
      <c r="F15" s="4">
        <v>170.37367588329315</v>
      </c>
      <c r="G15" s="4">
        <v>348286.50506740203</v>
      </c>
      <c r="H15" s="4">
        <v>348466.47786241694</v>
      </c>
      <c r="I15" s="5">
        <f>0 / 86400</f>
        <v>0</v>
      </c>
      <c r="J15" t="s">
        <v>38</v>
      </c>
      <c r="K15" t="s">
        <v>27</v>
      </c>
      <c r="L15" s="5">
        <f>27231 / 86400</f>
        <v>0.31517361111111108</v>
      </c>
      <c r="M15" s="5">
        <f>59166 / 86400</f>
        <v>0.68479166666666669</v>
      </c>
    </row>
    <row r="16" spans="1:13" x14ac:dyDescent="0.25">
      <c r="A16" t="s">
        <v>387</v>
      </c>
      <c r="B16" s="3">
        <v>45704.27034722222</v>
      </c>
      <c r="C16" t="s">
        <v>39</v>
      </c>
      <c r="D16" s="3">
        <v>45704.999826388885</v>
      </c>
      <c r="E16" t="s">
        <v>40</v>
      </c>
      <c r="F16" s="4">
        <v>197.75899999999999</v>
      </c>
      <c r="G16" s="4">
        <v>437904.63699999999</v>
      </c>
      <c r="H16" s="4">
        <v>438102.39600000001</v>
      </c>
      <c r="I16" s="5">
        <f>9846 / 86400</f>
        <v>0.11395833333333333</v>
      </c>
      <c r="J16" t="s">
        <v>41</v>
      </c>
      <c r="K16" t="s">
        <v>33</v>
      </c>
      <c r="L16" s="5">
        <f>36503 / 86400</f>
        <v>0.42248842592592595</v>
      </c>
      <c r="M16" s="5">
        <f>49894 / 86400</f>
        <v>0.57747685185185182</v>
      </c>
    </row>
    <row r="17" spans="1:13" x14ac:dyDescent="0.25">
      <c r="A17" t="s">
        <v>388</v>
      </c>
      <c r="B17" s="3">
        <v>45704.308657407411</v>
      </c>
      <c r="C17" t="s">
        <v>42</v>
      </c>
      <c r="D17" s="3">
        <v>45704.776909722219</v>
      </c>
      <c r="E17" t="s">
        <v>21</v>
      </c>
      <c r="F17" s="4">
        <v>192.61799999999999</v>
      </c>
      <c r="G17" s="4">
        <v>54898.398999999998</v>
      </c>
      <c r="H17" s="4">
        <v>55091.017</v>
      </c>
      <c r="I17" s="5">
        <f>10785 / 86400</f>
        <v>0.12482638888888889</v>
      </c>
      <c r="J17" t="s">
        <v>43</v>
      </c>
      <c r="K17" t="s">
        <v>44</v>
      </c>
      <c r="L17" s="5">
        <f>36529 / 86400</f>
        <v>0.42278935185185185</v>
      </c>
      <c r="M17" s="5">
        <f>49864 / 86400</f>
        <v>0.57712962962962966</v>
      </c>
    </row>
    <row r="18" spans="1:13" x14ac:dyDescent="0.25">
      <c r="A18" t="s">
        <v>389</v>
      </c>
      <c r="B18" s="3">
        <v>45704.244513888887</v>
      </c>
      <c r="C18" t="s">
        <v>45</v>
      </c>
      <c r="D18" s="3">
        <v>45704.987870370373</v>
      </c>
      <c r="E18" t="s">
        <v>46</v>
      </c>
      <c r="F18" s="4">
        <v>262.91199999999998</v>
      </c>
      <c r="G18" s="4">
        <v>216721.152</v>
      </c>
      <c r="H18" s="4">
        <v>216984.06400000001</v>
      </c>
      <c r="I18" s="5">
        <f>18707 / 86400</f>
        <v>0.2165162037037037</v>
      </c>
      <c r="J18" t="s">
        <v>47</v>
      </c>
      <c r="K18" t="s">
        <v>48</v>
      </c>
      <c r="L18" s="5">
        <f>54711 / 86400</f>
        <v>0.63322916666666662</v>
      </c>
      <c r="M18" s="5">
        <f>31684 / 86400</f>
        <v>0.36671296296296296</v>
      </c>
    </row>
    <row r="19" spans="1:13" x14ac:dyDescent="0.25">
      <c r="A19" t="s">
        <v>390</v>
      </c>
      <c r="B19" s="3">
        <v>45704.277743055558</v>
      </c>
      <c r="C19" t="s">
        <v>49</v>
      </c>
      <c r="D19" s="3">
        <v>45704.831388888888</v>
      </c>
      <c r="E19" t="s">
        <v>49</v>
      </c>
      <c r="F19" s="4">
        <v>174.9399999999404</v>
      </c>
      <c r="G19" s="4">
        <v>525712.63800000004</v>
      </c>
      <c r="H19" s="4">
        <v>525887.57799999998</v>
      </c>
      <c r="I19" s="5">
        <f>8984 / 86400</f>
        <v>0.10398148148148148</v>
      </c>
      <c r="J19" t="s">
        <v>50</v>
      </c>
      <c r="K19" t="s">
        <v>51</v>
      </c>
      <c r="L19" s="5">
        <f>34773 / 86400</f>
        <v>0.4024652777777778</v>
      </c>
      <c r="M19" s="5">
        <f>51621 / 86400</f>
        <v>0.5974652777777778</v>
      </c>
    </row>
    <row r="20" spans="1:13" x14ac:dyDescent="0.25">
      <c r="A20" t="s">
        <v>391</v>
      </c>
      <c r="B20" s="3">
        <v>45704.261284722219</v>
      </c>
      <c r="C20" t="s">
        <v>52</v>
      </c>
      <c r="D20" s="3">
        <v>45704.826111111106</v>
      </c>
      <c r="E20" t="s">
        <v>52</v>
      </c>
      <c r="F20" s="4">
        <v>201.55199999999999</v>
      </c>
      <c r="G20" s="4">
        <v>426303.70500000002</v>
      </c>
      <c r="H20" s="4">
        <v>426505.25699999998</v>
      </c>
      <c r="I20" s="5">
        <f>11237 / 86400</f>
        <v>0.13005787037037037</v>
      </c>
      <c r="J20" t="s">
        <v>53</v>
      </c>
      <c r="K20" t="s">
        <v>51</v>
      </c>
      <c r="L20" s="5">
        <f>39518 / 86400</f>
        <v>0.45738425925925924</v>
      </c>
      <c r="M20" s="5">
        <f>46877 / 86400</f>
        <v>0.5425578703703704</v>
      </c>
    </row>
    <row r="21" spans="1:13" x14ac:dyDescent="0.25">
      <c r="A21" t="s">
        <v>392</v>
      </c>
      <c r="B21" s="3">
        <v>45704.252939814818</v>
      </c>
      <c r="C21" t="s">
        <v>28</v>
      </c>
      <c r="D21" s="3">
        <v>45704.760648148149</v>
      </c>
      <c r="E21" t="s">
        <v>28</v>
      </c>
      <c r="F21" s="4">
        <v>195.828</v>
      </c>
      <c r="G21" s="4">
        <v>13176.481</v>
      </c>
      <c r="H21" s="4">
        <v>13372.308999999999</v>
      </c>
      <c r="I21" s="5">
        <f>12995 / 86400</f>
        <v>0.1504050925925926</v>
      </c>
      <c r="J21" t="s">
        <v>54</v>
      </c>
      <c r="K21" t="s">
        <v>51</v>
      </c>
      <c r="L21" s="5">
        <f>38535 / 86400</f>
        <v>0.44600694444444444</v>
      </c>
      <c r="M21" s="5">
        <f>47853 / 86400</f>
        <v>0.55385416666666665</v>
      </c>
    </row>
    <row r="22" spans="1:13" x14ac:dyDescent="0.25">
      <c r="A22" t="s">
        <v>393</v>
      </c>
      <c r="B22" s="3">
        <v>45704.252476851849</v>
      </c>
      <c r="C22" t="s">
        <v>28</v>
      </c>
      <c r="D22" s="3">
        <v>45704.255497685182</v>
      </c>
      <c r="E22" t="s">
        <v>28</v>
      </c>
      <c r="F22" s="4">
        <v>0</v>
      </c>
      <c r="G22" s="4">
        <v>5969.549</v>
      </c>
      <c r="H22" s="4">
        <v>5969.549</v>
      </c>
      <c r="I22" s="5">
        <f>259 / 86400</f>
        <v>2.9976851851851853E-3</v>
      </c>
      <c r="J22" t="s">
        <v>55</v>
      </c>
      <c r="K22" t="s">
        <v>55</v>
      </c>
      <c r="L22" s="5">
        <f>260 / 86400</f>
        <v>3.0092592592592593E-3</v>
      </c>
      <c r="M22" s="5">
        <f>86138 / 86400</f>
        <v>0.9969675925925926</v>
      </c>
    </row>
    <row r="23" spans="1:13" x14ac:dyDescent="0.25">
      <c r="A23" t="s">
        <v>394</v>
      </c>
      <c r="B23" s="3">
        <v>45704.236828703702</v>
      </c>
      <c r="C23" t="s">
        <v>56</v>
      </c>
      <c r="D23" s="3">
        <v>45704.693402777775</v>
      </c>
      <c r="E23" t="s">
        <v>56</v>
      </c>
      <c r="F23" s="4">
        <v>173.374</v>
      </c>
      <c r="G23" s="4">
        <v>387381.68900000001</v>
      </c>
      <c r="H23" s="4">
        <v>387555.06300000002</v>
      </c>
      <c r="I23" s="5">
        <f>10194 / 86400</f>
        <v>0.11798611111111111</v>
      </c>
      <c r="J23" t="s">
        <v>57</v>
      </c>
      <c r="K23" t="s">
        <v>44</v>
      </c>
      <c r="L23" s="5">
        <f>32845 / 86400</f>
        <v>0.38015046296296295</v>
      </c>
      <c r="M23" s="5">
        <f>53552 / 86400</f>
        <v>0.61981481481481482</v>
      </c>
    </row>
    <row r="24" spans="1:13" x14ac:dyDescent="0.25">
      <c r="A24" t="s">
        <v>395</v>
      </c>
      <c r="B24" s="3">
        <v>45704.14780092593</v>
      </c>
      <c r="C24" t="s">
        <v>58</v>
      </c>
      <c r="D24" s="3">
        <v>45704.827060185184</v>
      </c>
      <c r="E24" t="s">
        <v>58</v>
      </c>
      <c r="F24" s="4">
        <v>199.21200000000002</v>
      </c>
      <c r="G24" s="4">
        <v>523826.66200000001</v>
      </c>
      <c r="H24" s="4">
        <v>524025.875</v>
      </c>
      <c r="I24" s="5">
        <f>10658 / 86400</f>
        <v>0.12335648148148148</v>
      </c>
      <c r="J24" t="s">
        <v>59</v>
      </c>
      <c r="K24" t="s">
        <v>33</v>
      </c>
      <c r="L24" s="5">
        <f>36581 / 86400</f>
        <v>0.4233912037037037</v>
      </c>
      <c r="M24" s="5">
        <f>49812 / 86400</f>
        <v>0.57652777777777775</v>
      </c>
    </row>
    <row r="25" spans="1:13" x14ac:dyDescent="0.25">
      <c r="A25" t="s">
        <v>396</v>
      </c>
      <c r="B25" s="3">
        <v>45704</v>
      </c>
      <c r="C25" t="s">
        <v>60</v>
      </c>
      <c r="D25" s="3">
        <v>45704.886076388888</v>
      </c>
      <c r="E25" t="s">
        <v>61</v>
      </c>
      <c r="F25" s="4">
        <v>97.483999999999995</v>
      </c>
      <c r="G25" s="4">
        <v>412314.44300000003</v>
      </c>
      <c r="H25" s="4">
        <v>412411.92700000003</v>
      </c>
      <c r="I25" s="5">
        <f>5515 / 86400</f>
        <v>6.3831018518518523E-2</v>
      </c>
      <c r="J25" t="s">
        <v>62</v>
      </c>
      <c r="K25" t="s">
        <v>48</v>
      </c>
      <c r="L25" s="5">
        <f>20513 / 86400</f>
        <v>0.23741898148148149</v>
      </c>
      <c r="M25" s="5">
        <f>65879 / 86400</f>
        <v>0.76248842592592592</v>
      </c>
    </row>
    <row r="26" spans="1:13" x14ac:dyDescent="0.25">
      <c r="A26" t="s">
        <v>397</v>
      </c>
      <c r="B26" s="3">
        <v>45704.324664351851</v>
      </c>
      <c r="C26" t="s">
        <v>63</v>
      </c>
      <c r="D26" s="3">
        <v>45704.825810185182</v>
      </c>
      <c r="E26" t="s">
        <v>63</v>
      </c>
      <c r="F26" s="4">
        <v>203.18100000000001</v>
      </c>
      <c r="G26" s="4">
        <v>403148.978</v>
      </c>
      <c r="H26" s="4">
        <v>403352.15899999999</v>
      </c>
      <c r="I26" s="5">
        <f>12493 / 86400</f>
        <v>0.14459490740740741</v>
      </c>
      <c r="J26" t="s">
        <v>64</v>
      </c>
      <c r="K26" t="s">
        <v>44</v>
      </c>
      <c r="L26" s="5">
        <f>38549 / 86400</f>
        <v>0.44616898148148149</v>
      </c>
      <c r="M26" s="5">
        <f>47844 / 86400</f>
        <v>0.55374999999999996</v>
      </c>
    </row>
    <row r="27" spans="1:13" x14ac:dyDescent="0.25">
      <c r="A27" t="s">
        <v>398</v>
      </c>
      <c r="B27" s="3">
        <v>45704.170381944445</v>
      </c>
      <c r="C27" t="s">
        <v>65</v>
      </c>
      <c r="D27" s="3">
        <v>45704.918437500004</v>
      </c>
      <c r="E27" t="s">
        <v>65</v>
      </c>
      <c r="F27" s="4">
        <v>337.80799999999999</v>
      </c>
      <c r="G27" s="4">
        <v>41470.438999999998</v>
      </c>
      <c r="H27" s="4">
        <v>41808.247000000003</v>
      </c>
      <c r="I27" s="5">
        <f>18435 / 86400</f>
        <v>0.21336805555555555</v>
      </c>
      <c r="J27" t="s">
        <v>34</v>
      </c>
      <c r="K27" t="s">
        <v>33</v>
      </c>
      <c r="L27" s="5">
        <f>60074 / 86400</f>
        <v>0.69530092592592596</v>
      </c>
      <c r="M27" s="5">
        <f>26320 / 86400</f>
        <v>0.30462962962962964</v>
      </c>
    </row>
    <row r="28" spans="1:13" x14ac:dyDescent="0.25">
      <c r="A28" t="s">
        <v>399</v>
      </c>
      <c r="B28" s="3">
        <v>45704</v>
      </c>
      <c r="C28" t="s">
        <v>66</v>
      </c>
      <c r="D28" s="3">
        <v>45704.92423611111</v>
      </c>
      <c r="E28" t="s">
        <v>56</v>
      </c>
      <c r="F28" s="4">
        <v>197.221</v>
      </c>
      <c r="G28" s="4">
        <v>47098.813999999998</v>
      </c>
      <c r="H28" s="4">
        <v>47296.035000000003</v>
      </c>
      <c r="I28" s="5">
        <f>14481 / 86400</f>
        <v>0.16760416666666667</v>
      </c>
      <c r="J28" t="s">
        <v>67</v>
      </c>
      <c r="K28" t="s">
        <v>68</v>
      </c>
      <c r="L28" s="5">
        <f>29492 / 86400</f>
        <v>0.34134259259259259</v>
      </c>
      <c r="M28" s="5">
        <f>56905 / 86400</f>
        <v>0.65862268518518519</v>
      </c>
    </row>
    <row r="29" spans="1:13" x14ac:dyDescent="0.25">
      <c r="A29" t="s">
        <v>400</v>
      </c>
      <c r="B29" s="3">
        <v>45704</v>
      </c>
      <c r="C29" t="s">
        <v>69</v>
      </c>
      <c r="D29" s="3">
        <v>45704.307523148149</v>
      </c>
      <c r="E29" t="s">
        <v>70</v>
      </c>
      <c r="F29" s="4">
        <v>49.478000000000002</v>
      </c>
      <c r="G29" s="4">
        <v>528642.83100000001</v>
      </c>
      <c r="H29" s="4">
        <v>528692.30900000001</v>
      </c>
      <c r="I29" s="5">
        <f>4078 / 86400</f>
        <v>4.7199074074074074E-2</v>
      </c>
      <c r="J29" t="s">
        <v>71</v>
      </c>
      <c r="K29" t="s">
        <v>51</v>
      </c>
      <c r="L29" s="5">
        <f>10037 / 86400</f>
        <v>0.11616898148148148</v>
      </c>
      <c r="M29" s="5">
        <f>76360 / 86400</f>
        <v>0.8837962962962963</v>
      </c>
    </row>
    <row r="30" spans="1:13" x14ac:dyDescent="0.25">
      <c r="A30" t="s">
        <v>401</v>
      </c>
      <c r="B30" s="3">
        <v>45704.323055555556</v>
      </c>
      <c r="C30" t="s">
        <v>28</v>
      </c>
      <c r="D30" s="3">
        <v>45704.876018518524</v>
      </c>
      <c r="E30" t="s">
        <v>28</v>
      </c>
      <c r="F30" s="4">
        <v>187.56299999999999</v>
      </c>
      <c r="G30" s="4">
        <v>568567.46299999999</v>
      </c>
      <c r="H30" s="4">
        <v>568755.027</v>
      </c>
      <c r="I30" s="5">
        <f>13312 / 86400</f>
        <v>0.15407407407407409</v>
      </c>
      <c r="J30" t="s">
        <v>53</v>
      </c>
      <c r="K30" t="s">
        <v>48</v>
      </c>
      <c r="L30" s="5">
        <f>39369 / 86400</f>
        <v>0.45565972222222223</v>
      </c>
      <c r="M30" s="5">
        <f>47027 / 86400</f>
        <v>0.54429398148148145</v>
      </c>
    </row>
    <row r="31" spans="1:13" x14ac:dyDescent="0.25">
      <c r="A31" t="s">
        <v>402</v>
      </c>
      <c r="B31" s="3">
        <v>45704.014722222222</v>
      </c>
      <c r="C31" t="s">
        <v>72</v>
      </c>
      <c r="D31" s="3">
        <v>45704.015752314815</v>
      </c>
      <c r="E31" t="s">
        <v>72</v>
      </c>
      <c r="F31" s="4">
        <v>0</v>
      </c>
      <c r="G31" s="4">
        <v>435880.17700000003</v>
      </c>
      <c r="H31" s="4">
        <v>435880.17700000003</v>
      </c>
      <c r="I31" s="5">
        <f>79 / 86400</f>
        <v>9.1435185185185185E-4</v>
      </c>
      <c r="J31" t="s">
        <v>55</v>
      </c>
      <c r="K31" t="s">
        <v>55</v>
      </c>
      <c r="L31" s="5">
        <f>88 / 86400</f>
        <v>1.0185185185185184E-3</v>
      </c>
      <c r="M31" s="5">
        <f>86310 / 86400</f>
        <v>0.99895833333333328</v>
      </c>
    </row>
    <row r="32" spans="1:13" x14ac:dyDescent="0.25">
      <c r="A32" t="s">
        <v>403</v>
      </c>
      <c r="B32" s="3">
        <v>45704.270416666666</v>
      </c>
      <c r="C32" t="s">
        <v>73</v>
      </c>
      <c r="D32" s="3">
        <v>45704.844131944439</v>
      </c>
      <c r="E32" t="s">
        <v>74</v>
      </c>
      <c r="F32" s="4">
        <v>204.58100000000002</v>
      </c>
      <c r="G32" s="4">
        <v>516034.625</v>
      </c>
      <c r="H32" s="4">
        <v>516242.96899999998</v>
      </c>
      <c r="I32" s="5">
        <f>14427 / 86400</f>
        <v>0.16697916666666668</v>
      </c>
      <c r="J32" t="s">
        <v>75</v>
      </c>
      <c r="K32" t="s">
        <v>48</v>
      </c>
      <c r="L32" s="5">
        <f>42342 / 86400</f>
        <v>0.49006944444444445</v>
      </c>
      <c r="M32" s="5">
        <f>44057 / 86400</f>
        <v>0.50991898148148151</v>
      </c>
    </row>
    <row r="33" spans="1:13" x14ac:dyDescent="0.25">
      <c r="A33" t="s">
        <v>404</v>
      </c>
      <c r="B33" s="3">
        <v>45704.91684027778</v>
      </c>
      <c r="C33" t="s">
        <v>76</v>
      </c>
      <c r="D33" s="3">
        <v>45704.917083333334</v>
      </c>
      <c r="E33" t="s">
        <v>76</v>
      </c>
      <c r="F33" s="4">
        <v>0</v>
      </c>
      <c r="G33" s="4">
        <v>411453.228</v>
      </c>
      <c r="H33" s="4">
        <v>411453.228</v>
      </c>
      <c r="I33" s="5">
        <f>0 / 86400</f>
        <v>0</v>
      </c>
      <c r="J33" t="s">
        <v>55</v>
      </c>
      <c r="K33" t="s">
        <v>55</v>
      </c>
      <c r="L33" s="5">
        <f>20 / 86400</f>
        <v>2.3148148148148149E-4</v>
      </c>
      <c r="M33" s="5">
        <f>86378 / 86400</f>
        <v>0.99974537037037037</v>
      </c>
    </row>
    <row r="34" spans="1:13" x14ac:dyDescent="0.25">
      <c r="A34" t="s">
        <v>405</v>
      </c>
      <c r="B34" s="3">
        <v>45704.677835648152</v>
      </c>
      <c r="C34" t="s">
        <v>77</v>
      </c>
      <c r="D34" s="3">
        <v>45704.994143518517</v>
      </c>
      <c r="E34" t="s">
        <v>78</v>
      </c>
      <c r="F34" s="4">
        <v>167.38499999999999</v>
      </c>
      <c r="G34" s="4">
        <v>474386.12400000001</v>
      </c>
      <c r="H34" s="4">
        <v>474553.50900000002</v>
      </c>
      <c r="I34" s="5">
        <f>7278 / 86400</f>
        <v>8.4236111111111109E-2</v>
      </c>
      <c r="J34" t="s">
        <v>32</v>
      </c>
      <c r="K34" t="s">
        <v>20</v>
      </c>
      <c r="L34" s="5">
        <f>26959 / 86400</f>
        <v>0.31202546296296296</v>
      </c>
      <c r="M34" s="5">
        <f>59439 / 86400</f>
        <v>0.68795138888888885</v>
      </c>
    </row>
    <row r="35" spans="1:13" x14ac:dyDescent="0.25">
      <c r="A35" t="s">
        <v>406</v>
      </c>
      <c r="B35" s="3">
        <v>45704.120462962965</v>
      </c>
      <c r="C35" t="s">
        <v>79</v>
      </c>
      <c r="D35" s="3">
        <v>45704.92387731481</v>
      </c>
      <c r="E35" t="s">
        <v>79</v>
      </c>
      <c r="F35" s="4">
        <v>361.70699999999999</v>
      </c>
      <c r="G35" s="4">
        <v>414460.62099999998</v>
      </c>
      <c r="H35" s="4">
        <v>414822.32799999998</v>
      </c>
      <c r="I35" s="5">
        <f>16793 / 86400</f>
        <v>0.19436342592592593</v>
      </c>
      <c r="J35" t="s">
        <v>19</v>
      </c>
      <c r="K35" t="s">
        <v>20</v>
      </c>
      <c r="L35" s="5">
        <f>59311 / 86400</f>
        <v>0.68646990740740743</v>
      </c>
      <c r="M35" s="5">
        <f>27080 / 86400</f>
        <v>0.31342592592592594</v>
      </c>
    </row>
    <row r="36" spans="1:13" x14ac:dyDescent="0.25">
      <c r="A36" t="s">
        <v>407</v>
      </c>
      <c r="B36" s="3">
        <v>45704</v>
      </c>
      <c r="C36" t="s">
        <v>24</v>
      </c>
      <c r="D36" s="3">
        <v>45704.894733796296</v>
      </c>
      <c r="E36" t="s">
        <v>28</v>
      </c>
      <c r="F36" s="4">
        <v>220.333</v>
      </c>
      <c r="G36" s="4">
        <v>328589.57199999999</v>
      </c>
      <c r="H36" s="4">
        <v>328809.90500000003</v>
      </c>
      <c r="I36" s="5">
        <f>12793 / 86400</f>
        <v>0.14806712962962962</v>
      </c>
      <c r="J36" t="s">
        <v>19</v>
      </c>
      <c r="K36" t="s">
        <v>33</v>
      </c>
      <c r="L36" s="5">
        <f>38866 / 86400</f>
        <v>0.44983796296296297</v>
      </c>
      <c r="M36" s="5">
        <f>47525 / 86400</f>
        <v>0.55005787037037035</v>
      </c>
    </row>
    <row r="37" spans="1:13" x14ac:dyDescent="0.25">
      <c r="A37" t="s">
        <v>408</v>
      </c>
      <c r="B37" s="3">
        <v>45704.330162037033</v>
      </c>
      <c r="C37" t="s">
        <v>28</v>
      </c>
      <c r="D37" s="3">
        <v>45704.787407407406</v>
      </c>
      <c r="E37" t="s">
        <v>28</v>
      </c>
      <c r="F37" s="4">
        <v>159.49099999999999</v>
      </c>
      <c r="G37" s="4">
        <v>360695.87300000002</v>
      </c>
      <c r="H37" s="4">
        <v>360855.364</v>
      </c>
      <c r="I37" s="5">
        <f>12433 / 86400</f>
        <v>0.14390046296296297</v>
      </c>
      <c r="J37" t="s">
        <v>26</v>
      </c>
      <c r="K37" t="s">
        <v>48</v>
      </c>
      <c r="L37" s="5">
        <f>34307 / 86400</f>
        <v>0.39707175925925925</v>
      </c>
      <c r="M37" s="5">
        <f>52086 / 86400</f>
        <v>0.6028472222222222</v>
      </c>
    </row>
    <row r="38" spans="1:13" x14ac:dyDescent="0.25">
      <c r="A38" t="s">
        <v>409</v>
      </c>
      <c r="B38" s="3">
        <v>45704.308877314819</v>
      </c>
      <c r="C38" t="s">
        <v>80</v>
      </c>
      <c r="D38" s="3">
        <v>45704.882314814815</v>
      </c>
      <c r="E38" t="s">
        <v>80</v>
      </c>
      <c r="F38" s="4">
        <v>0.26200000000000001</v>
      </c>
      <c r="G38" s="4">
        <v>81917.180999999997</v>
      </c>
      <c r="H38" s="4">
        <v>81917.442999999999</v>
      </c>
      <c r="I38" s="5">
        <f>1718 / 86400</f>
        <v>1.9884259259259258E-2</v>
      </c>
      <c r="J38" t="s">
        <v>30</v>
      </c>
      <c r="K38" t="s">
        <v>55</v>
      </c>
      <c r="L38" s="5">
        <f>1892 / 86400</f>
        <v>2.1898148148148149E-2</v>
      </c>
      <c r="M38" s="5">
        <f>84506 / 86400</f>
        <v>0.97807870370370376</v>
      </c>
    </row>
    <row r="39" spans="1:13" x14ac:dyDescent="0.25">
      <c r="A39" t="s">
        <v>410</v>
      </c>
      <c r="B39" s="3">
        <v>45704</v>
      </c>
      <c r="C39" t="s">
        <v>81</v>
      </c>
      <c r="D39" s="3">
        <v>45704.801168981481</v>
      </c>
      <c r="E39" t="s">
        <v>82</v>
      </c>
      <c r="F39" s="4">
        <v>206.227</v>
      </c>
      <c r="G39" s="4">
        <v>470293.45600000001</v>
      </c>
      <c r="H39" s="4">
        <v>470499.68300000002</v>
      </c>
      <c r="I39" s="5">
        <f>13582 / 86400</f>
        <v>0.15719907407407407</v>
      </c>
      <c r="J39" t="s">
        <v>36</v>
      </c>
      <c r="K39" t="s">
        <v>51</v>
      </c>
      <c r="L39" s="5">
        <f>40440 / 86400</f>
        <v>0.46805555555555556</v>
      </c>
      <c r="M39" s="5">
        <f>45952 / 86400</f>
        <v>0.5318518518518518</v>
      </c>
    </row>
    <row r="40" spans="1:13" x14ac:dyDescent="0.25">
      <c r="A40" t="s">
        <v>411</v>
      </c>
      <c r="B40" s="3">
        <v>45704.00880787037</v>
      </c>
      <c r="C40" t="s">
        <v>83</v>
      </c>
      <c r="D40" s="3">
        <v>45704.957291666666</v>
      </c>
      <c r="E40" t="s">
        <v>83</v>
      </c>
      <c r="F40" s="4">
        <v>0</v>
      </c>
      <c r="G40" s="4">
        <v>428213.33600000001</v>
      </c>
      <c r="H40" s="4">
        <v>428213.33600000001</v>
      </c>
      <c r="I40" s="5">
        <f>30614 / 86400</f>
        <v>0.35432870370370373</v>
      </c>
      <c r="J40" t="s">
        <v>55</v>
      </c>
      <c r="K40" t="s">
        <v>55</v>
      </c>
      <c r="L40" s="5">
        <f>30762 / 86400</f>
        <v>0.35604166666666665</v>
      </c>
      <c r="M40" s="5">
        <f>55626 / 86400</f>
        <v>0.6438194444444445</v>
      </c>
    </row>
    <row r="41" spans="1:13" x14ac:dyDescent="0.25">
      <c r="A41" t="s">
        <v>412</v>
      </c>
      <c r="B41" s="3">
        <v>45704.302835648152</v>
      </c>
      <c r="C41" t="s">
        <v>28</v>
      </c>
      <c r="D41" s="3">
        <v>45704.784837962958</v>
      </c>
      <c r="E41" t="s">
        <v>28</v>
      </c>
      <c r="F41" s="4">
        <v>159.94</v>
      </c>
      <c r="G41" s="4">
        <v>575995.20799999998</v>
      </c>
      <c r="H41" s="4">
        <v>576155.14800000004</v>
      </c>
      <c r="I41" s="5">
        <f>9408 / 86400</f>
        <v>0.10888888888888888</v>
      </c>
      <c r="J41" t="s">
        <v>75</v>
      </c>
      <c r="K41" t="s">
        <v>48</v>
      </c>
      <c r="L41" s="5">
        <f>34063 / 86400</f>
        <v>0.39424768518518516</v>
      </c>
      <c r="M41" s="5">
        <f>52331 / 86400</f>
        <v>0.60568287037037039</v>
      </c>
    </row>
    <row r="42" spans="1:13" x14ac:dyDescent="0.25">
      <c r="A42" t="s">
        <v>413</v>
      </c>
      <c r="B42" s="3">
        <v>45704.551365740743</v>
      </c>
      <c r="C42" t="s">
        <v>84</v>
      </c>
      <c r="D42" s="3">
        <v>45704.988206018519</v>
      </c>
      <c r="E42" t="s">
        <v>84</v>
      </c>
      <c r="F42" s="4">
        <v>97.135000000000005</v>
      </c>
      <c r="G42" s="4">
        <v>401055.712</v>
      </c>
      <c r="H42" s="4">
        <v>401152.84700000001</v>
      </c>
      <c r="I42" s="5">
        <f>4798 / 86400</f>
        <v>5.5532407407407405E-2</v>
      </c>
      <c r="J42" t="s">
        <v>85</v>
      </c>
      <c r="K42" t="s">
        <v>33</v>
      </c>
      <c r="L42" s="5">
        <f>17318 / 86400</f>
        <v>0.20043981481481482</v>
      </c>
      <c r="M42" s="5">
        <f>69081 / 86400</f>
        <v>0.79954861111111108</v>
      </c>
    </row>
    <row r="43" spans="1:13" x14ac:dyDescent="0.25">
      <c r="A43" t="s">
        <v>414</v>
      </c>
      <c r="B43" s="3">
        <v>45704.562048611115</v>
      </c>
      <c r="C43" t="s">
        <v>28</v>
      </c>
      <c r="D43" s="3">
        <v>45704.706319444449</v>
      </c>
      <c r="E43" t="s">
        <v>28</v>
      </c>
      <c r="F43" s="4">
        <v>0.66999999999999993</v>
      </c>
      <c r="G43" s="4">
        <v>382893.78200000001</v>
      </c>
      <c r="H43" s="4">
        <v>382894.45199999999</v>
      </c>
      <c r="I43" s="5">
        <f>539 / 86400</f>
        <v>6.2384259259259259E-3</v>
      </c>
      <c r="J43" t="s">
        <v>86</v>
      </c>
      <c r="K43" t="s">
        <v>87</v>
      </c>
      <c r="L43" s="5">
        <f>880 / 86400</f>
        <v>1.0185185185185186E-2</v>
      </c>
      <c r="M43" s="5">
        <f>85518 / 86400</f>
        <v>0.98979166666666663</v>
      </c>
    </row>
    <row r="44" spans="1:13" x14ac:dyDescent="0.25">
      <c r="A44" t="s">
        <v>415</v>
      </c>
      <c r="B44" s="3">
        <v>45704.29760416667</v>
      </c>
      <c r="C44" t="s">
        <v>21</v>
      </c>
      <c r="D44" s="3">
        <v>45704.327291666668</v>
      </c>
      <c r="E44" t="s">
        <v>21</v>
      </c>
      <c r="F44" s="4">
        <v>3.1430000000000002</v>
      </c>
      <c r="G44" s="4">
        <v>546695.652</v>
      </c>
      <c r="H44" s="4">
        <v>546698.79500000004</v>
      </c>
      <c r="I44" s="5">
        <f>958 / 86400</f>
        <v>1.1087962962962963E-2</v>
      </c>
      <c r="J44" t="s">
        <v>35</v>
      </c>
      <c r="K44" t="s">
        <v>88</v>
      </c>
      <c r="L44" s="5">
        <f>1783 / 86400</f>
        <v>2.0636574074074075E-2</v>
      </c>
      <c r="M44" s="5">
        <f>84613 / 86400</f>
        <v>0.97931712962962958</v>
      </c>
    </row>
    <row r="45" spans="1:13" x14ac:dyDescent="0.25">
      <c r="A45" t="s">
        <v>416</v>
      </c>
      <c r="B45" s="3">
        <v>45704</v>
      </c>
      <c r="C45" t="s">
        <v>89</v>
      </c>
      <c r="D45" s="3">
        <v>45704.99998842593</v>
      </c>
      <c r="E45" t="s">
        <v>90</v>
      </c>
      <c r="F45" s="4">
        <v>190.03299999999999</v>
      </c>
      <c r="G45" s="4">
        <v>104418.518</v>
      </c>
      <c r="H45" s="4">
        <v>104608.55100000001</v>
      </c>
      <c r="I45" s="5">
        <f>15342 / 86400</f>
        <v>0.17756944444444445</v>
      </c>
      <c r="J45" t="s">
        <v>91</v>
      </c>
      <c r="K45" t="s">
        <v>44</v>
      </c>
      <c r="L45" s="5">
        <f>36654 / 86400</f>
        <v>0.42423611111111109</v>
      </c>
      <c r="M45" s="5">
        <f>49745 / 86400</f>
        <v>0.57575231481481481</v>
      </c>
    </row>
    <row r="46" spans="1:13" x14ac:dyDescent="0.25">
      <c r="A46" t="s">
        <v>417</v>
      </c>
      <c r="B46" s="3">
        <v>45704.59956018519</v>
      </c>
      <c r="C46" t="s">
        <v>92</v>
      </c>
      <c r="D46" s="3">
        <v>45704.99732638889</v>
      </c>
      <c r="E46" t="s">
        <v>92</v>
      </c>
      <c r="F46" s="4">
        <v>22.060000000000002</v>
      </c>
      <c r="G46" s="4">
        <v>46443.277999999998</v>
      </c>
      <c r="H46" s="4">
        <v>46465.338000000003</v>
      </c>
      <c r="I46" s="5">
        <f>957 / 86400</f>
        <v>1.1076388888888889E-2</v>
      </c>
      <c r="J46" t="s">
        <v>93</v>
      </c>
      <c r="K46" t="s">
        <v>94</v>
      </c>
      <c r="L46" s="5">
        <f>3108 / 86400</f>
        <v>3.5972222222222225E-2</v>
      </c>
      <c r="M46" s="5">
        <f>83291 / 86400</f>
        <v>0.96401620370370367</v>
      </c>
    </row>
    <row r="47" spans="1:13" x14ac:dyDescent="0.25">
      <c r="A47" t="s">
        <v>418</v>
      </c>
      <c r="B47" s="3">
        <v>45704</v>
      </c>
      <c r="C47" t="s">
        <v>83</v>
      </c>
      <c r="D47" s="3">
        <v>45704.995150462964</v>
      </c>
      <c r="E47" t="s">
        <v>95</v>
      </c>
      <c r="F47" s="4">
        <v>366.79100000000005</v>
      </c>
      <c r="G47" s="4">
        <v>41224.65</v>
      </c>
      <c r="H47" s="4">
        <v>41591.440999999999</v>
      </c>
      <c r="I47" s="5">
        <f>17111 / 86400</f>
        <v>0.19804398148148147</v>
      </c>
      <c r="J47" t="s">
        <v>96</v>
      </c>
      <c r="K47" t="s">
        <v>20</v>
      </c>
      <c r="L47" s="5">
        <f>60870 / 86400</f>
        <v>0.70451388888888888</v>
      </c>
      <c r="M47" s="5">
        <f>25529 / 86400</f>
        <v>0.29547453703703702</v>
      </c>
    </row>
    <row r="48" spans="1:13" x14ac:dyDescent="0.25">
      <c r="A48" t="s">
        <v>419</v>
      </c>
      <c r="B48" s="3">
        <v>45704.385775462964</v>
      </c>
      <c r="C48" t="s">
        <v>97</v>
      </c>
      <c r="D48" s="3">
        <v>45704.906412037039</v>
      </c>
      <c r="E48" t="s">
        <v>97</v>
      </c>
      <c r="F48" s="4">
        <v>210.13</v>
      </c>
      <c r="G48" s="4">
        <v>192729.158</v>
      </c>
      <c r="H48" s="4">
        <v>192939.288</v>
      </c>
      <c r="I48" s="5">
        <f>9637 / 86400</f>
        <v>0.11153935185185185</v>
      </c>
      <c r="J48" t="s">
        <v>43</v>
      </c>
      <c r="K48" t="s">
        <v>33</v>
      </c>
      <c r="L48" s="5">
        <f>37604 / 86400</f>
        <v>0.4352314814814815</v>
      </c>
      <c r="M48" s="5">
        <f>48789 / 86400</f>
        <v>0.56468750000000001</v>
      </c>
    </row>
    <row r="49" spans="1:13" x14ac:dyDescent="0.25">
      <c r="A49" t="s">
        <v>420</v>
      </c>
      <c r="B49" s="3">
        <v>45704.272673611107</v>
      </c>
      <c r="C49" t="s">
        <v>80</v>
      </c>
      <c r="D49" s="3">
        <v>45704.830104166671</v>
      </c>
      <c r="E49" t="s">
        <v>80</v>
      </c>
      <c r="F49" s="4">
        <v>206.29499999999999</v>
      </c>
      <c r="G49" s="4">
        <v>523628.68099999998</v>
      </c>
      <c r="H49" s="4">
        <v>523834.97600000002</v>
      </c>
      <c r="I49" s="5">
        <f>13675 / 86400</f>
        <v>0.15827546296296297</v>
      </c>
      <c r="J49" t="s">
        <v>91</v>
      </c>
      <c r="K49" t="s">
        <v>51</v>
      </c>
      <c r="L49" s="5">
        <f>40518 / 86400</f>
        <v>0.46895833333333331</v>
      </c>
      <c r="M49" s="5">
        <f>45878 / 86400</f>
        <v>0.53099537037037037</v>
      </c>
    </row>
    <row r="50" spans="1:13" x14ac:dyDescent="0.25">
      <c r="A50" t="s">
        <v>421</v>
      </c>
      <c r="B50" s="3">
        <v>45704.265960648147</v>
      </c>
      <c r="C50" t="s">
        <v>98</v>
      </c>
      <c r="D50" s="3">
        <v>45704.835983796293</v>
      </c>
      <c r="E50" t="s">
        <v>98</v>
      </c>
      <c r="F50" s="4">
        <v>199.88299999999998</v>
      </c>
      <c r="G50" s="4">
        <v>23408.991000000002</v>
      </c>
      <c r="H50" s="4">
        <v>23608.874</v>
      </c>
      <c r="I50" s="5">
        <f>11577 / 86400</f>
        <v>0.13399305555555555</v>
      </c>
      <c r="J50" t="s">
        <v>99</v>
      </c>
      <c r="K50" t="s">
        <v>51</v>
      </c>
      <c r="L50" s="5">
        <f>40875 / 86400</f>
        <v>0.47309027777777779</v>
      </c>
      <c r="M50" s="5">
        <f>45521 / 86400</f>
        <v>0.52686342592592594</v>
      </c>
    </row>
    <row r="51" spans="1:13" x14ac:dyDescent="0.25">
      <c r="A51" t="s">
        <v>422</v>
      </c>
      <c r="B51" s="3">
        <v>45704.278587962966</v>
      </c>
      <c r="C51" t="s">
        <v>100</v>
      </c>
      <c r="D51" s="3">
        <v>45704.74900462963</v>
      </c>
      <c r="E51" t="s">
        <v>100</v>
      </c>
      <c r="F51" s="4">
        <v>188.24</v>
      </c>
      <c r="G51" s="4">
        <v>5617.1850000000004</v>
      </c>
      <c r="H51" s="4">
        <v>5805.4260000000004</v>
      </c>
      <c r="I51" s="5">
        <f>9063 / 86400</f>
        <v>0.10489583333333333</v>
      </c>
      <c r="J51" t="s">
        <v>47</v>
      </c>
      <c r="K51" t="s">
        <v>23</v>
      </c>
      <c r="L51" s="5">
        <f>32500 / 86400</f>
        <v>0.37615740740740738</v>
      </c>
      <c r="M51" s="5">
        <f>53893 / 86400</f>
        <v>0.62376157407407407</v>
      </c>
    </row>
    <row r="52" spans="1:13" x14ac:dyDescent="0.25">
      <c r="A52" t="s">
        <v>423</v>
      </c>
      <c r="B52" s="3">
        <v>45704.30431712963</v>
      </c>
      <c r="C52" t="s">
        <v>28</v>
      </c>
      <c r="D52" s="3">
        <v>45704.803541666668</v>
      </c>
      <c r="E52" t="s">
        <v>28</v>
      </c>
      <c r="F52" s="4">
        <v>172.86799999999999</v>
      </c>
      <c r="G52" s="4">
        <v>408620.625</v>
      </c>
      <c r="H52" s="4">
        <v>408793.49300000002</v>
      </c>
      <c r="I52" s="5">
        <f>4275 / 86400</f>
        <v>4.9479166666666664E-2</v>
      </c>
      <c r="J52" t="s">
        <v>101</v>
      </c>
      <c r="K52" t="s">
        <v>102</v>
      </c>
      <c r="L52" s="5">
        <f>18864 / 86400</f>
        <v>0.21833333333333332</v>
      </c>
      <c r="M52" s="5">
        <f>67530 / 86400</f>
        <v>0.78159722222222228</v>
      </c>
    </row>
    <row r="53" spans="1:13" x14ac:dyDescent="0.25">
      <c r="A53" t="s">
        <v>424</v>
      </c>
      <c r="B53" s="3">
        <v>45704.246724537035</v>
      </c>
      <c r="C53" t="s">
        <v>79</v>
      </c>
      <c r="D53" s="3">
        <v>45704.99998842593</v>
      </c>
      <c r="E53" t="s">
        <v>83</v>
      </c>
      <c r="F53" s="4">
        <v>298.85300000000001</v>
      </c>
      <c r="G53" s="4">
        <v>550880.70799999998</v>
      </c>
      <c r="H53" s="4">
        <v>551179.56099999999</v>
      </c>
      <c r="I53" s="5">
        <f>21578 / 86400</f>
        <v>0.24974537037037037</v>
      </c>
      <c r="J53" t="s">
        <v>103</v>
      </c>
      <c r="K53" t="s">
        <v>48</v>
      </c>
      <c r="L53" s="5">
        <f>62356 / 86400</f>
        <v>0.72171296296296295</v>
      </c>
      <c r="M53" s="5">
        <f>24043 / 86400</f>
        <v>0.27827546296296296</v>
      </c>
    </row>
    <row r="54" spans="1:13" x14ac:dyDescent="0.25">
      <c r="A54" t="s">
        <v>425</v>
      </c>
      <c r="B54" s="3">
        <v>45704</v>
      </c>
      <c r="C54" t="s">
        <v>104</v>
      </c>
      <c r="D54" s="3">
        <v>45704.99998842593</v>
      </c>
      <c r="E54" t="s">
        <v>105</v>
      </c>
      <c r="F54" s="4">
        <v>2311.7350000000074</v>
      </c>
      <c r="G54" s="4">
        <v>54949.125</v>
      </c>
      <c r="H54" s="4">
        <v>57260.880000000005</v>
      </c>
      <c r="I54" s="5">
        <f>24566 / 86400</f>
        <v>0.28432870370370372</v>
      </c>
      <c r="J54" t="s">
        <v>34</v>
      </c>
      <c r="K54" t="s">
        <v>71</v>
      </c>
      <c r="L54" s="5">
        <f>81648 / 86400</f>
        <v>0.94499999999999995</v>
      </c>
      <c r="M54" s="5">
        <f>4750 / 86400</f>
        <v>5.4976851851851853E-2</v>
      </c>
    </row>
    <row r="55" spans="1:13" x14ac:dyDescent="0.25">
      <c r="A55" t="s">
        <v>426</v>
      </c>
      <c r="B55" s="3">
        <v>45704.006550925929</v>
      </c>
      <c r="C55" t="s">
        <v>106</v>
      </c>
      <c r="D55" s="3">
        <v>45704.99998842593</v>
      </c>
      <c r="E55" t="s">
        <v>107</v>
      </c>
      <c r="F55" s="4">
        <v>296.48</v>
      </c>
      <c r="G55" s="4">
        <v>60159.105000000003</v>
      </c>
      <c r="H55" s="4">
        <v>60455.584999999999</v>
      </c>
      <c r="I55" s="5">
        <f>16551 / 86400</f>
        <v>0.1915625</v>
      </c>
      <c r="J55" t="s">
        <v>108</v>
      </c>
      <c r="K55" t="s">
        <v>33</v>
      </c>
      <c r="L55" s="5">
        <f>52715 / 86400</f>
        <v>0.61012731481481486</v>
      </c>
      <c r="M55" s="5">
        <f>33671 / 86400</f>
        <v>0.38971064814814815</v>
      </c>
    </row>
    <row r="56" spans="1:13" x14ac:dyDescent="0.25">
      <c r="A56" t="s">
        <v>427</v>
      </c>
      <c r="B56" s="3">
        <v>45704</v>
      </c>
      <c r="C56" t="s">
        <v>78</v>
      </c>
      <c r="D56" s="3">
        <v>45704.983807870369</v>
      </c>
      <c r="E56" t="s">
        <v>39</v>
      </c>
      <c r="F56" s="4">
        <v>231.108</v>
      </c>
      <c r="G56" s="4">
        <v>63956.396999999997</v>
      </c>
      <c r="H56" s="4">
        <v>64187.504999999997</v>
      </c>
      <c r="I56" s="5">
        <f>14681 / 86400</f>
        <v>0.16991898148148149</v>
      </c>
      <c r="J56" t="s">
        <v>32</v>
      </c>
      <c r="K56" t="s">
        <v>33</v>
      </c>
      <c r="L56" s="5">
        <f>42592 / 86400</f>
        <v>0.49296296296296294</v>
      </c>
      <c r="M56" s="5">
        <f>43806 / 86400</f>
        <v>0.50701388888888888</v>
      </c>
    </row>
    <row r="57" spans="1:13" x14ac:dyDescent="0.25">
      <c r="A57" t="s">
        <v>428</v>
      </c>
      <c r="B57" s="3">
        <v>45704</v>
      </c>
      <c r="C57" t="s">
        <v>109</v>
      </c>
      <c r="D57" s="3">
        <v>45704.902708333335</v>
      </c>
      <c r="E57" t="s">
        <v>39</v>
      </c>
      <c r="F57" s="4">
        <v>318.56600000000003</v>
      </c>
      <c r="G57" s="4">
        <v>292212.76400000002</v>
      </c>
      <c r="H57" s="4">
        <v>292531.33</v>
      </c>
      <c r="I57" s="5">
        <f>19940 / 86400</f>
        <v>0.23078703703703704</v>
      </c>
      <c r="J57" t="s">
        <v>110</v>
      </c>
      <c r="K57" t="s">
        <v>33</v>
      </c>
      <c r="L57" s="5">
        <f>58660 / 86400</f>
        <v>0.67893518518518514</v>
      </c>
      <c r="M57" s="5">
        <f>27738 / 86400</f>
        <v>0.32104166666666667</v>
      </c>
    </row>
    <row r="58" spans="1:13" x14ac:dyDescent="0.25">
      <c r="A58" s="6" t="s">
        <v>111</v>
      </c>
      <c r="B58" s="6" t="s">
        <v>112</v>
      </c>
      <c r="C58" s="6" t="s">
        <v>112</v>
      </c>
      <c r="D58" s="6" t="s">
        <v>112</v>
      </c>
      <c r="E58" s="6" t="s">
        <v>112</v>
      </c>
      <c r="F58" s="7">
        <v>10919.83867588324</v>
      </c>
      <c r="G58" s="6" t="s">
        <v>112</v>
      </c>
      <c r="H58" s="6" t="s">
        <v>112</v>
      </c>
      <c r="I58" s="8">
        <f>530240 / 86400</f>
        <v>6.1370370370370368</v>
      </c>
      <c r="J58" s="6" t="s">
        <v>112</v>
      </c>
      <c r="K58" s="6" t="s">
        <v>112</v>
      </c>
      <c r="L58" s="8">
        <f>1670871 / 86400</f>
        <v>19.338784722222222</v>
      </c>
      <c r="M58" s="8">
        <f>2648881 / 86400</f>
        <v>30.658344907407407</v>
      </c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3" s="9" customFormat="1" x14ac:dyDescent="0.25">
      <c r="A60" s="14" t="s">
        <v>113</v>
      </c>
      <c r="B60" s="14"/>
      <c r="C60" s="14"/>
      <c r="D60" s="14"/>
      <c r="E60" s="14"/>
      <c r="F60" s="14"/>
      <c r="G60" s="14"/>
      <c r="H60" s="14"/>
      <c r="I60" s="14"/>
      <c r="J60" s="14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3" s="10" customFormat="1" ht="20.100000000000001" customHeight="1" x14ac:dyDescent="0.35">
      <c r="A63" s="15" t="s">
        <v>379</v>
      </c>
      <c r="B63" s="15"/>
      <c r="C63" s="15"/>
      <c r="D63" s="15"/>
      <c r="E63" s="15"/>
      <c r="F63" s="15"/>
      <c r="G63" s="15"/>
      <c r="H63" s="15"/>
      <c r="I63" s="15"/>
      <c r="J63" s="15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2" ht="30" x14ac:dyDescent="0.25">
      <c r="A65" s="2" t="s">
        <v>6</v>
      </c>
      <c r="B65" s="2" t="s">
        <v>7</v>
      </c>
      <c r="C65" s="2" t="s">
        <v>8</v>
      </c>
      <c r="D65" s="2" t="s">
        <v>9</v>
      </c>
      <c r="E65" s="2" t="s">
        <v>10</v>
      </c>
      <c r="F65" s="2" t="s">
        <v>11</v>
      </c>
      <c r="G65" s="2" t="s">
        <v>12</v>
      </c>
      <c r="H65" s="2" t="s">
        <v>13</v>
      </c>
      <c r="I65" s="2" t="s">
        <v>14</v>
      </c>
      <c r="J65" s="2" t="s">
        <v>15</v>
      </c>
      <c r="K65" s="2" t="s">
        <v>16</v>
      </c>
      <c r="L65" s="2" t="s">
        <v>17</v>
      </c>
    </row>
    <row r="66" spans="1:12" x14ac:dyDescent="0.25">
      <c r="A66" s="3">
        <v>45704.246145833335</v>
      </c>
      <c r="B66" t="s">
        <v>18</v>
      </c>
      <c r="C66" s="3">
        <v>45704.264074074075</v>
      </c>
      <c r="D66" t="s">
        <v>114</v>
      </c>
      <c r="E66" s="4">
        <v>9.1080000000000005</v>
      </c>
      <c r="F66" s="4">
        <v>514612.07400000002</v>
      </c>
      <c r="G66" s="4">
        <v>514621.18199999997</v>
      </c>
      <c r="H66" s="5">
        <f>559 / 86400</f>
        <v>6.4699074074074077E-3</v>
      </c>
      <c r="I66" t="s">
        <v>59</v>
      </c>
      <c r="J66" t="s">
        <v>23</v>
      </c>
      <c r="K66" s="5">
        <f>1548 / 86400</f>
        <v>1.7916666666666668E-2</v>
      </c>
      <c r="L66" s="5">
        <f>21438 / 86400</f>
        <v>0.24812500000000001</v>
      </c>
    </row>
    <row r="67" spans="1:12" x14ac:dyDescent="0.25">
      <c r="A67" s="3">
        <v>45704.266053240739</v>
      </c>
      <c r="B67" t="s">
        <v>114</v>
      </c>
      <c r="C67" s="3">
        <v>45704.325196759259</v>
      </c>
      <c r="D67" t="s">
        <v>115</v>
      </c>
      <c r="E67" s="4">
        <v>39.134999999999998</v>
      </c>
      <c r="F67" s="4">
        <v>514621.18199999997</v>
      </c>
      <c r="G67" s="4">
        <v>514660.31699999998</v>
      </c>
      <c r="H67" s="5">
        <f>818 / 86400</f>
        <v>9.4675925925925934E-3</v>
      </c>
      <c r="I67" t="s">
        <v>32</v>
      </c>
      <c r="J67" t="s">
        <v>29</v>
      </c>
      <c r="K67" s="5">
        <f>5110 / 86400</f>
        <v>5.9143518518518519E-2</v>
      </c>
      <c r="L67" s="5">
        <f>14 / 86400</f>
        <v>1.6203703703703703E-4</v>
      </c>
    </row>
    <row r="68" spans="1:12" x14ac:dyDescent="0.25">
      <c r="A68" s="3">
        <v>45704.325358796297</v>
      </c>
      <c r="B68" t="s">
        <v>115</v>
      </c>
      <c r="C68" s="3">
        <v>45704.32849537037</v>
      </c>
      <c r="D68" t="s">
        <v>73</v>
      </c>
      <c r="E68" s="4">
        <v>1.2949999999999999</v>
      </c>
      <c r="F68" s="4">
        <v>514660.31699999998</v>
      </c>
      <c r="G68" s="4">
        <v>514661.61200000002</v>
      </c>
      <c r="H68" s="5">
        <f>0 / 86400</f>
        <v>0</v>
      </c>
      <c r="I68" t="s">
        <v>116</v>
      </c>
      <c r="J68" t="s">
        <v>48</v>
      </c>
      <c r="K68" s="5">
        <f>271 / 86400</f>
        <v>3.1365740740740742E-3</v>
      </c>
      <c r="L68" s="5">
        <f>527 / 86400</f>
        <v>6.099537037037037E-3</v>
      </c>
    </row>
    <row r="69" spans="1:12" x14ac:dyDescent="0.25">
      <c r="A69" s="3">
        <v>45704.334594907406</v>
      </c>
      <c r="B69" t="s">
        <v>73</v>
      </c>
      <c r="C69" s="3">
        <v>45704.42288194444</v>
      </c>
      <c r="D69" t="s">
        <v>46</v>
      </c>
      <c r="E69" s="4">
        <v>49.792000000000002</v>
      </c>
      <c r="F69" s="4">
        <v>514661.61200000002</v>
      </c>
      <c r="G69" s="4">
        <v>514711.40399999998</v>
      </c>
      <c r="H69" s="5">
        <f>1580 / 86400</f>
        <v>1.8287037037037036E-2</v>
      </c>
      <c r="I69" t="s">
        <v>19</v>
      </c>
      <c r="J69" t="s">
        <v>68</v>
      </c>
      <c r="K69" s="5">
        <f>7627 / 86400</f>
        <v>8.8275462962962958E-2</v>
      </c>
      <c r="L69" s="5">
        <f>542 / 86400</f>
        <v>6.2731481481481484E-3</v>
      </c>
    </row>
    <row r="70" spans="1:12" x14ac:dyDescent="0.25">
      <c r="A70" s="3">
        <v>45704.429155092592</v>
      </c>
      <c r="B70" t="s">
        <v>46</v>
      </c>
      <c r="C70" s="3">
        <v>45704.433449074073</v>
      </c>
      <c r="D70" t="s">
        <v>117</v>
      </c>
      <c r="E70" s="4">
        <v>0.94699999999999995</v>
      </c>
      <c r="F70" s="4">
        <v>514711.40399999998</v>
      </c>
      <c r="G70" s="4">
        <v>514712.35100000002</v>
      </c>
      <c r="H70" s="5">
        <f>139 / 86400</f>
        <v>1.6087962962962963E-3</v>
      </c>
      <c r="I70" t="s">
        <v>29</v>
      </c>
      <c r="J70" t="s">
        <v>30</v>
      </c>
      <c r="K70" s="5">
        <f>370 / 86400</f>
        <v>4.2824074074074075E-3</v>
      </c>
      <c r="L70" s="5">
        <f>1164 / 86400</f>
        <v>1.3472222222222222E-2</v>
      </c>
    </row>
    <row r="71" spans="1:12" x14ac:dyDescent="0.25">
      <c r="A71" s="3">
        <v>45704.446921296301</v>
      </c>
      <c r="B71" t="s">
        <v>117</v>
      </c>
      <c r="C71" s="3">
        <v>45704.452916666662</v>
      </c>
      <c r="D71" t="s">
        <v>118</v>
      </c>
      <c r="E71" s="4">
        <v>1.121</v>
      </c>
      <c r="F71" s="4">
        <v>514712.35100000002</v>
      </c>
      <c r="G71" s="4">
        <v>514713.47200000001</v>
      </c>
      <c r="H71" s="5">
        <f>199 / 86400</f>
        <v>2.3032407407407407E-3</v>
      </c>
      <c r="I71" t="s">
        <v>29</v>
      </c>
      <c r="J71" t="s">
        <v>119</v>
      </c>
      <c r="K71" s="5">
        <f>517 / 86400</f>
        <v>5.9837962962962961E-3</v>
      </c>
      <c r="L71" s="5">
        <f>104 / 86400</f>
        <v>1.2037037037037038E-3</v>
      </c>
    </row>
    <row r="72" spans="1:12" x14ac:dyDescent="0.25">
      <c r="A72" s="3">
        <v>45704.45412037037</v>
      </c>
      <c r="B72" t="s">
        <v>118</v>
      </c>
      <c r="C72" s="3">
        <v>45704.561261574076</v>
      </c>
      <c r="D72" t="s">
        <v>120</v>
      </c>
      <c r="E72" s="4">
        <v>49.573</v>
      </c>
      <c r="F72" s="4">
        <v>514713.47200000001</v>
      </c>
      <c r="G72" s="4">
        <v>514763.04499999998</v>
      </c>
      <c r="H72" s="5">
        <f>2279 / 86400</f>
        <v>2.6377314814814815E-2</v>
      </c>
      <c r="I72" t="s">
        <v>53</v>
      </c>
      <c r="J72" t="s">
        <v>44</v>
      </c>
      <c r="K72" s="5">
        <f>9257 / 86400</f>
        <v>0.1071412037037037</v>
      </c>
      <c r="L72" s="5">
        <f>197 / 86400</f>
        <v>2.2800925925925927E-3</v>
      </c>
    </row>
    <row r="73" spans="1:12" x14ac:dyDescent="0.25">
      <c r="A73" s="3">
        <v>45704.563541666663</v>
      </c>
      <c r="B73" t="s">
        <v>120</v>
      </c>
      <c r="C73" s="3">
        <v>45704.623067129629</v>
      </c>
      <c r="D73" t="s">
        <v>121</v>
      </c>
      <c r="E73" s="4">
        <v>36.42</v>
      </c>
      <c r="F73" s="4">
        <v>514763.04499999998</v>
      </c>
      <c r="G73" s="4">
        <v>514799.46500000003</v>
      </c>
      <c r="H73" s="5">
        <f>1020 / 86400</f>
        <v>1.1805555555555555E-2</v>
      </c>
      <c r="I73" t="s">
        <v>47</v>
      </c>
      <c r="J73" t="s">
        <v>122</v>
      </c>
      <c r="K73" s="5">
        <f>5142 / 86400</f>
        <v>5.9513888888888887E-2</v>
      </c>
      <c r="L73" s="5">
        <f>1036 / 86400</f>
        <v>1.1990740740740741E-2</v>
      </c>
    </row>
    <row r="74" spans="1:12" x14ac:dyDescent="0.25">
      <c r="A74" s="3">
        <v>45704.635057870371</v>
      </c>
      <c r="B74" t="s">
        <v>121</v>
      </c>
      <c r="C74" s="3">
        <v>45704.649409722224</v>
      </c>
      <c r="D74" t="s">
        <v>123</v>
      </c>
      <c r="E74" s="4">
        <v>6.3520000000000003</v>
      </c>
      <c r="F74" s="4">
        <v>514799.46500000003</v>
      </c>
      <c r="G74" s="4">
        <v>514805.81699999998</v>
      </c>
      <c r="H74" s="5">
        <f>399 / 86400</f>
        <v>4.6180555555555558E-3</v>
      </c>
      <c r="I74" t="s">
        <v>124</v>
      </c>
      <c r="J74" t="s">
        <v>51</v>
      </c>
      <c r="K74" s="5">
        <f>1239 / 86400</f>
        <v>1.4340277777777778E-2</v>
      </c>
      <c r="L74" s="5">
        <f>196 / 86400</f>
        <v>2.2685185185185187E-3</v>
      </c>
    </row>
    <row r="75" spans="1:12" x14ac:dyDescent="0.25">
      <c r="A75" s="3">
        <v>45704.651678240742</v>
      </c>
      <c r="B75" t="s">
        <v>123</v>
      </c>
      <c r="C75" s="3">
        <v>45704.666006944448</v>
      </c>
      <c r="D75" t="s">
        <v>125</v>
      </c>
      <c r="E75" s="4">
        <v>5.6749999999999998</v>
      </c>
      <c r="F75" s="4">
        <v>514805.81699999998</v>
      </c>
      <c r="G75" s="4">
        <v>514811.49200000003</v>
      </c>
      <c r="H75" s="5">
        <f>139 / 86400</f>
        <v>1.6087962962962963E-3</v>
      </c>
      <c r="I75" t="s">
        <v>126</v>
      </c>
      <c r="J75" t="s">
        <v>48</v>
      </c>
      <c r="K75" s="5">
        <f>1238 / 86400</f>
        <v>1.4328703703703703E-2</v>
      </c>
      <c r="L75" s="5">
        <f>9809 / 86400</f>
        <v>0.1135300925925926</v>
      </c>
    </row>
    <row r="76" spans="1:12" x14ac:dyDescent="0.25">
      <c r="A76" s="3">
        <v>45704.779537037037</v>
      </c>
      <c r="B76" t="s">
        <v>125</v>
      </c>
      <c r="C76" s="3">
        <v>45704.781273148154</v>
      </c>
      <c r="D76" t="s">
        <v>125</v>
      </c>
      <c r="E76" s="4">
        <v>5.5E-2</v>
      </c>
      <c r="F76" s="4">
        <v>514811.49200000003</v>
      </c>
      <c r="G76" s="4">
        <v>514811.54700000002</v>
      </c>
      <c r="H76" s="5">
        <f>120 / 86400</f>
        <v>1.3888888888888889E-3</v>
      </c>
      <c r="I76" t="s">
        <v>127</v>
      </c>
      <c r="J76" t="s">
        <v>128</v>
      </c>
      <c r="K76" s="5">
        <f>150 / 86400</f>
        <v>1.736111111111111E-3</v>
      </c>
      <c r="L76" s="5">
        <f>89 / 86400</f>
        <v>1.0300925925925926E-3</v>
      </c>
    </row>
    <row r="77" spans="1:12" x14ac:dyDescent="0.25">
      <c r="A77" s="3">
        <v>45704.78230324074</v>
      </c>
      <c r="B77" t="s">
        <v>125</v>
      </c>
      <c r="C77" s="3">
        <v>45704.782893518517</v>
      </c>
      <c r="D77" t="s">
        <v>125</v>
      </c>
      <c r="E77" s="4">
        <v>2.4E-2</v>
      </c>
      <c r="F77" s="4">
        <v>514811.54700000002</v>
      </c>
      <c r="G77" s="4">
        <v>514811.571</v>
      </c>
      <c r="H77" s="5">
        <f>20 / 86400</f>
        <v>2.3148148148148149E-4</v>
      </c>
      <c r="I77" t="s">
        <v>127</v>
      </c>
      <c r="J77" t="s">
        <v>129</v>
      </c>
      <c r="K77" s="5">
        <f>51 / 86400</f>
        <v>5.9027777777777778E-4</v>
      </c>
      <c r="L77" s="5">
        <f>111 / 86400</f>
        <v>1.2847222222222223E-3</v>
      </c>
    </row>
    <row r="78" spans="1:12" x14ac:dyDescent="0.25">
      <c r="A78" s="3">
        <v>45704.784178240741</v>
      </c>
      <c r="B78" t="s">
        <v>125</v>
      </c>
      <c r="C78" s="3">
        <v>45704.810474537036</v>
      </c>
      <c r="D78" t="s">
        <v>121</v>
      </c>
      <c r="E78" s="4">
        <v>11.638</v>
      </c>
      <c r="F78" s="4">
        <v>514811.571</v>
      </c>
      <c r="G78" s="4">
        <v>514823.20899999997</v>
      </c>
      <c r="H78" s="5">
        <f>179 / 86400</f>
        <v>2.0717592592592593E-3</v>
      </c>
      <c r="I78" t="s">
        <v>130</v>
      </c>
      <c r="J78" t="s">
        <v>51</v>
      </c>
      <c r="K78" s="5">
        <f>2271 / 86400</f>
        <v>2.6284722222222223E-2</v>
      </c>
      <c r="L78" s="5">
        <f>80 / 86400</f>
        <v>9.2592592592592596E-4</v>
      </c>
    </row>
    <row r="79" spans="1:12" x14ac:dyDescent="0.25">
      <c r="A79" s="3">
        <v>45704.811400462961</v>
      </c>
      <c r="B79" t="s">
        <v>121</v>
      </c>
      <c r="C79" s="3">
        <v>45704.817083333328</v>
      </c>
      <c r="D79" t="s">
        <v>131</v>
      </c>
      <c r="E79" s="4">
        <v>2.2130000000000001</v>
      </c>
      <c r="F79" s="4">
        <v>514823.20899999997</v>
      </c>
      <c r="G79" s="4">
        <v>514825.42200000002</v>
      </c>
      <c r="H79" s="5">
        <f>80 / 86400</f>
        <v>9.2592592592592596E-4</v>
      </c>
      <c r="I79" t="s">
        <v>132</v>
      </c>
      <c r="J79" t="s">
        <v>133</v>
      </c>
      <c r="K79" s="5">
        <f>491 / 86400</f>
        <v>5.6828703703703702E-3</v>
      </c>
      <c r="L79" s="5">
        <f>77 / 86400</f>
        <v>8.9120370370370373E-4</v>
      </c>
    </row>
    <row r="80" spans="1:12" x14ac:dyDescent="0.25">
      <c r="A80" s="3">
        <v>45704.817974537036</v>
      </c>
      <c r="B80" t="s">
        <v>131</v>
      </c>
      <c r="C80" s="3">
        <v>45704.818148148144</v>
      </c>
      <c r="D80" t="s">
        <v>134</v>
      </c>
      <c r="E80" s="4">
        <v>1.9E-2</v>
      </c>
      <c r="F80" s="4">
        <v>514825.42200000002</v>
      </c>
      <c r="G80" s="4">
        <v>514825.44099999999</v>
      </c>
      <c r="H80" s="5">
        <f>0 / 86400</f>
        <v>0</v>
      </c>
      <c r="I80" t="s">
        <v>55</v>
      </c>
      <c r="J80" t="s">
        <v>127</v>
      </c>
      <c r="K80" s="5">
        <f>15 / 86400</f>
        <v>1.7361111111111112E-4</v>
      </c>
      <c r="L80" s="5">
        <f>205 / 86400</f>
        <v>2.3726851851851851E-3</v>
      </c>
    </row>
    <row r="81" spans="1:12" x14ac:dyDescent="0.25">
      <c r="A81" s="3">
        <v>45704.820520833338</v>
      </c>
      <c r="B81" t="s">
        <v>135</v>
      </c>
      <c r="C81" s="3">
        <v>45704.823587962965</v>
      </c>
      <c r="D81" t="s">
        <v>18</v>
      </c>
      <c r="E81" s="4">
        <v>0.505</v>
      </c>
      <c r="F81" s="4">
        <v>514825.44099999999</v>
      </c>
      <c r="G81" s="4">
        <v>514825.946</v>
      </c>
      <c r="H81" s="5">
        <f>79 / 86400</f>
        <v>9.1435185185185185E-4</v>
      </c>
      <c r="I81" t="s">
        <v>20</v>
      </c>
      <c r="J81" t="s">
        <v>136</v>
      </c>
      <c r="K81" s="5">
        <f>264 / 86400</f>
        <v>3.0555555555555557E-3</v>
      </c>
      <c r="L81" s="5">
        <f>15241 / 86400</f>
        <v>0.17640046296296297</v>
      </c>
    </row>
    <row r="82" spans="1:1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2" s="10" customFormat="1" ht="20.100000000000001" customHeight="1" x14ac:dyDescent="0.35">
      <c r="A84" s="15" t="s">
        <v>380</v>
      </c>
      <c r="B84" s="15"/>
      <c r="C84" s="15"/>
      <c r="D84" s="15"/>
      <c r="E84" s="15"/>
      <c r="F84" s="15"/>
      <c r="G84" s="15"/>
      <c r="H84" s="15"/>
      <c r="I84" s="15"/>
      <c r="J84" s="15"/>
    </row>
    <row r="85" spans="1:1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</row>
    <row r="86" spans="1:12" ht="30" x14ac:dyDescent="0.25">
      <c r="A86" s="2" t="s">
        <v>6</v>
      </c>
      <c r="B86" s="2" t="s">
        <v>7</v>
      </c>
      <c r="C86" s="2" t="s">
        <v>8</v>
      </c>
      <c r="D86" s="2" t="s">
        <v>9</v>
      </c>
      <c r="E86" s="2" t="s">
        <v>10</v>
      </c>
      <c r="F86" s="2" t="s">
        <v>11</v>
      </c>
      <c r="G86" s="2" t="s">
        <v>12</v>
      </c>
      <c r="H86" s="2" t="s">
        <v>13</v>
      </c>
      <c r="I86" s="2" t="s">
        <v>14</v>
      </c>
      <c r="J86" s="2" t="s">
        <v>15</v>
      </c>
      <c r="K86" s="2" t="s">
        <v>16</v>
      </c>
      <c r="L86" s="2" t="s">
        <v>17</v>
      </c>
    </row>
    <row r="87" spans="1:12" x14ac:dyDescent="0.25">
      <c r="A87" s="3">
        <v>45704.302662037036</v>
      </c>
      <c r="B87" t="s">
        <v>21</v>
      </c>
      <c r="C87" s="3">
        <v>45704.500150462962</v>
      </c>
      <c r="D87" t="s">
        <v>120</v>
      </c>
      <c r="E87" s="4">
        <v>100.11799999999999</v>
      </c>
      <c r="F87" s="4">
        <v>19922.346000000001</v>
      </c>
      <c r="G87" s="4">
        <v>20022.464</v>
      </c>
      <c r="H87" s="5">
        <f>4780 / 86400</f>
        <v>5.5324074074074074E-2</v>
      </c>
      <c r="I87" t="s">
        <v>22</v>
      </c>
      <c r="J87" t="s">
        <v>23</v>
      </c>
      <c r="K87" s="5">
        <f>17063 / 86400</f>
        <v>0.19748842592592591</v>
      </c>
      <c r="L87" s="5">
        <f>26558 / 86400</f>
        <v>0.30738425925925927</v>
      </c>
    </row>
    <row r="88" spans="1:12" x14ac:dyDescent="0.25">
      <c r="A88" s="3">
        <v>45704.504872685182</v>
      </c>
      <c r="B88" t="s">
        <v>73</v>
      </c>
      <c r="C88" s="3">
        <v>45704.506354166668</v>
      </c>
      <c r="D88" t="s">
        <v>73</v>
      </c>
      <c r="E88" s="4">
        <v>0.13700000000000001</v>
      </c>
      <c r="F88" s="4">
        <v>20022.464</v>
      </c>
      <c r="G88" s="4">
        <v>20022.600999999999</v>
      </c>
      <c r="H88" s="5">
        <f>59 / 86400</f>
        <v>6.8287037037037036E-4</v>
      </c>
      <c r="I88" t="s">
        <v>119</v>
      </c>
      <c r="J88" t="s">
        <v>137</v>
      </c>
      <c r="K88" s="5">
        <f>128 / 86400</f>
        <v>1.4814814814814814E-3</v>
      </c>
      <c r="L88" s="5">
        <f>307 / 86400</f>
        <v>3.5532407407407409E-3</v>
      </c>
    </row>
    <row r="89" spans="1:12" x14ac:dyDescent="0.25">
      <c r="A89" s="3">
        <v>45704.50990740741</v>
      </c>
      <c r="B89" t="s">
        <v>73</v>
      </c>
      <c r="C89" s="3">
        <v>45704.51399305556</v>
      </c>
      <c r="D89" t="s">
        <v>138</v>
      </c>
      <c r="E89" s="4">
        <v>1.601</v>
      </c>
      <c r="F89" s="4">
        <v>20022.600999999999</v>
      </c>
      <c r="G89" s="4">
        <v>20024.202000000001</v>
      </c>
      <c r="H89" s="5">
        <f>59 / 86400</f>
        <v>6.8287037037037036E-4</v>
      </c>
      <c r="I89" t="s">
        <v>139</v>
      </c>
      <c r="J89" t="s">
        <v>133</v>
      </c>
      <c r="K89" s="5">
        <f>353 / 86400</f>
        <v>4.0856481481481481E-3</v>
      </c>
      <c r="L89" s="5">
        <f>3188 / 86400</f>
        <v>3.6898148148148145E-2</v>
      </c>
    </row>
    <row r="90" spans="1:12" x14ac:dyDescent="0.25">
      <c r="A90" s="3">
        <v>45704.550891203704</v>
      </c>
      <c r="B90" t="s">
        <v>138</v>
      </c>
      <c r="C90" s="3">
        <v>45704.69494212963</v>
      </c>
      <c r="D90" t="s">
        <v>140</v>
      </c>
      <c r="E90" s="4">
        <v>74.747</v>
      </c>
      <c r="F90" s="4">
        <v>20024.202000000001</v>
      </c>
      <c r="G90" s="4">
        <v>20098.949000000001</v>
      </c>
      <c r="H90" s="5">
        <f>4157 / 86400</f>
        <v>4.8113425925925928E-2</v>
      </c>
      <c r="I90" t="s">
        <v>91</v>
      </c>
      <c r="J90" t="s">
        <v>20</v>
      </c>
      <c r="K90" s="5">
        <f>12445 / 86400</f>
        <v>0.14403935185185185</v>
      </c>
      <c r="L90" s="5">
        <f>81 / 86400</f>
        <v>9.3749999999999997E-4</v>
      </c>
    </row>
    <row r="91" spans="1:12" x14ac:dyDescent="0.25">
      <c r="A91" s="3">
        <v>45704.695879629631</v>
      </c>
      <c r="B91" t="s">
        <v>140</v>
      </c>
      <c r="C91" s="3">
        <v>45704.696134259255</v>
      </c>
      <c r="D91" t="s">
        <v>141</v>
      </c>
      <c r="E91" s="4">
        <v>8.9999999999999993E-3</v>
      </c>
      <c r="F91" s="4">
        <v>20098.949000000001</v>
      </c>
      <c r="G91" s="4">
        <v>20098.957999999999</v>
      </c>
      <c r="H91" s="5">
        <f>19 / 86400</f>
        <v>2.199074074074074E-4</v>
      </c>
      <c r="I91" t="s">
        <v>55</v>
      </c>
      <c r="J91" t="s">
        <v>129</v>
      </c>
      <c r="K91" s="5">
        <f>21 / 86400</f>
        <v>2.4305555555555555E-4</v>
      </c>
      <c r="L91" s="5">
        <f>295 / 86400</f>
        <v>3.414351851851852E-3</v>
      </c>
    </row>
    <row r="92" spans="1:12" x14ac:dyDescent="0.25">
      <c r="A92" s="3">
        <v>45704.699548611112</v>
      </c>
      <c r="B92" t="s">
        <v>140</v>
      </c>
      <c r="C92" s="3">
        <v>45704.906076388885</v>
      </c>
      <c r="D92" t="s">
        <v>73</v>
      </c>
      <c r="E92" s="4">
        <v>100.705</v>
      </c>
      <c r="F92" s="4">
        <v>20098.957999999999</v>
      </c>
      <c r="G92" s="4">
        <v>20199.663</v>
      </c>
      <c r="H92" s="5">
        <f>4879 / 86400</f>
        <v>5.6469907407407406E-2</v>
      </c>
      <c r="I92" t="s">
        <v>26</v>
      </c>
      <c r="J92" t="s">
        <v>33</v>
      </c>
      <c r="K92" s="5">
        <f>17844 / 86400</f>
        <v>0.20652777777777778</v>
      </c>
      <c r="L92" s="5">
        <f>1074 / 86400</f>
        <v>1.2430555555555556E-2</v>
      </c>
    </row>
    <row r="93" spans="1:12" x14ac:dyDescent="0.25">
      <c r="A93" s="3">
        <v>45704.918506944443</v>
      </c>
      <c r="B93" t="s">
        <v>73</v>
      </c>
      <c r="C93" s="3">
        <v>45704.921574074076</v>
      </c>
      <c r="D93" t="s">
        <v>138</v>
      </c>
      <c r="E93" s="4">
        <v>1.514</v>
      </c>
      <c r="F93" s="4">
        <v>20199.663</v>
      </c>
      <c r="G93" s="4">
        <v>20201.177</v>
      </c>
      <c r="H93" s="5">
        <f>0 / 86400</f>
        <v>0</v>
      </c>
      <c r="I93" t="s">
        <v>130</v>
      </c>
      <c r="J93" t="s">
        <v>23</v>
      </c>
      <c r="K93" s="5">
        <f>265 / 86400</f>
        <v>3.0671296296296297E-3</v>
      </c>
      <c r="L93" s="5">
        <f>1119 / 86400</f>
        <v>1.2951388888888889E-2</v>
      </c>
    </row>
    <row r="94" spans="1:12" x14ac:dyDescent="0.25">
      <c r="A94" s="3">
        <v>45704.934525462959</v>
      </c>
      <c r="B94" t="s">
        <v>138</v>
      </c>
      <c r="C94" s="3">
        <v>45704.938946759255</v>
      </c>
      <c r="D94" t="s">
        <v>21</v>
      </c>
      <c r="E94" s="4">
        <v>1.155</v>
      </c>
      <c r="F94" s="4">
        <v>20201.177</v>
      </c>
      <c r="G94" s="4">
        <v>20202.331999999999</v>
      </c>
      <c r="H94" s="5">
        <f>80 / 86400</f>
        <v>9.2592592592592596E-4</v>
      </c>
      <c r="I94" t="s">
        <v>142</v>
      </c>
      <c r="J94" t="s">
        <v>143</v>
      </c>
      <c r="K94" s="5">
        <f>382 / 86400</f>
        <v>4.4212962962962964E-3</v>
      </c>
      <c r="L94" s="5">
        <f>5274 / 86400</f>
        <v>6.1041666666666668E-2</v>
      </c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s="10" customFormat="1" ht="20.100000000000001" customHeight="1" x14ac:dyDescent="0.35">
      <c r="A97" s="15" t="s">
        <v>381</v>
      </c>
      <c r="B97" s="15"/>
      <c r="C97" s="15"/>
      <c r="D97" s="15"/>
      <c r="E97" s="15"/>
      <c r="F97" s="15"/>
      <c r="G97" s="15"/>
      <c r="H97" s="15"/>
      <c r="I97" s="15"/>
      <c r="J97" s="15"/>
    </row>
    <row r="98" spans="1:1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2" ht="30" x14ac:dyDescent="0.25">
      <c r="A99" s="2" t="s">
        <v>6</v>
      </c>
      <c r="B99" s="2" t="s">
        <v>7</v>
      </c>
      <c r="C99" s="2" t="s">
        <v>8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  <c r="I99" s="2" t="s">
        <v>14</v>
      </c>
      <c r="J99" s="2" t="s">
        <v>15</v>
      </c>
      <c r="K99" s="2" t="s">
        <v>16</v>
      </c>
      <c r="L99" s="2" t="s">
        <v>17</v>
      </c>
    </row>
    <row r="100" spans="1:12" x14ac:dyDescent="0.25">
      <c r="A100" s="3">
        <v>45704.303611111114</v>
      </c>
      <c r="B100" t="s">
        <v>24</v>
      </c>
      <c r="C100" s="3">
        <v>45704.408113425925</v>
      </c>
      <c r="D100" t="s">
        <v>144</v>
      </c>
      <c r="E100" s="4">
        <v>62.259</v>
      </c>
      <c r="F100" s="4">
        <v>329069.78000000003</v>
      </c>
      <c r="G100" s="4">
        <v>329132.03899999999</v>
      </c>
      <c r="H100" s="5">
        <f>2420 / 86400</f>
        <v>2.8009259259259258E-2</v>
      </c>
      <c r="I100" t="s">
        <v>43</v>
      </c>
      <c r="J100" t="s">
        <v>122</v>
      </c>
      <c r="K100" s="5">
        <f>9029 / 86400</f>
        <v>0.10450231481481481</v>
      </c>
      <c r="L100" s="5">
        <f>26355 / 86400</f>
        <v>0.30503472222222222</v>
      </c>
    </row>
    <row r="101" spans="1:12" x14ac:dyDescent="0.25">
      <c r="A101" s="3">
        <v>45704.409537037034</v>
      </c>
      <c r="B101" t="s">
        <v>37</v>
      </c>
      <c r="C101" s="3">
        <v>45704.474062499998</v>
      </c>
      <c r="D101" t="s">
        <v>145</v>
      </c>
      <c r="E101" s="4">
        <v>36.017000000000003</v>
      </c>
      <c r="F101" s="4">
        <v>329132.03899999999</v>
      </c>
      <c r="G101" s="4">
        <v>329168.05599999998</v>
      </c>
      <c r="H101" s="5">
        <f>1360 / 86400</f>
        <v>1.5740740740740739E-2</v>
      </c>
      <c r="I101" t="s">
        <v>75</v>
      </c>
      <c r="J101" t="s">
        <v>27</v>
      </c>
      <c r="K101" s="5">
        <f>5574 / 86400</f>
        <v>6.4513888888888885E-2</v>
      </c>
      <c r="L101" s="5">
        <f>298 / 86400</f>
        <v>3.449074074074074E-3</v>
      </c>
    </row>
    <row r="102" spans="1:12" x14ac:dyDescent="0.25">
      <c r="A102" s="3">
        <v>45704.477511574078</v>
      </c>
      <c r="B102" t="s">
        <v>145</v>
      </c>
      <c r="C102" s="3">
        <v>45704.549409722225</v>
      </c>
      <c r="D102" t="s">
        <v>146</v>
      </c>
      <c r="E102" s="4">
        <v>36.651000000000003</v>
      </c>
      <c r="F102" s="4">
        <v>329168.05599999998</v>
      </c>
      <c r="G102" s="4">
        <v>329204.70699999999</v>
      </c>
      <c r="H102" s="5">
        <f>2169 / 86400</f>
        <v>2.5104166666666667E-2</v>
      </c>
      <c r="I102" t="s">
        <v>26</v>
      </c>
      <c r="J102" t="s">
        <v>23</v>
      </c>
      <c r="K102" s="5">
        <f>6212 / 86400</f>
        <v>7.1898148148148142E-2</v>
      </c>
      <c r="L102" s="5">
        <f>1647 / 86400</f>
        <v>1.90625E-2</v>
      </c>
    </row>
    <row r="103" spans="1:12" x14ac:dyDescent="0.25">
      <c r="A103" s="3">
        <v>45704.568472222221</v>
      </c>
      <c r="B103" t="s">
        <v>147</v>
      </c>
      <c r="C103" s="3">
        <v>45704.654143518521</v>
      </c>
      <c r="D103" t="s">
        <v>148</v>
      </c>
      <c r="E103" s="4">
        <v>44.965000000000003</v>
      </c>
      <c r="F103" s="4">
        <v>329204.70699999999</v>
      </c>
      <c r="G103" s="4">
        <v>329249.67200000002</v>
      </c>
      <c r="H103" s="5">
        <f>2238 / 86400</f>
        <v>2.5902777777777778E-2</v>
      </c>
      <c r="I103" t="s">
        <v>108</v>
      </c>
      <c r="J103" t="s">
        <v>20</v>
      </c>
      <c r="K103" s="5">
        <f>7401 / 86400</f>
        <v>8.565972222222222E-2</v>
      </c>
      <c r="L103" s="5">
        <f>78 / 86400</f>
        <v>9.0277777777777774E-4</v>
      </c>
    </row>
    <row r="104" spans="1:12" x14ac:dyDescent="0.25">
      <c r="A104" s="3">
        <v>45704.655046296291</v>
      </c>
      <c r="B104" t="s">
        <v>149</v>
      </c>
      <c r="C104" s="3">
        <v>45704.741006944445</v>
      </c>
      <c r="D104" t="s">
        <v>138</v>
      </c>
      <c r="E104" s="4">
        <v>43.95</v>
      </c>
      <c r="F104" s="4">
        <v>329249.67200000002</v>
      </c>
      <c r="G104" s="4">
        <v>329293.62199999997</v>
      </c>
      <c r="H104" s="5">
        <f>2178 / 86400</f>
        <v>2.5208333333333333E-2</v>
      </c>
      <c r="I104" t="s">
        <v>43</v>
      </c>
      <c r="J104" t="s">
        <v>23</v>
      </c>
      <c r="K104" s="5">
        <f>7427 / 86400</f>
        <v>8.5960648148148147E-2</v>
      </c>
      <c r="L104" s="5">
        <f>172 / 86400</f>
        <v>1.9907407407407408E-3</v>
      </c>
    </row>
    <row r="105" spans="1:12" x14ac:dyDescent="0.25">
      <c r="A105" s="3">
        <v>45704.742997685185</v>
      </c>
      <c r="B105" t="s">
        <v>138</v>
      </c>
      <c r="C105" s="3">
        <v>45704.775196759263</v>
      </c>
      <c r="D105" t="s">
        <v>95</v>
      </c>
      <c r="E105" s="4">
        <v>18.300999999999998</v>
      </c>
      <c r="F105" s="4">
        <v>329293.62199999997</v>
      </c>
      <c r="G105" s="4">
        <v>329311.92300000001</v>
      </c>
      <c r="H105" s="5">
        <f>941 / 86400</f>
        <v>1.0891203703703703E-2</v>
      </c>
      <c r="I105" t="s">
        <v>53</v>
      </c>
      <c r="J105" t="s">
        <v>68</v>
      </c>
      <c r="K105" s="5">
        <f>2782 / 86400</f>
        <v>3.2199074074074074E-2</v>
      </c>
      <c r="L105" s="5">
        <f>288 / 86400</f>
        <v>3.3333333333333335E-3</v>
      </c>
    </row>
    <row r="106" spans="1:12" x14ac:dyDescent="0.25">
      <c r="A106" s="3">
        <v>45704.77853009259</v>
      </c>
      <c r="B106" t="s">
        <v>95</v>
      </c>
      <c r="C106" s="3">
        <v>45704.781944444447</v>
      </c>
      <c r="D106" t="s">
        <v>25</v>
      </c>
      <c r="E106" s="4">
        <v>1.393</v>
      </c>
      <c r="F106" s="4">
        <v>329311.92300000001</v>
      </c>
      <c r="G106" s="4">
        <v>329313.31599999999</v>
      </c>
      <c r="H106" s="5">
        <f>100 / 86400</f>
        <v>1.1574074074074073E-3</v>
      </c>
      <c r="I106" t="s">
        <v>150</v>
      </c>
      <c r="J106" t="s">
        <v>48</v>
      </c>
      <c r="K106" s="5">
        <f>295 / 86400</f>
        <v>3.414351851851852E-3</v>
      </c>
      <c r="L106" s="5">
        <f>18839 / 86400</f>
        <v>0.21804398148148149</v>
      </c>
    </row>
    <row r="107" spans="1:1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1:12" s="10" customFormat="1" ht="20.100000000000001" customHeight="1" x14ac:dyDescent="0.35">
      <c r="A109" s="15" t="s">
        <v>382</v>
      </c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1:12" ht="30" x14ac:dyDescent="0.25">
      <c r="A111" s="2" t="s">
        <v>6</v>
      </c>
      <c r="B111" s="2" t="s">
        <v>7</v>
      </c>
      <c r="C111" s="2" t="s">
        <v>8</v>
      </c>
      <c r="D111" s="2" t="s">
        <v>9</v>
      </c>
      <c r="E111" s="2" t="s">
        <v>10</v>
      </c>
      <c r="F111" s="2" t="s">
        <v>11</v>
      </c>
      <c r="G111" s="2" t="s">
        <v>12</v>
      </c>
      <c r="H111" s="2" t="s">
        <v>13</v>
      </c>
      <c r="I111" s="2" t="s">
        <v>14</v>
      </c>
      <c r="J111" s="2" t="s">
        <v>15</v>
      </c>
      <c r="K111" s="2" t="s">
        <v>16</v>
      </c>
      <c r="L111" s="2" t="s">
        <v>17</v>
      </c>
    </row>
    <row r="112" spans="1:12" x14ac:dyDescent="0.25">
      <c r="A112" s="3">
        <v>45704.496516203704</v>
      </c>
      <c r="B112" t="s">
        <v>28</v>
      </c>
      <c r="C112" s="3">
        <v>45704.504780092597</v>
      </c>
      <c r="D112" t="s">
        <v>28</v>
      </c>
      <c r="E112" s="4">
        <v>1.9710000000000001</v>
      </c>
      <c r="F112" s="4">
        <v>20986.401999999998</v>
      </c>
      <c r="G112" s="4">
        <v>20988.373</v>
      </c>
      <c r="H112" s="5">
        <f>159 / 86400</f>
        <v>1.8402777777777777E-3</v>
      </c>
      <c r="I112" t="s">
        <v>29</v>
      </c>
      <c r="J112" t="s">
        <v>151</v>
      </c>
      <c r="K112" s="5">
        <f>713 / 86400</f>
        <v>8.2523148148148148E-3</v>
      </c>
      <c r="L112" s="5">
        <f>60796 / 86400</f>
        <v>0.70365740740740745</v>
      </c>
    </row>
    <row r="113" spans="1:12" x14ac:dyDescent="0.25">
      <c r="A113" s="3">
        <v>45704.711921296301</v>
      </c>
      <c r="B113" t="s">
        <v>28</v>
      </c>
      <c r="C113" s="3">
        <v>45704.713402777779</v>
      </c>
      <c r="D113" t="s">
        <v>28</v>
      </c>
      <c r="E113" s="4">
        <v>3.3000000000000002E-2</v>
      </c>
      <c r="F113" s="4">
        <v>20988.373</v>
      </c>
      <c r="G113" s="4">
        <v>20988.405999999999</v>
      </c>
      <c r="H113" s="5">
        <f>99 / 86400</f>
        <v>1.1458333333333333E-3</v>
      </c>
      <c r="I113" t="s">
        <v>88</v>
      </c>
      <c r="J113" t="s">
        <v>128</v>
      </c>
      <c r="K113" s="5">
        <f>127 / 86400</f>
        <v>1.4699074074074074E-3</v>
      </c>
      <c r="L113" s="5">
        <f>24761 / 86400</f>
        <v>0.28658564814814813</v>
      </c>
    </row>
    <row r="114" spans="1:1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2" s="10" customFormat="1" ht="20.100000000000001" customHeight="1" x14ac:dyDescent="0.35">
      <c r="A116" s="15" t="s">
        <v>383</v>
      </c>
      <c r="B116" s="15"/>
      <c r="C116" s="15"/>
      <c r="D116" s="15"/>
      <c r="E116" s="15"/>
      <c r="F116" s="15"/>
      <c r="G116" s="15"/>
      <c r="H116" s="15"/>
      <c r="I116" s="15"/>
      <c r="J116" s="15"/>
    </row>
    <row r="117" spans="1:1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1:12" ht="30" x14ac:dyDescent="0.25">
      <c r="A118" s="2" t="s">
        <v>6</v>
      </c>
      <c r="B118" s="2" t="s">
        <v>7</v>
      </c>
      <c r="C118" s="2" t="s">
        <v>8</v>
      </c>
      <c r="D118" s="2" t="s">
        <v>9</v>
      </c>
      <c r="E118" s="2" t="s">
        <v>10</v>
      </c>
      <c r="F118" s="2" t="s">
        <v>11</v>
      </c>
      <c r="G118" s="2" t="s">
        <v>12</v>
      </c>
      <c r="H118" s="2" t="s">
        <v>13</v>
      </c>
      <c r="I118" s="2" t="s">
        <v>14</v>
      </c>
      <c r="J118" s="2" t="s">
        <v>15</v>
      </c>
      <c r="K118" s="2" t="s">
        <v>16</v>
      </c>
      <c r="L118" s="2" t="s">
        <v>17</v>
      </c>
    </row>
    <row r="119" spans="1:12" x14ac:dyDescent="0.25">
      <c r="A119" s="3">
        <v>45704.231458333335</v>
      </c>
      <c r="B119" t="s">
        <v>31</v>
      </c>
      <c r="C119" s="3">
        <v>45704.255613425921</v>
      </c>
      <c r="D119" t="s">
        <v>83</v>
      </c>
      <c r="E119" s="4">
        <v>3.5659999999999998</v>
      </c>
      <c r="F119" s="4">
        <v>513939.94199999998</v>
      </c>
      <c r="G119" s="4">
        <v>513943.50799999997</v>
      </c>
      <c r="H119" s="5">
        <f>1507 / 86400</f>
        <v>1.744212962962963E-2</v>
      </c>
      <c r="I119" t="s">
        <v>152</v>
      </c>
      <c r="J119" t="s">
        <v>88</v>
      </c>
      <c r="K119" s="5">
        <f>2086 / 86400</f>
        <v>2.4143518518518519E-2</v>
      </c>
      <c r="L119" s="5">
        <f>20438 / 86400</f>
        <v>0.23655092592592591</v>
      </c>
    </row>
    <row r="120" spans="1:12" x14ac:dyDescent="0.25">
      <c r="A120" s="3">
        <v>45704.260706018518</v>
      </c>
      <c r="B120" t="s">
        <v>83</v>
      </c>
      <c r="C120" s="3">
        <v>45704.311666666668</v>
      </c>
      <c r="D120" t="s">
        <v>115</v>
      </c>
      <c r="E120" s="4">
        <v>29.995999999999999</v>
      </c>
      <c r="F120" s="4">
        <v>513943.50799999997</v>
      </c>
      <c r="G120" s="4">
        <v>513973.50400000002</v>
      </c>
      <c r="H120" s="5">
        <f>900 / 86400</f>
        <v>1.0416666666666666E-2</v>
      </c>
      <c r="I120" t="s">
        <v>43</v>
      </c>
      <c r="J120" t="s">
        <v>122</v>
      </c>
      <c r="K120" s="5">
        <f>4403 / 86400</f>
        <v>5.0960648148148151E-2</v>
      </c>
      <c r="L120" s="5">
        <f>942 / 86400</f>
        <v>1.0902777777777779E-2</v>
      </c>
    </row>
    <row r="121" spans="1:12" x14ac:dyDescent="0.25">
      <c r="A121" s="3">
        <v>45704.322569444441</v>
      </c>
      <c r="B121" t="s">
        <v>115</v>
      </c>
      <c r="C121" s="3">
        <v>45704.323807870373</v>
      </c>
      <c r="D121" t="s">
        <v>153</v>
      </c>
      <c r="E121" s="4">
        <v>0.38200000000000001</v>
      </c>
      <c r="F121" s="4">
        <v>513973.50400000002</v>
      </c>
      <c r="G121" s="4">
        <v>513973.886</v>
      </c>
      <c r="H121" s="5">
        <f>0 / 86400</f>
        <v>0</v>
      </c>
      <c r="I121" t="s">
        <v>33</v>
      </c>
      <c r="J121" t="s">
        <v>86</v>
      </c>
      <c r="K121" s="5">
        <f>107 / 86400</f>
        <v>1.238425925925926E-3</v>
      </c>
      <c r="L121" s="5">
        <f>3135 / 86400</f>
        <v>3.6284722222222225E-2</v>
      </c>
    </row>
    <row r="122" spans="1:12" x14ac:dyDescent="0.25">
      <c r="A122" s="3">
        <v>45704.360092592593</v>
      </c>
      <c r="B122" t="s">
        <v>153</v>
      </c>
      <c r="C122" s="3">
        <v>45704.363182870366</v>
      </c>
      <c r="D122" t="s">
        <v>120</v>
      </c>
      <c r="E122" s="4">
        <v>1.1990000000000001</v>
      </c>
      <c r="F122" s="4">
        <v>513973.886</v>
      </c>
      <c r="G122" s="4">
        <v>513975.08500000002</v>
      </c>
      <c r="H122" s="5">
        <f>39 / 86400</f>
        <v>4.5138888888888887E-4</v>
      </c>
      <c r="I122" t="s">
        <v>154</v>
      </c>
      <c r="J122" t="s">
        <v>133</v>
      </c>
      <c r="K122" s="5">
        <f>267 / 86400</f>
        <v>3.0902777777777777E-3</v>
      </c>
      <c r="L122" s="5">
        <f>1279 / 86400</f>
        <v>1.480324074074074E-2</v>
      </c>
    </row>
    <row r="123" spans="1:12" x14ac:dyDescent="0.25">
      <c r="A123" s="3">
        <v>45704.377986111111</v>
      </c>
      <c r="B123" t="s">
        <v>120</v>
      </c>
      <c r="C123" s="3">
        <v>45704.475254629629</v>
      </c>
      <c r="D123" t="s">
        <v>155</v>
      </c>
      <c r="E123" s="4">
        <v>50.100999999999999</v>
      </c>
      <c r="F123" s="4">
        <v>513975.08500000002</v>
      </c>
      <c r="G123" s="4">
        <v>514025.18599999999</v>
      </c>
      <c r="H123" s="5">
        <f>2620 / 86400</f>
        <v>3.0324074074074073E-2</v>
      </c>
      <c r="I123" t="s">
        <v>156</v>
      </c>
      <c r="J123" t="s">
        <v>23</v>
      </c>
      <c r="K123" s="5">
        <f>8404 / 86400</f>
        <v>9.7268518518518518E-2</v>
      </c>
      <c r="L123" s="5">
        <f>1672 / 86400</f>
        <v>1.9351851851851853E-2</v>
      </c>
    </row>
    <row r="124" spans="1:12" x14ac:dyDescent="0.25">
      <c r="A124" s="3">
        <v>45704.494606481487</v>
      </c>
      <c r="B124" t="s">
        <v>46</v>
      </c>
      <c r="C124" s="3">
        <v>45704.597199074073</v>
      </c>
      <c r="D124" t="s">
        <v>153</v>
      </c>
      <c r="E124" s="4">
        <v>51.216999999999999</v>
      </c>
      <c r="F124" s="4">
        <v>514025.18599999999</v>
      </c>
      <c r="G124" s="4">
        <v>514076.40299999999</v>
      </c>
      <c r="H124" s="5">
        <f>2080 / 86400</f>
        <v>2.4074074074074074E-2</v>
      </c>
      <c r="I124" t="s">
        <v>93</v>
      </c>
      <c r="J124" t="s">
        <v>23</v>
      </c>
      <c r="K124" s="5">
        <f>8863 / 86400</f>
        <v>0.10258101851851852</v>
      </c>
      <c r="L124" s="5">
        <f>3923 / 86400</f>
        <v>4.5405092592592594E-2</v>
      </c>
    </row>
    <row r="125" spans="1:12" x14ac:dyDescent="0.25">
      <c r="A125" s="3">
        <v>45704.642604166671</v>
      </c>
      <c r="B125" t="s">
        <v>153</v>
      </c>
      <c r="C125" s="3">
        <v>45704.644432870366</v>
      </c>
      <c r="D125" t="s">
        <v>115</v>
      </c>
      <c r="E125" s="4">
        <v>0.46600000000000003</v>
      </c>
      <c r="F125" s="4">
        <v>514076.40299999999</v>
      </c>
      <c r="G125" s="4">
        <v>514076.86900000001</v>
      </c>
      <c r="H125" s="5">
        <f>0 / 86400</f>
        <v>0</v>
      </c>
      <c r="I125" t="s">
        <v>94</v>
      </c>
      <c r="J125" t="s">
        <v>143</v>
      </c>
      <c r="K125" s="5">
        <f>157 / 86400</f>
        <v>1.8171296296296297E-3</v>
      </c>
      <c r="L125" s="5">
        <f>1283 / 86400</f>
        <v>1.4849537037037038E-2</v>
      </c>
    </row>
    <row r="126" spans="1:12" x14ac:dyDescent="0.25">
      <c r="A126" s="3">
        <v>45704.659282407403</v>
      </c>
      <c r="B126" t="s">
        <v>115</v>
      </c>
      <c r="C126" s="3">
        <v>45704.662418981483</v>
      </c>
      <c r="D126" t="s">
        <v>73</v>
      </c>
      <c r="E126" s="4">
        <v>1.3129999999999999</v>
      </c>
      <c r="F126" s="4">
        <v>514076.86900000001</v>
      </c>
      <c r="G126" s="4">
        <v>514078.18199999997</v>
      </c>
      <c r="H126" s="5">
        <f>0 / 86400</f>
        <v>0</v>
      </c>
      <c r="I126" t="s">
        <v>29</v>
      </c>
      <c r="J126" t="s">
        <v>48</v>
      </c>
      <c r="K126" s="5">
        <f>271 / 86400</f>
        <v>3.1365740740740742E-3</v>
      </c>
      <c r="L126" s="5">
        <f>234 / 86400</f>
        <v>2.7083333333333334E-3</v>
      </c>
    </row>
    <row r="127" spans="1:12" x14ac:dyDescent="0.25">
      <c r="A127" s="3">
        <v>45704.665127314816</v>
      </c>
      <c r="B127" t="s">
        <v>73</v>
      </c>
      <c r="C127" s="3">
        <v>45704.766967592594</v>
      </c>
      <c r="D127" t="s">
        <v>155</v>
      </c>
      <c r="E127" s="4">
        <v>49.661999999999999</v>
      </c>
      <c r="F127" s="4">
        <v>514078.18199999997</v>
      </c>
      <c r="G127" s="4">
        <v>514127.84399999998</v>
      </c>
      <c r="H127" s="5">
        <f>2458 / 86400</f>
        <v>2.8449074074074075E-2</v>
      </c>
      <c r="I127" t="s">
        <v>32</v>
      </c>
      <c r="J127" t="s">
        <v>33</v>
      </c>
      <c r="K127" s="5">
        <f>8798 / 86400</f>
        <v>0.1018287037037037</v>
      </c>
      <c r="L127" s="5">
        <f>1006 / 86400</f>
        <v>1.1643518518518518E-2</v>
      </c>
    </row>
    <row r="128" spans="1:12" x14ac:dyDescent="0.25">
      <c r="A128" s="3">
        <v>45704.778611111113</v>
      </c>
      <c r="B128" t="s">
        <v>155</v>
      </c>
      <c r="C128" s="3">
        <v>45704.913854166662</v>
      </c>
      <c r="D128" t="s">
        <v>83</v>
      </c>
      <c r="E128" s="4">
        <v>70.191000000000003</v>
      </c>
      <c r="F128" s="4">
        <v>514127.84399999998</v>
      </c>
      <c r="G128" s="4">
        <v>514198.03499999997</v>
      </c>
      <c r="H128" s="5">
        <f>3211 / 86400</f>
        <v>3.7164351851851851E-2</v>
      </c>
      <c r="I128" t="s">
        <v>26</v>
      </c>
      <c r="J128" t="s">
        <v>20</v>
      </c>
      <c r="K128" s="5">
        <f>11685 / 86400</f>
        <v>0.13524305555555555</v>
      </c>
      <c r="L128" s="5">
        <f>171 / 86400</f>
        <v>1.9791666666666668E-3</v>
      </c>
    </row>
    <row r="129" spans="1:12" x14ac:dyDescent="0.25">
      <c r="A129" s="3">
        <v>45704.915833333333</v>
      </c>
      <c r="B129" t="s">
        <v>83</v>
      </c>
      <c r="C129" s="3">
        <v>45704.922488425931</v>
      </c>
      <c r="D129" t="s">
        <v>157</v>
      </c>
      <c r="E129" s="4">
        <v>2.294</v>
      </c>
      <c r="F129" s="4">
        <v>514198.03499999997</v>
      </c>
      <c r="G129" s="4">
        <v>514200.32900000003</v>
      </c>
      <c r="H129" s="5">
        <f>200 / 86400</f>
        <v>2.3148148148148147E-3</v>
      </c>
      <c r="I129" t="s">
        <v>139</v>
      </c>
      <c r="J129" t="s">
        <v>158</v>
      </c>
      <c r="K129" s="5">
        <f>575 / 86400</f>
        <v>6.6550925925925927E-3</v>
      </c>
      <c r="L129" s="5">
        <f>267 / 86400</f>
        <v>3.0902777777777777E-3</v>
      </c>
    </row>
    <row r="130" spans="1:12" x14ac:dyDescent="0.25">
      <c r="A130" s="3">
        <v>45704.925578703704</v>
      </c>
      <c r="B130" t="s">
        <v>157</v>
      </c>
      <c r="C130" s="3">
        <v>45704.929733796293</v>
      </c>
      <c r="D130" t="s">
        <v>31</v>
      </c>
      <c r="E130" s="4">
        <v>1.4119999999999999</v>
      </c>
      <c r="F130" s="4">
        <v>514200.32900000003</v>
      </c>
      <c r="G130" s="4">
        <v>514201.74099999998</v>
      </c>
      <c r="H130" s="5">
        <f>100 / 86400</f>
        <v>1.1574074074074073E-3</v>
      </c>
      <c r="I130" t="s">
        <v>159</v>
      </c>
      <c r="J130" t="s">
        <v>158</v>
      </c>
      <c r="K130" s="5">
        <f>358 / 86400</f>
        <v>4.1435185185185186E-3</v>
      </c>
      <c r="L130" s="5">
        <f>121 / 86400</f>
        <v>1.4004629629629629E-3</v>
      </c>
    </row>
    <row r="131" spans="1:12" x14ac:dyDescent="0.25">
      <c r="A131" s="3">
        <v>45704.931134259255</v>
      </c>
      <c r="B131" t="s">
        <v>31</v>
      </c>
      <c r="C131" s="3">
        <v>45704.931990740741</v>
      </c>
      <c r="D131" t="s">
        <v>31</v>
      </c>
      <c r="E131" s="4">
        <v>1.7000000000000001E-2</v>
      </c>
      <c r="F131" s="4">
        <v>514201.74099999998</v>
      </c>
      <c r="G131" s="4">
        <v>514201.75799999997</v>
      </c>
      <c r="H131" s="5">
        <f>20 / 86400</f>
        <v>2.3148148148148149E-4</v>
      </c>
      <c r="I131" t="s">
        <v>128</v>
      </c>
      <c r="J131" t="s">
        <v>128</v>
      </c>
      <c r="K131" s="5">
        <f>74 / 86400</f>
        <v>8.564814814814815E-4</v>
      </c>
      <c r="L131" s="5">
        <f>5875 / 86400</f>
        <v>6.7997685185185189E-2</v>
      </c>
    </row>
    <row r="132" spans="1:1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1:1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2" s="10" customFormat="1" ht="20.100000000000001" customHeight="1" x14ac:dyDescent="0.35">
      <c r="A134" s="15" t="s">
        <v>384</v>
      </c>
      <c r="B134" s="15"/>
      <c r="C134" s="15"/>
      <c r="D134" s="15"/>
      <c r="E134" s="15"/>
      <c r="F134" s="15"/>
      <c r="G134" s="15"/>
      <c r="H134" s="15"/>
      <c r="I134" s="15"/>
      <c r="J134" s="15"/>
    </row>
    <row r="135" spans="1:1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2" ht="30" x14ac:dyDescent="0.25">
      <c r="A136" s="2" t="s">
        <v>6</v>
      </c>
      <c r="B136" s="2" t="s">
        <v>7</v>
      </c>
      <c r="C136" s="2" t="s">
        <v>8</v>
      </c>
      <c r="D136" s="2" t="s">
        <v>9</v>
      </c>
      <c r="E136" s="2" t="s">
        <v>10</v>
      </c>
      <c r="F136" s="2" t="s">
        <v>11</v>
      </c>
      <c r="G136" s="2" t="s">
        <v>12</v>
      </c>
      <c r="H136" s="2" t="s">
        <v>13</v>
      </c>
      <c r="I136" s="2" t="s">
        <v>14</v>
      </c>
      <c r="J136" s="2" t="s">
        <v>15</v>
      </c>
      <c r="K136" s="2" t="s">
        <v>16</v>
      </c>
      <c r="L136" s="2" t="s">
        <v>17</v>
      </c>
    </row>
    <row r="137" spans="1:12" x14ac:dyDescent="0.25">
      <c r="A137" s="3">
        <v>45704.214201388888</v>
      </c>
      <c r="B137" t="s">
        <v>28</v>
      </c>
      <c r="C137" s="3">
        <v>45704.232881944445</v>
      </c>
      <c r="D137" t="s">
        <v>160</v>
      </c>
      <c r="E137" s="4">
        <v>5.7729999999999997</v>
      </c>
      <c r="F137" s="4">
        <v>92948.475999999995</v>
      </c>
      <c r="G137" s="4">
        <v>92954.248999999996</v>
      </c>
      <c r="H137" s="5">
        <f>459 / 86400</f>
        <v>5.3125000000000004E-3</v>
      </c>
      <c r="I137" t="s">
        <v>161</v>
      </c>
      <c r="J137" t="s">
        <v>86</v>
      </c>
      <c r="K137" s="5">
        <f>1613 / 86400</f>
        <v>1.8668981481481481E-2</v>
      </c>
      <c r="L137" s="5">
        <f>23409 / 86400</f>
        <v>0.2709375</v>
      </c>
    </row>
    <row r="138" spans="1:12" x14ac:dyDescent="0.25">
      <c r="A138" s="3">
        <v>45704.289618055554</v>
      </c>
      <c r="B138" t="s">
        <v>160</v>
      </c>
      <c r="C138" s="3">
        <v>45704.290520833332</v>
      </c>
      <c r="D138" t="s">
        <v>162</v>
      </c>
      <c r="E138" s="4">
        <v>7.8E-2</v>
      </c>
      <c r="F138" s="4">
        <v>92954.248999999996</v>
      </c>
      <c r="G138" s="4">
        <v>92954.327000000005</v>
      </c>
      <c r="H138" s="5">
        <f>40 / 86400</f>
        <v>4.6296296296296298E-4</v>
      </c>
      <c r="I138" t="s">
        <v>143</v>
      </c>
      <c r="J138" t="s">
        <v>137</v>
      </c>
      <c r="K138" s="5">
        <f>78 / 86400</f>
        <v>9.0277777777777774E-4</v>
      </c>
      <c r="L138" s="5">
        <f>1163 / 86400</f>
        <v>1.3460648148148149E-2</v>
      </c>
    </row>
    <row r="139" spans="1:12" x14ac:dyDescent="0.25">
      <c r="A139" s="3">
        <v>45704.303981481484</v>
      </c>
      <c r="B139" t="s">
        <v>162</v>
      </c>
      <c r="C139" s="3">
        <v>45704.30405092593</v>
      </c>
      <c r="D139" t="s">
        <v>162</v>
      </c>
      <c r="E139" s="4">
        <v>0</v>
      </c>
      <c r="F139" s="4">
        <v>92954.327000000005</v>
      </c>
      <c r="G139" s="4">
        <v>92954.327000000005</v>
      </c>
      <c r="H139" s="5">
        <f>0 / 86400</f>
        <v>0</v>
      </c>
      <c r="I139" t="s">
        <v>55</v>
      </c>
      <c r="J139" t="s">
        <v>55</v>
      </c>
      <c r="K139" s="5">
        <f>6 / 86400</f>
        <v>6.9444444444444444E-5</v>
      </c>
      <c r="L139" s="5">
        <f>34 / 86400</f>
        <v>3.9351851851851852E-4</v>
      </c>
    </row>
    <row r="140" spans="1:12" x14ac:dyDescent="0.25">
      <c r="A140" s="3">
        <v>45704.304444444446</v>
      </c>
      <c r="B140" t="s">
        <v>162</v>
      </c>
      <c r="C140" s="3">
        <v>45704.305150462962</v>
      </c>
      <c r="D140" t="s">
        <v>162</v>
      </c>
      <c r="E140" s="4">
        <v>0</v>
      </c>
      <c r="F140" s="4">
        <v>92954.327000000005</v>
      </c>
      <c r="G140" s="4">
        <v>92954.327000000005</v>
      </c>
      <c r="H140" s="5">
        <f>39 / 86400</f>
        <v>4.5138888888888887E-4</v>
      </c>
      <c r="I140" t="s">
        <v>55</v>
      </c>
      <c r="J140" t="s">
        <v>55</v>
      </c>
      <c r="K140" s="5">
        <f>60 / 86400</f>
        <v>6.9444444444444447E-4</v>
      </c>
      <c r="L140" s="5">
        <f>123 / 86400</f>
        <v>1.4236111111111112E-3</v>
      </c>
    </row>
    <row r="141" spans="1:12" x14ac:dyDescent="0.25">
      <c r="A141" s="3">
        <v>45704.306574074071</v>
      </c>
      <c r="B141" t="s">
        <v>162</v>
      </c>
      <c r="C141" s="3">
        <v>45704.416006944448</v>
      </c>
      <c r="D141" t="s">
        <v>163</v>
      </c>
      <c r="E141" s="4">
        <v>98.988</v>
      </c>
      <c r="F141" s="4">
        <v>92954.327000000005</v>
      </c>
      <c r="G141" s="4">
        <v>93053.315000000002</v>
      </c>
      <c r="H141" s="5">
        <f>2200 / 86400</f>
        <v>2.5462962962962962E-2</v>
      </c>
      <c r="I141" t="s">
        <v>34</v>
      </c>
      <c r="J141" t="s">
        <v>164</v>
      </c>
      <c r="K141" s="5">
        <f>9454 / 86400</f>
        <v>0.10942129629629629</v>
      </c>
      <c r="L141" s="5">
        <f>748 / 86400</f>
        <v>8.6574074074074071E-3</v>
      </c>
    </row>
    <row r="142" spans="1:12" x14ac:dyDescent="0.25">
      <c r="A142" s="3">
        <v>45704.424664351856</v>
      </c>
      <c r="B142" t="s">
        <v>163</v>
      </c>
      <c r="C142" s="3">
        <v>45704.430659722224</v>
      </c>
      <c r="D142" t="s">
        <v>163</v>
      </c>
      <c r="E142" s="4">
        <v>2.4380000000000002</v>
      </c>
      <c r="F142" s="4">
        <v>93053.315000000002</v>
      </c>
      <c r="G142" s="4">
        <v>93055.752999999997</v>
      </c>
      <c r="H142" s="5">
        <f>119 / 86400</f>
        <v>1.3773148148148147E-3</v>
      </c>
      <c r="I142" t="s">
        <v>35</v>
      </c>
      <c r="J142" t="s">
        <v>48</v>
      </c>
      <c r="K142" s="5">
        <f>517 / 86400</f>
        <v>5.9837962962962961E-3</v>
      </c>
      <c r="L142" s="5">
        <f>23991 / 86400</f>
        <v>0.27767361111111111</v>
      </c>
    </row>
    <row r="143" spans="1:12" x14ac:dyDescent="0.25">
      <c r="A143" s="3">
        <v>45704.708333333328</v>
      </c>
      <c r="B143" t="s">
        <v>163</v>
      </c>
      <c r="C143" s="3">
        <v>45704.716712962967</v>
      </c>
      <c r="D143" t="s">
        <v>163</v>
      </c>
      <c r="E143" s="4">
        <v>2.4289999999999998</v>
      </c>
      <c r="F143" s="4">
        <v>93055.752999999997</v>
      </c>
      <c r="G143" s="4">
        <v>93058.182000000001</v>
      </c>
      <c r="H143" s="5">
        <f>199 / 86400</f>
        <v>2.3032407407407407E-3</v>
      </c>
      <c r="I143" t="s">
        <v>102</v>
      </c>
      <c r="J143" t="s">
        <v>165</v>
      </c>
      <c r="K143" s="5">
        <f>723 / 86400</f>
        <v>8.3680555555555557E-3</v>
      </c>
      <c r="L143" s="5">
        <f>229 / 86400</f>
        <v>2.650462962962963E-3</v>
      </c>
    </row>
    <row r="144" spans="1:12" x14ac:dyDescent="0.25">
      <c r="A144" s="3">
        <v>45704.719363425931</v>
      </c>
      <c r="B144" t="s">
        <v>163</v>
      </c>
      <c r="C144" s="3">
        <v>45704.719884259262</v>
      </c>
      <c r="D144" t="s">
        <v>163</v>
      </c>
      <c r="E144" s="4">
        <v>5.0000000000000001E-3</v>
      </c>
      <c r="F144" s="4">
        <v>93058.182000000001</v>
      </c>
      <c r="G144" s="4">
        <v>93058.187000000005</v>
      </c>
      <c r="H144" s="5">
        <f>39 / 86400</f>
        <v>4.5138888888888887E-4</v>
      </c>
      <c r="I144" t="s">
        <v>55</v>
      </c>
      <c r="J144" t="s">
        <v>55</v>
      </c>
      <c r="K144" s="5">
        <f>44 / 86400</f>
        <v>5.0925925925925921E-4</v>
      </c>
      <c r="L144" s="5">
        <f>1001 / 86400</f>
        <v>1.1585648148148149E-2</v>
      </c>
    </row>
    <row r="145" spans="1:12" x14ac:dyDescent="0.25">
      <c r="A145" s="3">
        <v>45704.731469907405</v>
      </c>
      <c r="B145" t="s">
        <v>163</v>
      </c>
      <c r="C145" s="3">
        <v>45704.734537037039</v>
      </c>
      <c r="D145" t="s">
        <v>163</v>
      </c>
      <c r="E145" s="4">
        <v>8.7999999999999995E-2</v>
      </c>
      <c r="F145" s="4">
        <v>93058.187000000005</v>
      </c>
      <c r="G145" s="4">
        <v>93058.274999999994</v>
      </c>
      <c r="H145" s="5">
        <f>219 / 86400</f>
        <v>2.5347222222222221E-3</v>
      </c>
      <c r="I145" t="s">
        <v>88</v>
      </c>
      <c r="J145" t="s">
        <v>128</v>
      </c>
      <c r="K145" s="5">
        <f>265 / 86400</f>
        <v>3.0671296296296297E-3</v>
      </c>
      <c r="L145" s="5">
        <f>1593 / 86400</f>
        <v>1.8437499999999999E-2</v>
      </c>
    </row>
    <row r="146" spans="1:12" x14ac:dyDescent="0.25">
      <c r="A146" s="3">
        <v>45704.752974537041</v>
      </c>
      <c r="B146" t="s">
        <v>163</v>
      </c>
      <c r="C146" s="3">
        <v>45704.754837962959</v>
      </c>
      <c r="D146" t="s">
        <v>163</v>
      </c>
      <c r="E146" s="4">
        <v>0</v>
      </c>
      <c r="F146" s="4">
        <v>93058.274999999994</v>
      </c>
      <c r="G146" s="4">
        <v>93058.274999999994</v>
      </c>
      <c r="H146" s="5">
        <f>159 / 86400</f>
        <v>1.8402777777777777E-3</v>
      </c>
      <c r="I146" t="s">
        <v>55</v>
      </c>
      <c r="J146" t="s">
        <v>55</v>
      </c>
      <c r="K146" s="5">
        <f>160 / 86400</f>
        <v>1.8518518518518519E-3</v>
      </c>
      <c r="L146" s="5">
        <f>392 / 86400</f>
        <v>4.5370370370370373E-3</v>
      </c>
    </row>
    <row r="147" spans="1:12" x14ac:dyDescent="0.25">
      <c r="A147" s="3">
        <v>45704.759375000001</v>
      </c>
      <c r="B147" t="s">
        <v>163</v>
      </c>
      <c r="C147" s="3">
        <v>45704.898564814815</v>
      </c>
      <c r="D147" t="s">
        <v>162</v>
      </c>
      <c r="E147" s="4">
        <v>104.09099999999999</v>
      </c>
      <c r="F147" s="4">
        <v>93058.274999999994</v>
      </c>
      <c r="G147" s="4">
        <v>93162.365999999995</v>
      </c>
      <c r="H147" s="5">
        <f>1559 / 86400</f>
        <v>1.804398148148148E-2</v>
      </c>
      <c r="I147" t="s">
        <v>47</v>
      </c>
      <c r="J147" t="s">
        <v>166</v>
      </c>
      <c r="K147" s="5">
        <f>12025 / 86400</f>
        <v>0.13917824074074073</v>
      </c>
      <c r="L147" s="5">
        <f>193 / 86400</f>
        <v>2.2337962962962962E-3</v>
      </c>
    </row>
    <row r="148" spans="1:12" x14ac:dyDescent="0.25">
      <c r="A148" s="3">
        <v>45704.90079861111</v>
      </c>
      <c r="B148" t="s">
        <v>162</v>
      </c>
      <c r="C148" s="3">
        <v>45704.901550925926</v>
      </c>
      <c r="D148" t="s">
        <v>160</v>
      </c>
      <c r="E148" s="4">
        <v>7.1999999999999995E-2</v>
      </c>
      <c r="F148" s="4">
        <v>93162.365999999995</v>
      </c>
      <c r="G148" s="4">
        <v>93162.437999999995</v>
      </c>
      <c r="H148" s="5">
        <f>20 / 86400</f>
        <v>2.3148148148148149E-4</v>
      </c>
      <c r="I148" t="s">
        <v>136</v>
      </c>
      <c r="J148" t="s">
        <v>137</v>
      </c>
      <c r="K148" s="5">
        <f>65 / 86400</f>
        <v>7.5231481481481482E-4</v>
      </c>
      <c r="L148" s="5">
        <f>317 / 86400</f>
        <v>3.6689814814814814E-3</v>
      </c>
    </row>
    <row r="149" spans="1:12" x14ac:dyDescent="0.25">
      <c r="A149" s="3">
        <v>45704.905219907407</v>
      </c>
      <c r="B149" t="s">
        <v>160</v>
      </c>
      <c r="C149" s="3">
        <v>45704.917048611111</v>
      </c>
      <c r="D149" t="s">
        <v>28</v>
      </c>
      <c r="E149" s="4">
        <v>6.008</v>
      </c>
      <c r="F149" s="4">
        <v>93162.437999999995</v>
      </c>
      <c r="G149" s="4">
        <v>93168.445999999996</v>
      </c>
      <c r="H149" s="5">
        <f>100 / 86400</f>
        <v>1.1574074074074073E-3</v>
      </c>
      <c r="I149" t="s">
        <v>62</v>
      </c>
      <c r="J149" t="s">
        <v>23</v>
      </c>
      <c r="K149" s="5">
        <f>1022 / 86400</f>
        <v>1.1828703703703704E-2</v>
      </c>
      <c r="L149" s="5">
        <f>7166 / 86400</f>
        <v>8.2939814814814813E-2</v>
      </c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1:12" s="10" customFormat="1" ht="20.100000000000001" customHeight="1" x14ac:dyDescent="0.35">
      <c r="A152" s="15" t="s">
        <v>385</v>
      </c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2" ht="30" x14ac:dyDescent="0.25">
      <c r="A154" s="2" t="s">
        <v>6</v>
      </c>
      <c r="B154" s="2" t="s">
        <v>7</v>
      </c>
      <c r="C154" s="2" t="s">
        <v>8</v>
      </c>
      <c r="D154" s="2" t="s">
        <v>9</v>
      </c>
      <c r="E154" s="2" t="s">
        <v>10</v>
      </c>
      <c r="F154" s="2" t="s">
        <v>11</v>
      </c>
      <c r="G154" s="2" t="s">
        <v>12</v>
      </c>
      <c r="H154" s="2" t="s">
        <v>13</v>
      </c>
      <c r="I154" s="2" t="s">
        <v>14</v>
      </c>
      <c r="J154" s="2" t="s">
        <v>15</v>
      </c>
      <c r="K154" s="2" t="s">
        <v>16</v>
      </c>
      <c r="L154" s="2" t="s">
        <v>17</v>
      </c>
    </row>
    <row r="155" spans="1:12" x14ac:dyDescent="0.25">
      <c r="A155" s="3">
        <v>45704.262708333335</v>
      </c>
      <c r="B155" t="s">
        <v>18</v>
      </c>
      <c r="C155" s="3">
        <v>45704.376550925925</v>
      </c>
      <c r="D155" t="s">
        <v>147</v>
      </c>
      <c r="E155" s="4">
        <v>67.138000000000005</v>
      </c>
      <c r="F155" s="4">
        <v>138656.215</v>
      </c>
      <c r="G155" s="4">
        <v>138723.353</v>
      </c>
      <c r="H155" s="5">
        <f>2979 / 86400</f>
        <v>3.4479166666666665E-2</v>
      </c>
      <c r="I155" t="s">
        <v>36</v>
      </c>
      <c r="J155" t="s">
        <v>122</v>
      </c>
      <c r="K155" s="5">
        <f>9836 / 86400</f>
        <v>0.11384259259259259</v>
      </c>
      <c r="L155" s="5">
        <f>22715 / 86400</f>
        <v>0.26290509259259259</v>
      </c>
    </row>
    <row r="156" spans="1:12" x14ac:dyDescent="0.25">
      <c r="A156" s="3">
        <v>45704.376747685186</v>
      </c>
      <c r="B156" t="s">
        <v>147</v>
      </c>
      <c r="C156" s="3">
        <v>45704.376967592594</v>
      </c>
      <c r="D156" t="s">
        <v>147</v>
      </c>
      <c r="E156" s="4">
        <v>7.0000000000000001E-3</v>
      </c>
      <c r="F156" s="4">
        <v>138723.353</v>
      </c>
      <c r="G156" s="4">
        <v>138723.35999999999</v>
      </c>
      <c r="H156" s="5">
        <f>0 / 86400</f>
        <v>0</v>
      </c>
      <c r="I156" t="s">
        <v>55</v>
      </c>
      <c r="J156" t="s">
        <v>128</v>
      </c>
      <c r="K156" s="5">
        <f>18 / 86400</f>
        <v>2.0833333333333335E-4</v>
      </c>
      <c r="L156" s="5">
        <f>492 / 86400</f>
        <v>5.6944444444444447E-3</v>
      </c>
    </row>
    <row r="157" spans="1:12" x14ac:dyDescent="0.25">
      <c r="A157" s="3">
        <v>45704.382662037038</v>
      </c>
      <c r="B157" t="s">
        <v>147</v>
      </c>
      <c r="C157" s="3">
        <v>45704.383842592593</v>
      </c>
      <c r="D157" t="s">
        <v>167</v>
      </c>
      <c r="E157" s="4">
        <v>0.188</v>
      </c>
      <c r="F157" s="4">
        <v>138723.35999999999</v>
      </c>
      <c r="G157" s="4">
        <v>138723.54800000001</v>
      </c>
      <c r="H157" s="5">
        <f>20 / 86400</f>
        <v>2.3148148148148149E-4</v>
      </c>
      <c r="I157" t="s">
        <v>165</v>
      </c>
      <c r="J157" t="s">
        <v>136</v>
      </c>
      <c r="K157" s="5">
        <f>101 / 86400</f>
        <v>1.1689814814814816E-3</v>
      </c>
      <c r="L157" s="5">
        <f>240 / 86400</f>
        <v>2.7777777777777779E-3</v>
      </c>
    </row>
    <row r="158" spans="1:12" x14ac:dyDescent="0.25">
      <c r="A158" s="3">
        <v>45704.386620370366</v>
      </c>
      <c r="B158" t="s">
        <v>167</v>
      </c>
      <c r="C158" s="3">
        <v>45704.479872685188</v>
      </c>
      <c r="D158" t="s">
        <v>168</v>
      </c>
      <c r="E158" s="4">
        <v>47.781999999999996</v>
      </c>
      <c r="F158" s="4">
        <v>138723.54800000001</v>
      </c>
      <c r="G158" s="4">
        <v>138771.32999999999</v>
      </c>
      <c r="H158" s="5">
        <f>2460 / 86400</f>
        <v>2.8472222222222222E-2</v>
      </c>
      <c r="I158" t="s">
        <v>54</v>
      </c>
      <c r="J158" t="s">
        <v>23</v>
      </c>
      <c r="K158" s="5">
        <f>8056 / 86400</f>
        <v>9.3240740740740735E-2</v>
      </c>
      <c r="L158" s="5">
        <f>19 / 86400</f>
        <v>2.199074074074074E-4</v>
      </c>
    </row>
    <row r="159" spans="1:12" x14ac:dyDescent="0.25">
      <c r="A159" s="3">
        <v>45704.480092592596</v>
      </c>
      <c r="B159" t="s">
        <v>168</v>
      </c>
      <c r="C159" s="3">
        <v>45704.554942129631</v>
      </c>
      <c r="D159" t="s">
        <v>169</v>
      </c>
      <c r="E159" s="4">
        <v>42.075000000000003</v>
      </c>
      <c r="F159" s="4">
        <v>138771.32999999999</v>
      </c>
      <c r="G159" s="4">
        <v>138813.405</v>
      </c>
      <c r="H159" s="5">
        <f>1660 / 86400</f>
        <v>1.9212962962962963E-2</v>
      </c>
      <c r="I159" t="s">
        <v>108</v>
      </c>
      <c r="J159" t="s">
        <v>27</v>
      </c>
      <c r="K159" s="5">
        <f>6467 / 86400</f>
        <v>7.4849537037037034E-2</v>
      </c>
      <c r="L159" s="5">
        <f>2306 / 86400</f>
        <v>2.6689814814814816E-2</v>
      </c>
    </row>
    <row r="160" spans="1:12" x14ac:dyDescent="0.25">
      <c r="A160" s="3">
        <v>45704.581631944442</v>
      </c>
      <c r="B160" t="s">
        <v>169</v>
      </c>
      <c r="C160" s="3">
        <v>45704.584201388891</v>
      </c>
      <c r="D160" t="s">
        <v>73</v>
      </c>
      <c r="E160" s="4">
        <v>0.71899999999999997</v>
      </c>
      <c r="F160" s="4">
        <v>138813.405</v>
      </c>
      <c r="G160" s="4">
        <v>138814.12400000001</v>
      </c>
      <c r="H160" s="5">
        <f>59 / 86400</f>
        <v>6.8287037037037036E-4</v>
      </c>
      <c r="I160" t="s">
        <v>170</v>
      </c>
      <c r="J160" t="s">
        <v>165</v>
      </c>
      <c r="K160" s="5">
        <f>221 / 86400</f>
        <v>2.5578703703703705E-3</v>
      </c>
      <c r="L160" s="5">
        <f>365 / 86400</f>
        <v>4.2245370370370371E-3</v>
      </c>
    </row>
    <row r="161" spans="1:12" x14ac:dyDescent="0.25">
      <c r="A161" s="3">
        <v>45704.588425925926</v>
      </c>
      <c r="B161" t="s">
        <v>73</v>
      </c>
      <c r="C161" s="3">
        <v>45704.590532407412</v>
      </c>
      <c r="D161" t="s">
        <v>80</v>
      </c>
      <c r="E161" s="4">
        <v>0.16400000000000001</v>
      </c>
      <c r="F161" s="4">
        <v>138814.12400000001</v>
      </c>
      <c r="G161" s="4">
        <v>138814.288</v>
      </c>
      <c r="H161" s="5">
        <f>40 / 86400</f>
        <v>4.6296296296296298E-4</v>
      </c>
      <c r="I161" t="s">
        <v>136</v>
      </c>
      <c r="J161" t="s">
        <v>87</v>
      </c>
      <c r="K161" s="5">
        <f>181 / 86400</f>
        <v>2.0949074074074073E-3</v>
      </c>
      <c r="L161" s="5">
        <f>409 / 86400</f>
        <v>4.7337962962962967E-3</v>
      </c>
    </row>
    <row r="162" spans="1:12" x14ac:dyDescent="0.25">
      <c r="A162" s="3">
        <v>45704.595266203702</v>
      </c>
      <c r="B162" t="s">
        <v>80</v>
      </c>
      <c r="C162" s="3">
        <v>45704.595520833333</v>
      </c>
      <c r="D162" t="s">
        <v>73</v>
      </c>
      <c r="E162" s="4">
        <v>8.9999999999999993E-3</v>
      </c>
      <c r="F162" s="4">
        <v>138814.288</v>
      </c>
      <c r="G162" s="4">
        <v>138814.29699999999</v>
      </c>
      <c r="H162" s="5">
        <f>19 / 86400</f>
        <v>2.199074074074074E-4</v>
      </c>
      <c r="I162" t="s">
        <v>55</v>
      </c>
      <c r="J162" t="s">
        <v>129</v>
      </c>
      <c r="K162" s="5">
        <f>21 / 86400</f>
        <v>2.4305555555555555E-4</v>
      </c>
      <c r="L162" s="5">
        <f>462 / 86400</f>
        <v>5.347222222222222E-3</v>
      </c>
    </row>
    <row r="163" spans="1:12" x14ac:dyDescent="0.25">
      <c r="A163" s="3">
        <v>45704.600868055553</v>
      </c>
      <c r="B163" t="s">
        <v>73</v>
      </c>
      <c r="C163" s="3">
        <v>45704.601087962961</v>
      </c>
      <c r="D163" t="s">
        <v>73</v>
      </c>
      <c r="E163" s="4">
        <v>0</v>
      </c>
      <c r="F163" s="4">
        <v>138814.29699999999</v>
      </c>
      <c r="G163" s="4">
        <v>138814.29699999999</v>
      </c>
      <c r="H163" s="5">
        <f>0 / 86400</f>
        <v>0</v>
      </c>
      <c r="I163" t="s">
        <v>55</v>
      </c>
      <c r="J163" t="s">
        <v>55</v>
      </c>
      <c r="K163" s="5">
        <f>18 / 86400</f>
        <v>2.0833333333333335E-4</v>
      </c>
      <c r="L163" s="5">
        <f>654 / 86400</f>
        <v>7.5694444444444446E-3</v>
      </c>
    </row>
    <row r="164" spans="1:12" x14ac:dyDescent="0.25">
      <c r="A164" s="3">
        <v>45704.608657407407</v>
      </c>
      <c r="B164" t="s">
        <v>73</v>
      </c>
      <c r="C164" s="3">
        <v>45704.608819444446</v>
      </c>
      <c r="D164" t="s">
        <v>73</v>
      </c>
      <c r="E164" s="4">
        <v>0</v>
      </c>
      <c r="F164" s="4">
        <v>138814.29699999999</v>
      </c>
      <c r="G164" s="4">
        <v>138814.29699999999</v>
      </c>
      <c r="H164" s="5">
        <f>0 / 86400</f>
        <v>0</v>
      </c>
      <c r="I164" t="s">
        <v>55</v>
      </c>
      <c r="J164" t="s">
        <v>55</v>
      </c>
      <c r="K164" s="5">
        <f>14 / 86400</f>
        <v>1.6203703703703703E-4</v>
      </c>
      <c r="L164" s="5">
        <f>272 / 86400</f>
        <v>3.1481481481481482E-3</v>
      </c>
    </row>
    <row r="165" spans="1:12" x14ac:dyDescent="0.25">
      <c r="A165" s="3">
        <v>45704.611967592587</v>
      </c>
      <c r="B165" t="s">
        <v>73</v>
      </c>
      <c r="C165" s="3">
        <v>45704.739490740743</v>
      </c>
      <c r="D165" t="s">
        <v>167</v>
      </c>
      <c r="E165" s="4">
        <v>75.031000000000006</v>
      </c>
      <c r="F165" s="4">
        <v>138814.29699999999</v>
      </c>
      <c r="G165" s="4">
        <v>138889.32800000001</v>
      </c>
      <c r="H165" s="5">
        <f>3318 / 86400</f>
        <v>3.8402777777777779E-2</v>
      </c>
      <c r="I165" t="s">
        <v>110</v>
      </c>
      <c r="J165" t="s">
        <v>122</v>
      </c>
      <c r="K165" s="5">
        <f>11017 / 86400</f>
        <v>0.12751157407407407</v>
      </c>
      <c r="L165" s="5">
        <f>56 / 86400</f>
        <v>6.4814814814814813E-4</v>
      </c>
    </row>
    <row r="166" spans="1:12" x14ac:dyDescent="0.25">
      <c r="A166" s="3">
        <v>45704.74013888889</v>
      </c>
      <c r="B166" t="s">
        <v>167</v>
      </c>
      <c r="C166" s="3">
        <v>45704.799050925925</v>
      </c>
      <c r="D166" t="s">
        <v>134</v>
      </c>
      <c r="E166" s="4">
        <v>29.81</v>
      </c>
      <c r="F166" s="4">
        <v>138889.32800000001</v>
      </c>
      <c r="G166" s="4">
        <v>138919.13800000001</v>
      </c>
      <c r="H166" s="5">
        <f>1301 / 86400</f>
        <v>1.5057870370370371E-2</v>
      </c>
      <c r="I166" t="s">
        <v>110</v>
      </c>
      <c r="J166" t="s">
        <v>23</v>
      </c>
      <c r="K166" s="5">
        <f>5090 / 86400</f>
        <v>5.8912037037037034E-2</v>
      </c>
      <c r="L166" s="5">
        <f>616 / 86400</f>
        <v>7.1296296296296299E-3</v>
      </c>
    </row>
    <row r="167" spans="1:12" x14ac:dyDescent="0.25">
      <c r="A167" s="3">
        <v>45704.806180555555</v>
      </c>
      <c r="B167" t="s">
        <v>134</v>
      </c>
      <c r="C167" s="3">
        <v>45704.810624999998</v>
      </c>
      <c r="D167" t="s">
        <v>18</v>
      </c>
      <c r="E167" s="4">
        <v>0.49</v>
      </c>
      <c r="F167" s="4">
        <v>138919.13800000001</v>
      </c>
      <c r="G167" s="4">
        <v>138919.628</v>
      </c>
      <c r="H167" s="5">
        <f>279 / 86400</f>
        <v>3.2291666666666666E-3</v>
      </c>
      <c r="I167" t="s">
        <v>122</v>
      </c>
      <c r="J167" t="s">
        <v>127</v>
      </c>
      <c r="K167" s="5">
        <f>383 / 86400</f>
        <v>4.43287037037037E-3</v>
      </c>
      <c r="L167" s="5">
        <f>7 / 86400</f>
        <v>8.1018518518518516E-5</v>
      </c>
    </row>
    <row r="168" spans="1:12" x14ac:dyDescent="0.25">
      <c r="A168" s="3">
        <v>45704.810706018514</v>
      </c>
      <c r="B168" t="s">
        <v>18</v>
      </c>
      <c r="C168" s="3">
        <v>45704.810798611114</v>
      </c>
      <c r="D168" t="s">
        <v>18</v>
      </c>
      <c r="E168" s="4">
        <v>0</v>
      </c>
      <c r="F168" s="4">
        <v>138919.628</v>
      </c>
      <c r="G168" s="4">
        <v>138919.628</v>
      </c>
      <c r="H168" s="5">
        <f>0 / 86400</f>
        <v>0</v>
      </c>
      <c r="I168" t="s">
        <v>55</v>
      </c>
      <c r="J168" t="s">
        <v>55</v>
      </c>
      <c r="K168" s="5">
        <f>7 / 86400</f>
        <v>8.1018518518518516E-5</v>
      </c>
      <c r="L168" s="5">
        <f>7488 / 86400</f>
        <v>8.666666666666667E-2</v>
      </c>
    </row>
    <row r="169" spans="1:12" x14ac:dyDescent="0.25">
      <c r="A169" s="3">
        <v>45704.897465277776</v>
      </c>
      <c r="B169" t="s">
        <v>18</v>
      </c>
      <c r="C169" s="3">
        <v>45704.899884259255</v>
      </c>
      <c r="D169" t="s">
        <v>18</v>
      </c>
      <c r="E169" s="4">
        <v>2.1999999999999999E-2</v>
      </c>
      <c r="F169" s="4">
        <v>138919.628</v>
      </c>
      <c r="G169" s="4">
        <v>138919.65</v>
      </c>
      <c r="H169" s="5">
        <f>159 / 86400</f>
        <v>1.8402777777777777E-3</v>
      </c>
      <c r="I169" t="s">
        <v>129</v>
      </c>
      <c r="J169" t="s">
        <v>55</v>
      </c>
      <c r="K169" s="5">
        <f>208 / 86400</f>
        <v>2.4074074074074076E-3</v>
      </c>
      <c r="L169" s="5">
        <f>155 / 86400</f>
        <v>1.7939814814814815E-3</v>
      </c>
    </row>
    <row r="170" spans="1:12" x14ac:dyDescent="0.25">
      <c r="A170" s="3">
        <v>45704.901678240742</v>
      </c>
      <c r="B170" t="s">
        <v>18</v>
      </c>
      <c r="C170" s="3">
        <v>45704.901863425926</v>
      </c>
      <c r="D170" t="s">
        <v>18</v>
      </c>
      <c r="E170" s="4">
        <v>0</v>
      </c>
      <c r="F170" s="4">
        <v>138919.65</v>
      </c>
      <c r="G170" s="4">
        <v>138919.65</v>
      </c>
      <c r="H170" s="5">
        <f>0 / 86400</f>
        <v>0</v>
      </c>
      <c r="I170" t="s">
        <v>55</v>
      </c>
      <c r="J170" t="s">
        <v>55</v>
      </c>
      <c r="K170" s="5">
        <f>16 / 86400</f>
        <v>1.8518518518518518E-4</v>
      </c>
      <c r="L170" s="5">
        <f>8478 / 86400</f>
        <v>9.8125000000000004E-2</v>
      </c>
    </row>
    <row r="171" spans="1:1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1:1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1:12" s="10" customFormat="1" ht="20.100000000000001" customHeight="1" x14ac:dyDescent="0.35">
      <c r="A173" s="15" t="s">
        <v>386</v>
      </c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ht="30" x14ac:dyDescent="0.25">
      <c r="A175" s="2" t="s">
        <v>6</v>
      </c>
      <c r="B175" s="2" t="s">
        <v>7</v>
      </c>
      <c r="C175" s="2" t="s">
        <v>8</v>
      </c>
      <c r="D175" s="2" t="s">
        <v>9</v>
      </c>
      <c r="E175" s="2" t="s">
        <v>10</v>
      </c>
      <c r="F175" s="2" t="s">
        <v>11</v>
      </c>
      <c r="G175" s="2" t="s">
        <v>12</v>
      </c>
      <c r="H175" s="2" t="s">
        <v>13</v>
      </c>
      <c r="I175" s="2" t="s">
        <v>14</v>
      </c>
      <c r="J175" s="2" t="s">
        <v>15</v>
      </c>
      <c r="K175" s="2" t="s">
        <v>16</v>
      </c>
      <c r="L175" s="2" t="s">
        <v>17</v>
      </c>
    </row>
    <row r="176" spans="1:12" x14ac:dyDescent="0.25">
      <c r="A176" s="3">
        <v>45704.550277777773</v>
      </c>
      <c r="B176" t="s">
        <v>28</v>
      </c>
      <c r="C176" s="3">
        <v>45704.550567129627</v>
      </c>
      <c r="D176" t="s">
        <v>28</v>
      </c>
      <c r="E176" s="4">
        <v>1.3313273608684539E-2</v>
      </c>
      <c r="F176" s="4">
        <v>348286.50506740203</v>
      </c>
      <c r="G176" s="4">
        <v>348286.51838067564</v>
      </c>
      <c r="H176" s="5">
        <f t="shared" ref="H176:H239" si="0">0 / 86400</f>
        <v>0</v>
      </c>
      <c r="I176" t="s">
        <v>136</v>
      </c>
      <c r="J176" t="s">
        <v>129</v>
      </c>
      <c r="K176" s="5">
        <f>25 / 86400</f>
        <v>2.8935185185185184E-4</v>
      </c>
      <c r="L176" s="5">
        <f>47555 / 86400</f>
        <v>0.55040509259259263</v>
      </c>
    </row>
    <row r="177" spans="1:12" x14ac:dyDescent="0.25">
      <c r="A177" s="3">
        <v>45704.55069444445</v>
      </c>
      <c r="B177" t="s">
        <v>28</v>
      </c>
      <c r="C177" s="3">
        <v>45704.551898148144</v>
      </c>
      <c r="D177" t="s">
        <v>28</v>
      </c>
      <c r="E177" s="4">
        <v>0.24169345211982726</v>
      </c>
      <c r="F177" s="4">
        <v>348286.52252141578</v>
      </c>
      <c r="G177" s="4">
        <v>348286.7642148679</v>
      </c>
      <c r="H177" s="5">
        <f t="shared" si="0"/>
        <v>0</v>
      </c>
      <c r="I177" t="s">
        <v>151</v>
      </c>
      <c r="J177" t="s">
        <v>119</v>
      </c>
      <c r="K177" s="5">
        <f>104 / 86400</f>
        <v>1.2037037037037038E-3</v>
      </c>
      <c r="L177" s="5">
        <f>2292 / 86400</f>
        <v>2.6527777777777779E-2</v>
      </c>
    </row>
    <row r="178" spans="1:12" x14ac:dyDescent="0.25">
      <c r="A178" s="3">
        <v>45704.578425925924</v>
      </c>
      <c r="B178" t="s">
        <v>28</v>
      </c>
      <c r="C178" s="3">
        <v>45704.578657407408</v>
      </c>
      <c r="D178" t="s">
        <v>28</v>
      </c>
      <c r="E178" s="4">
        <v>3.2119348645210264E-3</v>
      </c>
      <c r="F178" s="4">
        <v>348286.77284653933</v>
      </c>
      <c r="G178" s="4">
        <v>348286.77605847421</v>
      </c>
      <c r="H178" s="5">
        <f t="shared" si="0"/>
        <v>0</v>
      </c>
      <c r="I178" t="s">
        <v>128</v>
      </c>
      <c r="J178" t="s">
        <v>128</v>
      </c>
      <c r="K178" s="5">
        <f>20 / 86400</f>
        <v>2.3148148148148149E-4</v>
      </c>
      <c r="L178" s="5">
        <f>26 / 86400</f>
        <v>3.0092592592592595E-4</v>
      </c>
    </row>
    <row r="179" spans="1:12" x14ac:dyDescent="0.25">
      <c r="A179" s="3">
        <v>45704.578958333332</v>
      </c>
      <c r="B179" t="s">
        <v>28</v>
      </c>
      <c r="C179" s="3">
        <v>45704.581192129626</v>
      </c>
      <c r="D179" t="s">
        <v>171</v>
      </c>
      <c r="E179" s="4">
        <v>1.3764361364841462</v>
      </c>
      <c r="F179" s="4">
        <v>348286.82257693243</v>
      </c>
      <c r="G179" s="4">
        <v>348288.19901306892</v>
      </c>
      <c r="H179" s="5">
        <f t="shared" si="0"/>
        <v>0</v>
      </c>
      <c r="I179" t="s">
        <v>172</v>
      </c>
      <c r="J179" t="s">
        <v>94</v>
      </c>
      <c r="K179" s="5">
        <f>193 / 86400</f>
        <v>2.2337962962962962E-3</v>
      </c>
      <c r="L179" s="5">
        <f>20 / 86400</f>
        <v>2.3148148148148149E-4</v>
      </c>
    </row>
    <row r="180" spans="1:12" x14ac:dyDescent="0.25">
      <c r="A180" s="3">
        <v>45704.581423611111</v>
      </c>
      <c r="B180" t="s">
        <v>171</v>
      </c>
      <c r="C180" s="3">
        <v>45704.587546296301</v>
      </c>
      <c r="D180" t="s">
        <v>173</v>
      </c>
      <c r="E180" s="4">
        <v>3.3165932896733286</v>
      </c>
      <c r="F180" s="4">
        <v>348288.20920818119</v>
      </c>
      <c r="G180" s="4">
        <v>348291.52580147085</v>
      </c>
      <c r="H180" s="5">
        <f t="shared" si="0"/>
        <v>0</v>
      </c>
      <c r="I180" t="s">
        <v>174</v>
      </c>
      <c r="J180" t="s">
        <v>27</v>
      </c>
      <c r="K180" s="5">
        <f>529 / 86400</f>
        <v>6.122685185185185E-3</v>
      </c>
      <c r="L180" s="5">
        <f>20 / 86400</f>
        <v>2.3148148148148149E-4</v>
      </c>
    </row>
    <row r="181" spans="1:12" x14ac:dyDescent="0.25">
      <c r="A181" s="3">
        <v>45704.587777777779</v>
      </c>
      <c r="B181" t="s">
        <v>173</v>
      </c>
      <c r="C181" s="3">
        <v>45704.588009259256</v>
      </c>
      <c r="D181" t="s">
        <v>28</v>
      </c>
      <c r="E181" s="4">
        <v>3.7658545851707456E-2</v>
      </c>
      <c r="F181" s="4">
        <v>348291.55281419976</v>
      </c>
      <c r="G181" s="4">
        <v>348291.59047274559</v>
      </c>
      <c r="H181" s="5">
        <f t="shared" si="0"/>
        <v>0</v>
      </c>
      <c r="I181" t="s">
        <v>30</v>
      </c>
      <c r="J181" t="s">
        <v>136</v>
      </c>
      <c r="K181" s="5">
        <f>20 / 86400</f>
        <v>2.3148148148148149E-4</v>
      </c>
      <c r="L181" s="5">
        <f>40 / 86400</f>
        <v>4.6296296296296298E-4</v>
      </c>
    </row>
    <row r="182" spans="1:12" x14ac:dyDescent="0.25">
      <c r="A182" s="3">
        <v>45704.588472222225</v>
      </c>
      <c r="B182" t="s">
        <v>173</v>
      </c>
      <c r="C182" s="3">
        <v>45704.591168981482</v>
      </c>
      <c r="D182" t="s">
        <v>173</v>
      </c>
      <c r="E182" s="4">
        <v>0.8379804307222366</v>
      </c>
      <c r="F182" s="4">
        <v>348291.60765593173</v>
      </c>
      <c r="G182" s="4">
        <v>348292.44563636242</v>
      </c>
      <c r="H182" s="5">
        <f t="shared" si="0"/>
        <v>0</v>
      </c>
      <c r="I182" t="s">
        <v>175</v>
      </c>
      <c r="J182" t="s">
        <v>86</v>
      </c>
      <c r="K182" s="5">
        <f>233 / 86400</f>
        <v>2.6967592592592594E-3</v>
      </c>
      <c r="L182" s="5">
        <f>60 / 86400</f>
        <v>6.9444444444444447E-4</v>
      </c>
    </row>
    <row r="183" spans="1:12" x14ac:dyDescent="0.25">
      <c r="A183" s="3">
        <v>45704.591863425929</v>
      </c>
      <c r="B183" t="s">
        <v>173</v>
      </c>
      <c r="C183" s="3">
        <v>45704.592326388884</v>
      </c>
      <c r="D183" t="s">
        <v>173</v>
      </c>
      <c r="E183" s="4">
        <v>8.2006419837474823E-2</v>
      </c>
      <c r="F183" s="4">
        <v>348292.46219456923</v>
      </c>
      <c r="G183" s="4">
        <v>348292.54420098907</v>
      </c>
      <c r="H183" s="5">
        <f t="shared" si="0"/>
        <v>0</v>
      </c>
      <c r="I183" t="s">
        <v>136</v>
      </c>
      <c r="J183" t="s">
        <v>136</v>
      </c>
      <c r="K183" s="5">
        <f>40 / 86400</f>
        <v>4.6296296296296298E-4</v>
      </c>
      <c r="L183" s="5">
        <f>100 / 86400</f>
        <v>1.1574074074074073E-3</v>
      </c>
    </row>
    <row r="184" spans="1:12" x14ac:dyDescent="0.25">
      <c r="A184" s="3">
        <v>45704.5934837963</v>
      </c>
      <c r="B184" t="s">
        <v>173</v>
      </c>
      <c r="C184" s="3">
        <v>45704.595567129625</v>
      </c>
      <c r="D184" t="s">
        <v>173</v>
      </c>
      <c r="E184" s="4">
        <v>0.45915301197767255</v>
      </c>
      <c r="F184" s="4">
        <v>348292.55842156359</v>
      </c>
      <c r="G184" s="4">
        <v>348293.01757457556</v>
      </c>
      <c r="H184" s="5">
        <f t="shared" si="0"/>
        <v>0</v>
      </c>
      <c r="I184" t="s">
        <v>165</v>
      </c>
      <c r="J184" t="s">
        <v>30</v>
      </c>
      <c r="K184" s="5">
        <f>180 / 86400</f>
        <v>2.0833333333333333E-3</v>
      </c>
      <c r="L184" s="5">
        <f>20 / 86400</f>
        <v>2.3148148148148149E-4</v>
      </c>
    </row>
    <row r="185" spans="1:12" x14ac:dyDescent="0.25">
      <c r="A185" s="3">
        <v>45704.59579861111</v>
      </c>
      <c r="B185" t="s">
        <v>173</v>
      </c>
      <c r="C185" s="3">
        <v>45704.596261574072</v>
      </c>
      <c r="D185" t="s">
        <v>173</v>
      </c>
      <c r="E185" s="4">
        <v>3.6910971283912658E-2</v>
      </c>
      <c r="F185" s="4">
        <v>348293.03594585933</v>
      </c>
      <c r="G185" s="4">
        <v>348293.07285683061</v>
      </c>
      <c r="H185" s="5">
        <f t="shared" si="0"/>
        <v>0</v>
      </c>
      <c r="I185" t="s">
        <v>137</v>
      </c>
      <c r="J185" t="s">
        <v>87</v>
      </c>
      <c r="K185" s="5">
        <f>40 / 86400</f>
        <v>4.6296296296296298E-4</v>
      </c>
      <c r="L185" s="5">
        <f>20 / 86400</f>
        <v>2.3148148148148149E-4</v>
      </c>
    </row>
    <row r="186" spans="1:12" x14ac:dyDescent="0.25">
      <c r="A186" s="3">
        <v>45704.596493055556</v>
      </c>
      <c r="B186" t="s">
        <v>173</v>
      </c>
      <c r="C186" s="3">
        <v>45704.596724537041</v>
      </c>
      <c r="D186" t="s">
        <v>173</v>
      </c>
      <c r="E186" s="4">
        <v>1.6976380169391632E-2</v>
      </c>
      <c r="F186" s="4">
        <v>348293.0763997446</v>
      </c>
      <c r="G186" s="4">
        <v>348293.0933761248</v>
      </c>
      <c r="H186" s="5">
        <f t="shared" si="0"/>
        <v>0</v>
      </c>
      <c r="I186" t="s">
        <v>127</v>
      </c>
      <c r="J186" t="s">
        <v>87</v>
      </c>
      <c r="K186" s="5">
        <f>20 / 86400</f>
        <v>2.3148148148148149E-4</v>
      </c>
      <c r="L186" s="5">
        <f>80 / 86400</f>
        <v>9.2592592592592596E-4</v>
      </c>
    </row>
    <row r="187" spans="1:12" x14ac:dyDescent="0.25">
      <c r="A187" s="3">
        <v>45704.597650462965</v>
      </c>
      <c r="B187" t="s">
        <v>173</v>
      </c>
      <c r="C187" s="3">
        <v>45704.597881944443</v>
      </c>
      <c r="D187" t="s">
        <v>173</v>
      </c>
      <c r="E187" s="4">
        <v>1.6094253003597261E-2</v>
      </c>
      <c r="F187" s="4">
        <v>348293.13192462042</v>
      </c>
      <c r="G187" s="4">
        <v>348293.14801887347</v>
      </c>
      <c r="H187" s="5">
        <f t="shared" si="0"/>
        <v>0</v>
      </c>
      <c r="I187" t="s">
        <v>127</v>
      </c>
      <c r="J187" t="s">
        <v>87</v>
      </c>
      <c r="K187" s="5">
        <f>20 / 86400</f>
        <v>2.3148148148148149E-4</v>
      </c>
      <c r="L187" s="5">
        <f>60 / 86400</f>
        <v>6.9444444444444447E-4</v>
      </c>
    </row>
    <row r="188" spans="1:12" x14ac:dyDescent="0.25">
      <c r="A188" s="3">
        <v>45704.598576388889</v>
      </c>
      <c r="B188" t="s">
        <v>176</v>
      </c>
      <c r="C188" s="3">
        <v>45704.598807870367</v>
      </c>
      <c r="D188" t="s">
        <v>176</v>
      </c>
      <c r="E188" s="4">
        <v>3.1827516257762908E-2</v>
      </c>
      <c r="F188" s="4">
        <v>348293.15948949696</v>
      </c>
      <c r="G188" s="4">
        <v>348293.19131701323</v>
      </c>
      <c r="H188" s="5">
        <f t="shared" si="0"/>
        <v>0</v>
      </c>
      <c r="I188" t="s">
        <v>127</v>
      </c>
      <c r="J188" t="s">
        <v>88</v>
      </c>
      <c r="K188" s="5">
        <f>20 / 86400</f>
        <v>2.3148148148148149E-4</v>
      </c>
      <c r="L188" s="5">
        <f>20 / 86400</f>
        <v>2.3148148148148149E-4</v>
      </c>
    </row>
    <row r="189" spans="1:12" x14ac:dyDescent="0.25">
      <c r="A189" s="3">
        <v>45704.599039351851</v>
      </c>
      <c r="B189" t="s">
        <v>173</v>
      </c>
      <c r="C189" s="3">
        <v>45704.599270833336</v>
      </c>
      <c r="D189" t="s">
        <v>173</v>
      </c>
      <c r="E189" s="4">
        <v>2.0383683681488036E-2</v>
      </c>
      <c r="F189" s="4">
        <v>348293.21141041321</v>
      </c>
      <c r="G189" s="4">
        <v>348293.23179409688</v>
      </c>
      <c r="H189" s="5">
        <f t="shared" si="0"/>
        <v>0</v>
      </c>
      <c r="I189" t="s">
        <v>88</v>
      </c>
      <c r="J189" t="s">
        <v>137</v>
      </c>
      <c r="K189" s="5">
        <f>20 / 86400</f>
        <v>2.3148148148148149E-4</v>
      </c>
      <c r="L189" s="5">
        <f>20 / 86400</f>
        <v>2.3148148148148149E-4</v>
      </c>
    </row>
    <row r="190" spans="1:12" x14ac:dyDescent="0.25">
      <c r="A190" s="3">
        <v>45704.599502314813</v>
      </c>
      <c r="B190" t="s">
        <v>173</v>
      </c>
      <c r="C190" s="3">
        <v>45704.599733796298</v>
      </c>
      <c r="D190" t="s">
        <v>173</v>
      </c>
      <c r="E190" s="4">
        <v>3.0040838837623596E-2</v>
      </c>
      <c r="F190" s="4">
        <v>348293.27349170734</v>
      </c>
      <c r="G190" s="4">
        <v>348293.30353254615</v>
      </c>
      <c r="H190" s="5">
        <f t="shared" si="0"/>
        <v>0</v>
      </c>
      <c r="I190" t="s">
        <v>151</v>
      </c>
      <c r="J190" t="s">
        <v>127</v>
      </c>
      <c r="K190" s="5">
        <f>20 / 86400</f>
        <v>2.3148148148148149E-4</v>
      </c>
      <c r="L190" s="5">
        <f>20 / 86400</f>
        <v>2.3148148148148149E-4</v>
      </c>
    </row>
    <row r="191" spans="1:12" x14ac:dyDescent="0.25">
      <c r="A191" s="3">
        <v>45704.599965277783</v>
      </c>
      <c r="B191" t="s">
        <v>173</v>
      </c>
      <c r="C191" s="3">
        <v>45704.601585648154</v>
      </c>
      <c r="D191" t="s">
        <v>173</v>
      </c>
      <c r="E191" s="4">
        <v>0.34513628667593005</v>
      </c>
      <c r="F191" s="4">
        <v>348293.3366646755</v>
      </c>
      <c r="G191" s="4">
        <v>348293.68180096213</v>
      </c>
      <c r="H191" s="5">
        <f t="shared" si="0"/>
        <v>0</v>
      </c>
      <c r="I191" t="s">
        <v>86</v>
      </c>
      <c r="J191" t="s">
        <v>30</v>
      </c>
      <c r="K191" s="5">
        <f>140 / 86400</f>
        <v>1.6203703703703703E-3</v>
      </c>
      <c r="L191" s="5">
        <f>20 / 86400</f>
        <v>2.3148148148148149E-4</v>
      </c>
    </row>
    <row r="192" spans="1:12" x14ac:dyDescent="0.25">
      <c r="A192" s="3">
        <v>45704.601817129631</v>
      </c>
      <c r="B192" t="s">
        <v>173</v>
      </c>
      <c r="C192" s="3">
        <v>45704.606712962966</v>
      </c>
      <c r="D192" t="s">
        <v>177</v>
      </c>
      <c r="E192" s="4">
        <v>2.6277408759593963</v>
      </c>
      <c r="F192" s="4">
        <v>348293.70978164976</v>
      </c>
      <c r="G192" s="4">
        <v>348296.33752252575</v>
      </c>
      <c r="H192" s="5">
        <f t="shared" si="0"/>
        <v>0</v>
      </c>
      <c r="I192" t="s">
        <v>178</v>
      </c>
      <c r="J192" t="s">
        <v>20</v>
      </c>
      <c r="K192" s="5">
        <f>423 / 86400</f>
        <v>4.8958333333333336E-3</v>
      </c>
      <c r="L192" s="5">
        <f>56 / 86400</f>
        <v>6.4814814814814813E-4</v>
      </c>
    </row>
    <row r="193" spans="1:12" x14ac:dyDescent="0.25">
      <c r="A193" s="3">
        <v>45704.607361111106</v>
      </c>
      <c r="B193" t="s">
        <v>179</v>
      </c>
      <c r="C193" s="3">
        <v>45704.608518518522</v>
      </c>
      <c r="D193" t="s">
        <v>104</v>
      </c>
      <c r="E193" s="4">
        <v>0.92462804764509199</v>
      </c>
      <c r="F193" s="4">
        <v>348296.35591263964</v>
      </c>
      <c r="G193" s="4">
        <v>348297.28054068726</v>
      </c>
      <c r="H193" s="5">
        <f t="shared" si="0"/>
        <v>0</v>
      </c>
      <c r="I193" t="s">
        <v>180</v>
      </c>
      <c r="J193" t="s">
        <v>102</v>
      </c>
      <c r="K193" s="5">
        <f>100 / 86400</f>
        <v>1.1574074074074073E-3</v>
      </c>
      <c r="L193" s="5">
        <f>20 / 86400</f>
        <v>2.3148148148148149E-4</v>
      </c>
    </row>
    <row r="194" spans="1:12" x14ac:dyDescent="0.25">
      <c r="A194" s="3">
        <v>45704.608749999999</v>
      </c>
      <c r="B194" t="s">
        <v>89</v>
      </c>
      <c r="C194" s="3">
        <v>45704.610138888893</v>
      </c>
      <c r="D194" t="s">
        <v>181</v>
      </c>
      <c r="E194" s="4">
        <v>1.1361216356158257</v>
      </c>
      <c r="F194" s="4">
        <v>348297.43110393558</v>
      </c>
      <c r="G194" s="4">
        <v>348298.5672255712</v>
      </c>
      <c r="H194" s="5">
        <f t="shared" si="0"/>
        <v>0</v>
      </c>
      <c r="I194" t="s">
        <v>178</v>
      </c>
      <c r="J194" t="s">
        <v>116</v>
      </c>
      <c r="K194" s="5">
        <f>120 / 86400</f>
        <v>1.3888888888888889E-3</v>
      </c>
      <c r="L194" s="5">
        <f>20 / 86400</f>
        <v>2.3148148148148149E-4</v>
      </c>
    </row>
    <row r="195" spans="1:12" x14ac:dyDescent="0.25">
      <c r="A195" s="3">
        <v>45704.61037037037</v>
      </c>
      <c r="B195" t="s">
        <v>89</v>
      </c>
      <c r="C195" s="3">
        <v>45704.611990740741</v>
      </c>
      <c r="D195" t="s">
        <v>89</v>
      </c>
      <c r="E195" s="4">
        <v>1.3128140205740928</v>
      </c>
      <c r="F195" s="4">
        <v>348298.67079230864</v>
      </c>
      <c r="G195" s="4">
        <v>348299.98360632919</v>
      </c>
      <c r="H195" s="5">
        <f t="shared" si="0"/>
        <v>0</v>
      </c>
      <c r="I195" t="s">
        <v>182</v>
      </c>
      <c r="J195" t="s">
        <v>116</v>
      </c>
      <c r="K195" s="5">
        <f>140 / 86400</f>
        <v>1.6203703703703703E-3</v>
      </c>
      <c r="L195" s="5">
        <f>55 / 86400</f>
        <v>6.3657407407407413E-4</v>
      </c>
    </row>
    <row r="196" spans="1:12" x14ac:dyDescent="0.25">
      <c r="A196" s="3">
        <v>45704.612627314811</v>
      </c>
      <c r="B196" t="s">
        <v>89</v>
      </c>
      <c r="C196" s="3">
        <v>45704.614016203705</v>
      </c>
      <c r="D196" t="s">
        <v>89</v>
      </c>
      <c r="E196" s="4">
        <v>0.93988183254003521</v>
      </c>
      <c r="F196" s="4">
        <v>348299.99204587878</v>
      </c>
      <c r="G196" s="4">
        <v>348300.9319277113</v>
      </c>
      <c r="H196" s="5">
        <f t="shared" si="0"/>
        <v>0</v>
      </c>
      <c r="I196" t="s">
        <v>183</v>
      </c>
      <c r="J196" t="s">
        <v>29</v>
      </c>
      <c r="K196" s="5">
        <f>120 / 86400</f>
        <v>1.3888888888888889E-3</v>
      </c>
      <c r="L196" s="5">
        <f t="shared" ref="L196:L201" si="1">20 / 86400</f>
        <v>2.3148148148148149E-4</v>
      </c>
    </row>
    <row r="197" spans="1:12" x14ac:dyDescent="0.25">
      <c r="A197" s="3">
        <v>45704.614247685182</v>
      </c>
      <c r="B197" t="s">
        <v>89</v>
      </c>
      <c r="C197" s="3">
        <v>45704.615405092598</v>
      </c>
      <c r="D197" t="s">
        <v>89</v>
      </c>
      <c r="E197" s="4">
        <v>0.93726933640241628</v>
      </c>
      <c r="F197" s="4">
        <v>348300.99848644296</v>
      </c>
      <c r="G197" s="4">
        <v>348301.93575577938</v>
      </c>
      <c r="H197" s="5">
        <f t="shared" si="0"/>
        <v>0</v>
      </c>
      <c r="I197" t="s">
        <v>124</v>
      </c>
      <c r="J197" t="s">
        <v>116</v>
      </c>
      <c r="K197" s="5">
        <f>100 / 86400</f>
        <v>1.1574074074074073E-3</v>
      </c>
      <c r="L197" s="5">
        <f t="shared" si="1"/>
        <v>2.3148148148148149E-4</v>
      </c>
    </row>
    <row r="198" spans="1:12" x14ac:dyDescent="0.25">
      <c r="A198" s="3">
        <v>45704.615636574075</v>
      </c>
      <c r="B198" t="s">
        <v>89</v>
      </c>
      <c r="C198" s="3">
        <v>45704.616099537037</v>
      </c>
      <c r="D198" t="s">
        <v>83</v>
      </c>
      <c r="E198" s="4">
        <v>0.5416317004561424</v>
      </c>
      <c r="F198" s="4">
        <v>348302.14527523064</v>
      </c>
      <c r="G198" s="4">
        <v>348302.68690693111</v>
      </c>
      <c r="H198" s="5">
        <f t="shared" si="0"/>
        <v>0</v>
      </c>
      <c r="I198" t="s">
        <v>124</v>
      </c>
      <c r="J198" t="s">
        <v>172</v>
      </c>
      <c r="K198" s="5">
        <f>40 / 86400</f>
        <v>4.6296296296296298E-4</v>
      </c>
      <c r="L198" s="5">
        <f t="shared" si="1"/>
        <v>2.3148148148148149E-4</v>
      </c>
    </row>
    <row r="199" spans="1:12" x14ac:dyDescent="0.25">
      <c r="A199" s="3">
        <v>45704.616331018522</v>
      </c>
      <c r="B199" t="s">
        <v>83</v>
      </c>
      <c r="C199" s="3">
        <v>45704.617256944446</v>
      </c>
      <c r="D199" t="s">
        <v>83</v>
      </c>
      <c r="E199" s="4">
        <v>0.70400982105731968</v>
      </c>
      <c r="F199" s="4">
        <v>348302.69506125513</v>
      </c>
      <c r="G199" s="4">
        <v>348303.39907107619</v>
      </c>
      <c r="H199" s="5">
        <f t="shared" si="0"/>
        <v>0</v>
      </c>
      <c r="I199" t="s">
        <v>184</v>
      </c>
      <c r="J199" t="s">
        <v>170</v>
      </c>
      <c r="K199" s="5">
        <f>80 / 86400</f>
        <v>9.2592592592592596E-4</v>
      </c>
      <c r="L199" s="5">
        <f t="shared" si="1"/>
        <v>2.3148148148148149E-4</v>
      </c>
    </row>
    <row r="200" spans="1:12" x14ac:dyDescent="0.25">
      <c r="A200" s="3">
        <v>45704.617488425924</v>
      </c>
      <c r="B200" t="s">
        <v>83</v>
      </c>
      <c r="C200" s="3">
        <v>45704.617719907408</v>
      </c>
      <c r="D200" t="s">
        <v>83</v>
      </c>
      <c r="E200" s="4">
        <v>0.13008118844032288</v>
      </c>
      <c r="F200" s="4">
        <v>348303.54541893012</v>
      </c>
      <c r="G200" s="4">
        <v>348303.67550011858</v>
      </c>
      <c r="H200" s="5">
        <f t="shared" si="0"/>
        <v>0</v>
      </c>
      <c r="I200" t="s">
        <v>159</v>
      </c>
      <c r="J200" t="s">
        <v>27</v>
      </c>
      <c r="K200" s="5">
        <f>20 / 86400</f>
        <v>2.3148148148148149E-4</v>
      </c>
      <c r="L200" s="5">
        <f t="shared" si="1"/>
        <v>2.3148148148148149E-4</v>
      </c>
    </row>
    <row r="201" spans="1:12" x14ac:dyDescent="0.25">
      <c r="A201" s="3">
        <v>45704.617951388893</v>
      </c>
      <c r="B201" t="s">
        <v>83</v>
      </c>
      <c r="C201" s="3">
        <v>45704.618645833332</v>
      </c>
      <c r="D201" t="s">
        <v>83</v>
      </c>
      <c r="E201" s="4">
        <v>0.2690995302796364</v>
      </c>
      <c r="F201" s="4">
        <v>348303.78834451339</v>
      </c>
      <c r="G201" s="4">
        <v>348304.05744404369</v>
      </c>
      <c r="H201" s="5">
        <f t="shared" si="0"/>
        <v>0</v>
      </c>
      <c r="I201" t="s">
        <v>29</v>
      </c>
      <c r="J201" t="s">
        <v>133</v>
      </c>
      <c r="K201" s="5">
        <f>60 / 86400</f>
        <v>6.9444444444444447E-4</v>
      </c>
      <c r="L201" s="5">
        <f t="shared" si="1"/>
        <v>2.3148148148148149E-4</v>
      </c>
    </row>
    <row r="202" spans="1:12" x14ac:dyDescent="0.25">
      <c r="A202" s="3">
        <v>45704.618877314817</v>
      </c>
      <c r="B202" t="s">
        <v>185</v>
      </c>
      <c r="C202" s="3">
        <v>45704.622673611113</v>
      </c>
      <c r="D202" t="s">
        <v>186</v>
      </c>
      <c r="E202" s="4">
        <v>1.91494920784235</v>
      </c>
      <c r="F202" s="4">
        <v>348304.10917010723</v>
      </c>
      <c r="G202" s="4">
        <v>348306.02411931509</v>
      </c>
      <c r="H202" s="5">
        <f t="shared" si="0"/>
        <v>0</v>
      </c>
      <c r="I202" t="s">
        <v>159</v>
      </c>
      <c r="J202" t="s">
        <v>23</v>
      </c>
      <c r="K202" s="5">
        <f>328 / 86400</f>
        <v>3.7962962962962963E-3</v>
      </c>
      <c r="L202" s="5">
        <f>30 / 86400</f>
        <v>3.4722222222222224E-4</v>
      </c>
    </row>
    <row r="203" spans="1:12" x14ac:dyDescent="0.25">
      <c r="A203" s="3">
        <v>45704.623020833329</v>
      </c>
      <c r="B203" t="s">
        <v>187</v>
      </c>
      <c r="C203" s="3">
        <v>45704.625798611116</v>
      </c>
      <c r="D203" t="s">
        <v>188</v>
      </c>
      <c r="E203" s="4">
        <v>2.4193570056557654</v>
      </c>
      <c r="F203" s="4">
        <v>348306.04093772254</v>
      </c>
      <c r="G203" s="4">
        <v>348308.46029472823</v>
      </c>
      <c r="H203" s="5">
        <f t="shared" si="0"/>
        <v>0</v>
      </c>
      <c r="I203" t="s">
        <v>156</v>
      </c>
      <c r="J203" t="s">
        <v>154</v>
      </c>
      <c r="K203" s="5">
        <f>240 / 86400</f>
        <v>2.7777777777777779E-3</v>
      </c>
      <c r="L203" s="5">
        <f>20 / 86400</f>
        <v>2.3148148148148149E-4</v>
      </c>
    </row>
    <row r="204" spans="1:12" x14ac:dyDescent="0.25">
      <c r="A204" s="3">
        <v>45704.626030092593</v>
      </c>
      <c r="B204" t="s">
        <v>188</v>
      </c>
      <c r="C204" s="3">
        <v>45704.626805555556</v>
      </c>
      <c r="D204" t="s">
        <v>189</v>
      </c>
      <c r="E204" s="4">
        <v>0.59027091723680492</v>
      </c>
      <c r="F204" s="4">
        <v>348308.46717803279</v>
      </c>
      <c r="G204" s="4">
        <v>348309.05744895007</v>
      </c>
      <c r="H204" s="5">
        <f t="shared" si="0"/>
        <v>0</v>
      </c>
      <c r="I204" t="s">
        <v>182</v>
      </c>
      <c r="J204" t="s">
        <v>170</v>
      </c>
      <c r="K204" s="5">
        <f>67 / 86400</f>
        <v>7.7546296296296293E-4</v>
      </c>
      <c r="L204" s="5">
        <f>8 / 86400</f>
        <v>9.2592592592592588E-5</v>
      </c>
    </row>
    <row r="205" spans="1:12" x14ac:dyDescent="0.25">
      <c r="A205" s="3">
        <v>45704.626898148148</v>
      </c>
      <c r="B205" t="s">
        <v>189</v>
      </c>
      <c r="C205" s="3">
        <v>45704.628344907411</v>
      </c>
      <c r="D205" t="s">
        <v>190</v>
      </c>
      <c r="E205" s="4">
        <v>0.78645660161972042</v>
      </c>
      <c r="F205" s="4">
        <v>348309.06112128956</v>
      </c>
      <c r="G205" s="4">
        <v>348309.8475778912</v>
      </c>
      <c r="H205" s="5">
        <f t="shared" si="0"/>
        <v>0</v>
      </c>
      <c r="I205" t="s">
        <v>102</v>
      </c>
      <c r="J205" t="s">
        <v>27</v>
      </c>
      <c r="K205" s="5">
        <f>125 / 86400</f>
        <v>1.4467592592592592E-3</v>
      </c>
      <c r="L205" s="5">
        <f>20 / 86400</f>
        <v>2.3148148148148149E-4</v>
      </c>
    </row>
    <row r="206" spans="1:12" x14ac:dyDescent="0.25">
      <c r="A206" s="3">
        <v>45704.628576388888</v>
      </c>
      <c r="B206" t="s">
        <v>90</v>
      </c>
      <c r="C206" s="3">
        <v>45704.630266203705</v>
      </c>
      <c r="D206" t="s">
        <v>191</v>
      </c>
      <c r="E206" s="4">
        <v>1.0079175831079483</v>
      </c>
      <c r="F206" s="4">
        <v>348309.9260573464</v>
      </c>
      <c r="G206" s="4">
        <v>348310.9339749295</v>
      </c>
      <c r="H206" s="5">
        <f t="shared" si="0"/>
        <v>0</v>
      </c>
      <c r="I206" t="s">
        <v>192</v>
      </c>
      <c r="J206" t="s">
        <v>122</v>
      </c>
      <c r="K206" s="5">
        <f>146 / 86400</f>
        <v>1.6898148148148148E-3</v>
      </c>
      <c r="L206" s="5">
        <f>20 / 86400</f>
        <v>2.3148148148148149E-4</v>
      </c>
    </row>
    <row r="207" spans="1:12" x14ac:dyDescent="0.25">
      <c r="A207" s="3">
        <v>45704.630497685182</v>
      </c>
      <c r="B207" t="s">
        <v>191</v>
      </c>
      <c r="C207" s="3">
        <v>45704.631655092591</v>
      </c>
      <c r="D207" t="s">
        <v>193</v>
      </c>
      <c r="E207" s="4">
        <v>0.48784692752361297</v>
      </c>
      <c r="F207" s="4">
        <v>348310.94267975236</v>
      </c>
      <c r="G207" s="4">
        <v>348311.43052667985</v>
      </c>
      <c r="H207" s="5">
        <f t="shared" si="0"/>
        <v>0</v>
      </c>
      <c r="I207" t="s">
        <v>142</v>
      </c>
      <c r="J207" t="s">
        <v>51</v>
      </c>
      <c r="K207" s="5">
        <f>100 / 86400</f>
        <v>1.1574074074074073E-3</v>
      </c>
      <c r="L207" s="5">
        <f>20 / 86400</f>
        <v>2.3148148148148149E-4</v>
      </c>
    </row>
    <row r="208" spans="1:12" x14ac:dyDescent="0.25">
      <c r="A208" s="3">
        <v>45704.631886574076</v>
      </c>
      <c r="B208" t="s">
        <v>193</v>
      </c>
      <c r="C208" s="3">
        <v>45704.634641203702</v>
      </c>
      <c r="D208" t="s">
        <v>194</v>
      </c>
      <c r="E208" s="4">
        <v>1.5974753988981247</v>
      </c>
      <c r="F208" s="4">
        <v>348311.43603916152</v>
      </c>
      <c r="G208" s="4">
        <v>348313.03351456037</v>
      </c>
      <c r="H208" s="5">
        <f t="shared" si="0"/>
        <v>0</v>
      </c>
      <c r="I208" t="s">
        <v>195</v>
      </c>
      <c r="J208" t="s">
        <v>68</v>
      </c>
      <c r="K208" s="5">
        <f>238 / 86400</f>
        <v>2.7546296296296294E-3</v>
      </c>
      <c r="L208" s="5">
        <f>6 / 86400</f>
        <v>6.9444444444444444E-5</v>
      </c>
    </row>
    <row r="209" spans="1:12" x14ac:dyDescent="0.25">
      <c r="A209" s="3">
        <v>45704.634710648148</v>
      </c>
      <c r="B209" t="s">
        <v>196</v>
      </c>
      <c r="C209" s="3">
        <v>45704.63517361111</v>
      </c>
      <c r="D209" t="s">
        <v>196</v>
      </c>
      <c r="E209" s="4">
        <v>7.6623746573925025E-2</v>
      </c>
      <c r="F209" s="4">
        <v>348313.03651941958</v>
      </c>
      <c r="G209" s="4">
        <v>348313.11314316612</v>
      </c>
      <c r="H209" s="5">
        <f t="shared" si="0"/>
        <v>0</v>
      </c>
      <c r="I209" t="s">
        <v>86</v>
      </c>
      <c r="J209" t="s">
        <v>136</v>
      </c>
      <c r="K209" s="5">
        <f>40 / 86400</f>
        <v>4.6296296296296298E-4</v>
      </c>
      <c r="L209" s="5">
        <f>17 / 86400</f>
        <v>1.9675925925925926E-4</v>
      </c>
    </row>
    <row r="210" spans="1:12" x14ac:dyDescent="0.25">
      <c r="A210" s="3">
        <v>45704.635370370372</v>
      </c>
      <c r="B210" t="s">
        <v>196</v>
      </c>
      <c r="C210" s="3">
        <v>45704.635960648149</v>
      </c>
      <c r="D210" t="s">
        <v>197</v>
      </c>
      <c r="E210" s="4">
        <v>0.19161529886722564</v>
      </c>
      <c r="F210" s="4">
        <v>348313.11693109566</v>
      </c>
      <c r="G210" s="4">
        <v>348313.30854639452</v>
      </c>
      <c r="H210" s="5">
        <f t="shared" si="0"/>
        <v>0</v>
      </c>
      <c r="I210" t="s">
        <v>164</v>
      </c>
      <c r="J210" t="s">
        <v>158</v>
      </c>
      <c r="K210" s="5">
        <f>51 / 86400</f>
        <v>5.9027777777777778E-4</v>
      </c>
      <c r="L210" s="5">
        <f>20 / 86400</f>
        <v>2.3148148148148149E-4</v>
      </c>
    </row>
    <row r="211" spans="1:12" x14ac:dyDescent="0.25">
      <c r="A211" s="3">
        <v>45704.636192129634</v>
      </c>
      <c r="B211" t="s">
        <v>198</v>
      </c>
      <c r="C211" s="3">
        <v>45704.636423611111</v>
      </c>
      <c r="D211" t="s">
        <v>198</v>
      </c>
      <c r="E211" s="4">
        <v>1.2490872085094452E-2</v>
      </c>
      <c r="F211" s="4">
        <v>348313.47698335937</v>
      </c>
      <c r="G211" s="4">
        <v>348313.48947423149</v>
      </c>
      <c r="H211" s="5">
        <f t="shared" si="0"/>
        <v>0</v>
      </c>
      <c r="I211" t="s">
        <v>68</v>
      </c>
      <c r="J211" t="s">
        <v>129</v>
      </c>
      <c r="K211" s="5">
        <f>20 / 86400</f>
        <v>2.3148148148148149E-4</v>
      </c>
      <c r="L211" s="5">
        <f>11 / 86400</f>
        <v>1.273148148148148E-4</v>
      </c>
    </row>
    <row r="212" spans="1:12" x14ac:dyDescent="0.25">
      <c r="A212" s="3">
        <v>45704.636550925927</v>
      </c>
      <c r="B212" t="s">
        <v>198</v>
      </c>
      <c r="C212" s="3">
        <v>45704.638807870375</v>
      </c>
      <c r="D212" t="s">
        <v>199</v>
      </c>
      <c r="E212" s="4">
        <v>1.4500261595249175</v>
      </c>
      <c r="F212" s="4">
        <v>348313.49394700251</v>
      </c>
      <c r="G212" s="4">
        <v>348314.94397316204</v>
      </c>
      <c r="H212" s="5">
        <f t="shared" si="0"/>
        <v>0</v>
      </c>
      <c r="I212" t="s">
        <v>150</v>
      </c>
      <c r="J212" t="s">
        <v>200</v>
      </c>
      <c r="K212" s="5">
        <f>195 / 86400</f>
        <v>2.2569444444444442E-3</v>
      </c>
      <c r="L212" s="5">
        <f>10 / 86400</f>
        <v>1.1574074074074075E-4</v>
      </c>
    </row>
    <row r="213" spans="1:12" x14ac:dyDescent="0.25">
      <c r="A213" s="3">
        <v>45704.638923611114</v>
      </c>
      <c r="B213" t="s">
        <v>199</v>
      </c>
      <c r="C213" s="3">
        <v>45704.644988425927</v>
      </c>
      <c r="D213" t="s">
        <v>201</v>
      </c>
      <c r="E213" s="4">
        <v>2.636263474524021</v>
      </c>
      <c r="F213" s="4">
        <v>348314.94746860216</v>
      </c>
      <c r="G213" s="4">
        <v>348317.58373207669</v>
      </c>
      <c r="H213" s="5">
        <f t="shared" si="0"/>
        <v>0</v>
      </c>
      <c r="I213" t="s">
        <v>139</v>
      </c>
      <c r="J213" t="s">
        <v>51</v>
      </c>
      <c r="K213" s="5">
        <f>524 / 86400</f>
        <v>6.0648148148148145E-3</v>
      </c>
      <c r="L213" s="5">
        <f>14 / 86400</f>
        <v>1.6203703703703703E-4</v>
      </c>
    </row>
    <row r="214" spans="1:12" x14ac:dyDescent="0.25">
      <c r="A214" s="3">
        <v>45704.645150462966</v>
      </c>
      <c r="B214" t="s">
        <v>202</v>
      </c>
      <c r="C214" s="3">
        <v>45704.645613425921</v>
      </c>
      <c r="D214" t="s">
        <v>203</v>
      </c>
      <c r="E214" s="4">
        <v>7.4088288664817814E-2</v>
      </c>
      <c r="F214" s="4">
        <v>348317.59536503581</v>
      </c>
      <c r="G214" s="4">
        <v>348317.66945332452</v>
      </c>
      <c r="H214" s="5">
        <f t="shared" si="0"/>
        <v>0</v>
      </c>
      <c r="I214" t="s">
        <v>119</v>
      </c>
      <c r="J214" t="s">
        <v>136</v>
      </c>
      <c r="K214" s="5">
        <f>40 / 86400</f>
        <v>4.6296296296296298E-4</v>
      </c>
      <c r="L214" s="5">
        <f>20 / 86400</f>
        <v>2.3148148148148149E-4</v>
      </c>
    </row>
    <row r="215" spans="1:12" x14ac:dyDescent="0.25">
      <c r="A215" s="3">
        <v>45704.645844907413</v>
      </c>
      <c r="B215" t="s">
        <v>203</v>
      </c>
      <c r="C215" s="3">
        <v>45704.647743055553</v>
      </c>
      <c r="D215" t="s">
        <v>204</v>
      </c>
      <c r="E215" s="4">
        <v>1.1326274687051774</v>
      </c>
      <c r="F215" s="4">
        <v>348317.906123302</v>
      </c>
      <c r="G215" s="4">
        <v>348319.03875077068</v>
      </c>
      <c r="H215" s="5">
        <f t="shared" si="0"/>
        <v>0</v>
      </c>
      <c r="I215" t="s">
        <v>205</v>
      </c>
      <c r="J215" t="s">
        <v>122</v>
      </c>
      <c r="K215" s="5">
        <f>164 / 86400</f>
        <v>1.8981481481481482E-3</v>
      </c>
      <c r="L215" s="5">
        <f>18 / 86400</f>
        <v>2.0833333333333335E-4</v>
      </c>
    </row>
    <row r="216" spans="1:12" x14ac:dyDescent="0.25">
      <c r="A216" s="3">
        <v>45704.647951388892</v>
      </c>
      <c r="B216" t="s">
        <v>206</v>
      </c>
      <c r="C216" s="3">
        <v>45704.648518518516</v>
      </c>
      <c r="D216" t="s">
        <v>207</v>
      </c>
      <c r="E216" s="4">
        <v>0.15883426040410994</v>
      </c>
      <c r="F216" s="4">
        <v>348319.05850483308</v>
      </c>
      <c r="G216" s="4">
        <v>348319.21733909351</v>
      </c>
      <c r="H216" s="5">
        <f t="shared" si="0"/>
        <v>0</v>
      </c>
      <c r="I216" t="s">
        <v>86</v>
      </c>
      <c r="J216" t="s">
        <v>165</v>
      </c>
      <c r="K216" s="5">
        <f>49 / 86400</f>
        <v>5.6712962962962967E-4</v>
      </c>
      <c r="L216" s="5">
        <f>20 / 86400</f>
        <v>2.3148148148148149E-4</v>
      </c>
    </row>
    <row r="217" spans="1:12" x14ac:dyDescent="0.25">
      <c r="A217" s="3">
        <v>45704.64875</v>
      </c>
      <c r="B217" t="s">
        <v>207</v>
      </c>
      <c r="C217" s="3">
        <v>45704.650266203702</v>
      </c>
      <c r="D217" t="s">
        <v>208</v>
      </c>
      <c r="E217" s="4">
        <v>0.79975157552957532</v>
      </c>
      <c r="F217" s="4">
        <v>348319.22681619681</v>
      </c>
      <c r="G217" s="4">
        <v>348320.02656777232</v>
      </c>
      <c r="H217" s="5">
        <f t="shared" si="0"/>
        <v>0</v>
      </c>
      <c r="I217" t="s">
        <v>209</v>
      </c>
      <c r="J217" t="s">
        <v>20</v>
      </c>
      <c r="K217" s="5">
        <f>131 / 86400</f>
        <v>1.5162037037037036E-3</v>
      </c>
      <c r="L217" s="5">
        <f>7 / 86400</f>
        <v>8.1018518518518516E-5</v>
      </c>
    </row>
    <row r="218" spans="1:12" x14ac:dyDescent="0.25">
      <c r="A218" s="3">
        <v>45704.650347222225</v>
      </c>
      <c r="B218" t="s">
        <v>208</v>
      </c>
      <c r="C218" s="3">
        <v>45704.651041666672</v>
      </c>
      <c r="D218" t="s">
        <v>210</v>
      </c>
      <c r="E218" s="4">
        <v>0.7579657172560692</v>
      </c>
      <c r="F218" s="4">
        <v>348320.0326018334</v>
      </c>
      <c r="G218" s="4">
        <v>348320.79056755063</v>
      </c>
      <c r="H218" s="5">
        <f t="shared" si="0"/>
        <v>0</v>
      </c>
      <c r="I218" t="s">
        <v>53</v>
      </c>
      <c r="J218" t="s">
        <v>211</v>
      </c>
      <c r="K218" s="5">
        <f>60 / 86400</f>
        <v>6.9444444444444447E-4</v>
      </c>
      <c r="L218" s="5">
        <f>6 / 86400</f>
        <v>6.9444444444444444E-5</v>
      </c>
    </row>
    <row r="219" spans="1:12" x14ac:dyDescent="0.25">
      <c r="A219" s="3">
        <v>45704.65111111111</v>
      </c>
      <c r="B219" t="s">
        <v>210</v>
      </c>
      <c r="C219" s="3">
        <v>45704.652268518519</v>
      </c>
      <c r="D219" t="s">
        <v>212</v>
      </c>
      <c r="E219" s="4">
        <v>0.82411653637886051</v>
      </c>
      <c r="F219" s="4">
        <v>348320.79221152869</v>
      </c>
      <c r="G219" s="4">
        <v>348321.61632806511</v>
      </c>
      <c r="H219" s="5">
        <f t="shared" si="0"/>
        <v>0</v>
      </c>
      <c r="I219" t="s">
        <v>182</v>
      </c>
      <c r="J219" t="s">
        <v>35</v>
      </c>
      <c r="K219" s="5">
        <f>100 / 86400</f>
        <v>1.1574074074074073E-3</v>
      </c>
      <c r="L219" s="5">
        <f>8 / 86400</f>
        <v>9.2592592592592588E-5</v>
      </c>
    </row>
    <row r="220" spans="1:12" x14ac:dyDescent="0.25">
      <c r="A220" s="3">
        <v>45704.652361111112</v>
      </c>
      <c r="B220" t="s">
        <v>213</v>
      </c>
      <c r="C220" s="3">
        <v>45704.653136574074</v>
      </c>
      <c r="D220" t="s">
        <v>109</v>
      </c>
      <c r="E220" s="4">
        <v>9.7977625727653506E-2</v>
      </c>
      <c r="F220" s="4">
        <v>348321.84576063999</v>
      </c>
      <c r="G220" s="4">
        <v>348321.94373826572</v>
      </c>
      <c r="H220" s="5">
        <f t="shared" si="0"/>
        <v>0</v>
      </c>
      <c r="I220" t="s">
        <v>175</v>
      </c>
      <c r="J220" t="s">
        <v>127</v>
      </c>
      <c r="K220" s="5">
        <f>67 / 86400</f>
        <v>7.7546296296296293E-4</v>
      </c>
      <c r="L220" s="5">
        <f>180 / 86400</f>
        <v>2.0833333333333333E-3</v>
      </c>
    </row>
    <row r="221" spans="1:12" x14ac:dyDescent="0.25">
      <c r="A221" s="3">
        <v>45704.655219907407</v>
      </c>
      <c r="B221" t="s">
        <v>109</v>
      </c>
      <c r="C221" s="3">
        <v>45704.655451388884</v>
      </c>
      <c r="D221" t="s">
        <v>109</v>
      </c>
      <c r="E221" s="4">
        <v>4.8045946359634396E-3</v>
      </c>
      <c r="F221" s="4">
        <v>348321.98194742983</v>
      </c>
      <c r="G221" s="4">
        <v>348321.98675202444</v>
      </c>
      <c r="H221" s="5">
        <f t="shared" si="0"/>
        <v>0</v>
      </c>
      <c r="I221" t="s">
        <v>129</v>
      </c>
      <c r="J221" t="s">
        <v>128</v>
      </c>
      <c r="K221" s="5">
        <f>20 / 86400</f>
        <v>2.3148148148148149E-4</v>
      </c>
      <c r="L221" s="5">
        <f>40 / 86400</f>
        <v>4.6296296296296298E-4</v>
      </c>
    </row>
    <row r="222" spans="1:12" x14ac:dyDescent="0.25">
      <c r="A222" s="3">
        <v>45704.655914351853</v>
      </c>
      <c r="B222" t="s">
        <v>109</v>
      </c>
      <c r="C222" s="3">
        <v>45704.656145833331</v>
      </c>
      <c r="D222" t="s">
        <v>109</v>
      </c>
      <c r="E222" s="4">
        <v>4.2921704053878783E-3</v>
      </c>
      <c r="F222" s="4">
        <v>348321.99223447434</v>
      </c>
      <c r="G222" s="4">
        <v>348321.99652664474</v>
      </c>
      <c r="H222" s="5">
        <f t="shared" si="0"/>
        <v>0</v>
      </c>
      <c r="I222" t="s">
        <v>128</v>
      </c>
      <c r="J222" t="s">
        <v>128</v>
      </c>
      <c r="K222" s="5">
        <f>20 / 86400</f>
        <v>2.3148148148148149E-4</v>
      </c>
      <c r="L222" s="5">
        <f>160 / 86400</f>
        <v>1.8518518518518519E-3</v>
      </c>
    </row>
    <row r="223" spans="1:12" x14ac:dyDescent="0.25">
      <c r="A223" s="3">
        <v>45704.657997685186</v>
      </c>
      <c r="B223" t="s">
        <v>109</v>
      </c>
      <c r="C223" s="3">
        <v>45704.658391203702</v>
      </c>
      <c r="D223" t="s">
        <v>214</v>
      </c>
      <c r="E223" s="4">
        <v>8.1951971590518952E-2</v>
      </c>
      <c r="F223" s="4">
        <v>348322.02226764895</v>
      </c>
      <c r="G223" s="4">
        <v>348322.10421962052</v>
      </c>
      <c r="H223" s="5">
        <f t="shared" si="0"/>
        <v>0</v>
      </c>
      <c r="I223" t="s">
        <v>33</v>
      </c>
      <c r="J223" t="s">
        <v>30</v>
      </c>
      <c r="K223" s="5">
        <f>34 / 86400</f>
        <v>3.9351851851851852E-4</v>
      </c>
      <c r="L223" s="5">
        <f>40 / 86400</f>
        <v>4.6296296296296298E-4</v>
      </c>
    </row>
    <row r="224" spans="1:12" x14ac:dyDescent="0.25">
      <c r="A224" s="3">
        <v>45704.658854166672</v>
      </c>
      <c r="B224" t="s">
        <v>214</v>
      </c>
      <c r="C224" s="3">
        <v>45704.659699074073</v>
      </c>
      <c r="D224" t="s">
        <v>215</v>
      </c>
      <c r="E224" s="4">
        <v>7.728316301107406E-2</v>
      </c>
      <c r="F224" s="4">
        <v>348322.1097851831</v>
      </c>
      <c r="G224" s="4">
        <v>348322.18706834607</v>
      </c>
      <c r="H224" s="5">
        <f t="shared" si="0"/>
        <v>0</v>
      </c>
      <c r="I224" t="s">
        <v>30</v>
      </c>
      <c r="J224" t="s">
        <v>137</v>
      </c>
      <c r="K224" s="5">
        <f>73 / 86400</f>
        <v>8.4490740740740739E-4</v>
      </c>
      <c r="L224" s="5">
        <f>20 / 86400</f>
        <v>2.3148148148148149E-4</v>
      </c>
    </row>
    <row r="225" spans="1:12" x14ac:dyDescent="0.25">
      <c r="A225" s="3">
        <v>45704.659930555557</v>
      </c>
      <c r="B225" t="s">
        <v>215</v>
      </c>
      <c r="C225" s="3">
        <v>45704.660162037035</v>
      </c>
      <c r="D225" t="s">
        <v>60</v>
      </c>
      <c r="E225" s="4">
        <v>2.6418977558612822E-2</v>
      </c>
      <c r="F225" s="4">
        <v>348322.19334846339</v>
      </c>
      <c r="G225" s="4">
        <v>348322.21976744098</v>
      </c>
      <c r="H225" s="5">
        <f t="shared" si="0"/>
        <v>0</v>
      </c>
      <c r="I225" t="s">
        <v>128</v>
      </c>
      <c r="J225" t="s">
        <v>127</v>
      </c>
      <c r="K225" s="5">
        <f>20 / 86400</f>
        <v>2.3148148148148149E-4</v>
      </c>
      <c r="L225" s="5">
        <f>30 / 86400</f>
        <v>3.4722222222222224E-4</v>
      </c>
    </row>
    <row r="226" spans="1:12" x14ac:dyDescent="0.25">
      <c r="A226" s="3">
        <v>45704.660509259258</v>
      </c>
      <c r="B226" t="s">
        <v>215</v>
      </c>
      <c r="C226" s="3">
        <v>45704.661261574074</v>
      </c>
      <c r="D226" t="s">
        <v>216</v>
      </c>
      <c r="E226" s="4">
        <v>0.53151751202344899</v>
      </c>
      <c r="F226" s="4">
        <v>348322.24187367264</v>
      </c>
      <c r="G226" s="4">
        <v>348322.77339118469</v>
      </c>
      <c r="H226" s="5">
        <f t="shared" si="0"/>
        <v>0</v>
      </c>
      <c r="I226" t="s">
        <v>124</v>
      </c>
      <c r="J226" t="s">
        <v>175</v>
      </c>
      <c r="K226" s="5">
        <f>65 / 86400</f>
        <v>7.5231481481481482E-4</v>
      </c>
      <c r="L226" s="5">
        <f>60 / 86400</f>
        <v>6.9444444444444447E-4</v>
      </c>
    </row>
    <row r="227" spans="1:12" x14ac:dyDescent="0.25">
      <c r="A227" s="3">
        <v>45704.661956018521</v>
      </c>
      <c r="B227" t="s">
        <v>215</v>
      </c>
      <c r="C227" s="3">
        <v>45704.662650462968</v>
      </c>
      <c r="D227" t="s">
        <v>210</v>
      </c>
      <c r="E227" s="4">
        <v>0.39895117825269699</v>
      </c>
      <c r="F227" s="4">
        <v>348322.84618239384</v>
      </c>
      <c r="G227" s="4">
        <v>348323.24513357208</v>
      </c>
      <c r="H227" s="5">
        <f t="shared" si="0"/>
        <v>0</v>
      </c>
      <c r="I227" t="s">
        <v>130</v>
      </c>
      <c r="J227" t="s">
        <v>68</v>
      </c>
      <c r="K227" s="5">
        <f>60 / 86400</f>
        <v>6.9444444444444447E-4</v>
      </c>
      <c r="L227" s="5">
        <f>60 / 86400</f>
        <v>6.9444444444444447E-4</v>
      </c>
    </row>
    <row r="228" spans="1:12" x14ac:dyDescent="0.25">
      <c r="A228" s="3">
        <v>45704.663344907407</v>
      </c>
      <c r="B228" t="s">
        <v>217</v>
      </c>
      <c r="C228" s="3">
        <v>45704.663807870369</v>
      </c>
      <c r="D228" t="s">
        <v>218</v>
      </c>
      <c r="E228" s="4">
        <v>0.31193724215030671</v>
      </c>
      <c r="F228" s="4">
        <v>348323.28587947646</v>
      </c>
      <c r="G228" s="4">
        <v>348323.59781671863</v>
      </c>
      <c r="H228" s="5">
        <f t="shared" si="0"/>
        <v>0</v>
      </c>
      <c r="I228" t="s">
        <v>219</v>
      </c>
      <c r="J228" t="s">
        <v>29</v>
      </c>
      <c r="K228" s="5">
        <f>40 / 86400</f>
        <v>4.6296296296296298E-4</v>
      </c>
      <c r="L228" s="5">
        <f>20 / 86400</f>
        <v>2.3148148148148149E-4</v>
      </c>
    </row>
    <row r="229" spans="1:12" x14ac:dyDescent="0.25">
      <c r="A229" s="3">
        <v>45704.664039351846</v>
      </c>
      <c r="B229" t="s">
        <v>220</v>
      </c>
      <c r="C229" s="3">
        <v>45704.665196759262</v>
      </c>
      <c r="D229" t="s">
        <v>221</v>
      </c>
      <c r="E229" s="4">
        <v>0.75070235985517497</v>
      </c>
      <c r="F229" s="4">
        <v>348323.73443659325</v>
      </c>
      <c r="G229" s="4">
        <v>348324.48513895308</v>
      </c>
      <c r="H229" s="5">
        <f t="shared" si="0"/>
        <v>0</v>
      </c>
      <c r="I229" t="s">
        <v>161</v>
      </c>
      <c r="J229" t="s">
        <v>200</v>
      </c>
      <c r="K229" s="5">
        <f>100 / 86400</f>
        <v>1.1574074074074073E-3</v>
      </c>
      <c r="L229" s="5">
        <f>89 / 86400</f>
        <v>1.0300925925925926E-3</v>
      </c>
    </row>
    <row r="230" spans="1:12" x14ac:dyDescent="0.25">
      <c r="A230" s="3">
        <v>45704.666226851856</v>
      </c>
      <c r="B230" t="s">
        <v>221</v>
      </c>
      <c r="C230" s="3">
        <v>45704.667372685188</v>
      </c>
      <c r="D230" t="s">
        <v>222</v>
      </c>
      <c r="E230" s="4">
        <v>0.2425732690691948</v>
      </c>
      <c r="F230" s="4">
        <v>348324.51211160008</v>
      </c>
      <c r="G230" s="4">
        <v>348324.75468486914</v>
      </c>
      <c r="H230" s="5">
        <f t="shared" si="0"/>
        <v>0</v>
      </c>
      <c r="I230" t="s">
        <v>94</v>
      </c>
      <c r="J230" t="s">
        <v>30</v>
      </c>
      <c r="K230" s="5">
        <f>99 / 86400</f>
        <v>1.1458333333333333E-3</v>
      </c>
      <c r="L230" s="5">
        <f>40 / 86400</f>
        <v>4.6296296296296298E-4</v>
      </c>
    </row>
    <row r="231" spans="1:12" x14ac:dyDescent="0.25">
      <c r="A231" s="3">
        <v>45704.66783564815</v>
      </c>
      <c r="B231" t="s">
        <v>222</v>
      </c>
      <c r="C231" s="3">
        <v>45704.668738425928</v>
      </c>
      <c r="D231" t="s">
        <v>206</v>
      </c>
      <c r="E231" s="4">
        <v>0.19326429623365401</v>
      </c>
      <c r="F231" s="4">
        <v>348324.77978616214</v>
      </c>
      <c r="G231" s="4">
        <v>348324.97305045836</v>
      </c>
      <c r="H231" s="5">
        <f t="shared" si="0"/>
        <v>0</v>
      </c>
      <c r="I231" t="s">
        <v>68</v>
      </c>
      <c r="J231" t="s">
        <v>30</v>
      </c>
      <c r="K231" s="5">
        <f>78 / 86400</f>
        <v>9.0277777777777774E-4</v>
      </c>
      <c r="L231" s="5">
        <f>20 / 86400</f>
        <v>2.3148148148148149E-4</v>
      </c>
    </row>
    <row r="232" spans="1:12" x14ac:dyDescent="0.25">
      <c r="A232" s="3">
        <v>45704.668969907405</v>
      </c>
      <c r="B232" t="s">
        <v>206</v>
      </c>
      <c r="C232" s="3">
        <v>45704.671122685184</v>
      </c>
      <c r="D232" t="s">
        <v>223</v>
      </c>
      <c r="E232" s="4">
        <v>0.98990826886892314</v>
      </c>
      <c r="F232" s="4">
        <v>348324.98163362237</v>
      </c>
      <c r="G232" s="4">
        <v>348325.97154189122</v>
      </c>
      <c r="H232" s="5">
        <f t="shared" si="0"/>
        <v>0</v>
      </c>
      <c r="I232" t="s">
        <v>132</v>
      </c>
      <c r="J232" t="s">
        <v>44</v>
      </c>
      <c r="K232" s="5">
        <f>186 / 86400</f>
        <v>2.1527777777777778E-3</v>
      </c>
      <c r="L232" s="5">
        <f>20 / 86400</f>
        <v>2.3148148148148149E-4</v>
      </c>
    </row>
    <row r="233" spans="1:12" x14ac:dyDescent="0.25">
      <c r="A233" s="3">
        <v>45704.671354166669</v>
      </c>
      <c r="B233" t="s">
        <v>223</v>
      </c>
      <c r="C233" s="3">
        <v>45704.674525462964</v>
      </c>
      <c r="D233" t="s">
        <v>224</v>
      </c>
      <c r="E233" s="4">
        <v>1.5883596203923225</v>
      </c>
      <c r="F233" s="4">
        <v>348325.97684159403</v>
      </c>
      <c r="G233" s="4">
        <v>348327.56520121446</v>
      </c>
      <c r="H233" s="5">
        <f t="shared" si="0"/>
        <v>0</v>
      </c>
      <c r="I233" t="s">
        <v>180</v>
      </c>
      <c r="J233" t="s">
        <v>23</v>
      </c>
      <c r="K233" s="5">
        <f>274 / 86400</f>
        <v>3.1712962962962962E-3</v>
      </c>
      <c r="L233" s="5">
        <f>40 / 86400</f>
        <v>4.6296296296296298E-4</v>
      </c>
    </row>
    <row r="234" spans="1:12" x14ac:dyDescent="0.25">
      <c r="A234" s="3">
        <v>45704.674988425926</v>
      </c>
      <c r="B234" t="s">
        <v>224</v>
      </c>
      <c r="C234" s="3">
        <v>45704.676655092597</v>
      </c>
      <c r="D234" t="s">
        <v>225</v>
      </c>
      <c r="E234" s="4">
        <v>1.4406000057458876</v>
      </c>
      <c r="F234" s="4">
        <v>348327.57271735265</v>
      </c>
      <c r="G234" s="4">
        <v>348329.01331735839</v>
      </c>
      <c r="H234" s="5">
        <f t="shared" si="0"/>
        <v>0</v>
      </c>
      <c r="I234" t="s">
        <v>226</v>
      </c>
      <c r="J234" t="s">
        <v>154</v>
      </c>
      <c r="K234" s="5">
        <f>144 / 86400</f>
        <v>1.6666666666666668E-3</v>
      </c>
      <c r="L234" s="5">
        <f>40 / 86400</f>
        <v>4.6296296296296298E-4</v>
      </c>
    </row>
    <row r="235" spans="1:12" x14ac:dyDescent="0.25">
      <c r="A235" s="3">
        <v>45704.677118055552</v>
      </c>
      <c r="B235" t="s">
        <v>225</v>
      </c>
      <c r="C235" s="3">
        <v>45704.678043981483</v>
      </c>
      <c r="D235" t="s">
        <v>227</v>
      </c>
      <c r="E235" s="4">
        <v>0.5087697436213493</v>
      </c>
      <c r="F235" s="4">
        <v>348329.05274158128</v>
      </c>
      <c r="G235" s="4">
        <v>348329.56151132489</v>
      </c>
      <c r="H235" s="5">
        <f t="shared" si="0"/>
        <v>0</v>
      </c>
      <c r="I235" t="s">
        <v>178</v>
      </c>
      <c r="J235" t="s">
        <v>27</v>
      </c>
      <c r="K235" s="5">
        <f>80 / 86400</f>
        <v>9.2592592592592596E-4</v>
      </c>
      <c r="L235" s="5">
        <f>20 / 86400</f>
        <v>2.3148148148148149E-4</v>
      </c>
    </row>
    <row r="236" spans="1:12" x14ac:dyDescent="0.25">
      <c r="A236" s="3">
        <v>45704.678275462968</v>
      </c>
      <c r="B236" t="s">
        <v>227</v>
      </c>
      <c r="C236" s="3">
        <v>45704.678738425922</v>
      </c>
      <c r="D236" t="s">
        <v>227</v>
      </c>
      <c r="E236" s="4">
        <v>0.32535657155513764</v>
      </c>
      <c r="F236" s="4">
        <v>348329.73042380129</v>
      </c>
      <c r="G236" s="4">
        <v>348330.05578037287</v>
      </c>
      <c r="H236" s="5">
        <f t="shared" si="0"/>
        <v>0</v>
      </c>
      <c r="I236" t="s">
        <v>126</v>
      </c>
      <c r="J236" t="s">
        <v>175</v>
      </c>
      <c r="K236" s="5">
        <f>40 / 86400</f>
        <v>4.6296296296296298E-4</v>
      </c>
      <c r="L236" s="5">
        <f>20 / 86400</f>
        <v>2.3148148148148149E-4</v>
      </c>
    </row>
    <row r="237" spans="1:12" x14ac:dyDescent="0.25">
      <c r="A237" s="3">
        <v>45704.678969907407</v>
      </c>
      <c r="B237" t="s">
        <v>227</v>
      </c>
      <c r="C237" s="3">
        <v>45704.679895833338</v>
      </c>
      <c r="D237" t="s">
        <v>228</v>
      </c>
      <c r="E237" s="4">
        <v>0.58864708030223845</v>
      </c>
      <c r="F237" s="4">
        <v>348330.06999129779</v>
      </c>
      <c r="G237" s="4">
        <v>348330.65863837808</v>
      </c>
      <c r="H237" s="5">
        <f t="shared" si="0"/>
        <v>0</v>
      </c>
      <c r="I237" t="s">
        <v>154</v>
      </c>
      <c r="J237" t="s">
        <v>94</v>
      </c>
      <c r="K237" s="5">
        <f>80 / 86400</f>
        <v>9.2592592592592596E-4</v>
      </c>
      <c r="L237" s="5">
        <f>20 / 86400</f>
        <v>2.3148148148148149E-4</v>
      </c>
    </row>
    <row r="238" spans="1:12" x14ac:dyDescent="0.25">
      <c r="A238" s="3">
        <v>45704.680127314816</v>
      </c>
      <c r="B238" t="s">
        <v>229</v>
      </c>
      <c r="C238" s="3">
        <v>45704.680358796293</v>
      </c>
      <c r="D238" t="s">
        <v>229</v>
      </c>
      <c r="E238" s="4">
        <v>1.8735883831977845E-3</v>
      </c>
      <c r="F238" s="4">
        <v>348330.7878304004</v>
      </c>
      <c r="G238" s="4">
        <v>348330.78970398882</v>
      </c>
      <c r="H238" s="5">
        <f t="shared" si="0"/>
        <v>0</v>
      </c>
      <c r="I238" t="s">
        <v>128</v>
      </c>
      <c r="J238" t="s">
        <v>55</v>
      </c>
      <c r="K238" s="5">
        <f>20 / 86400</f>
        <v>2.3148148148148149E-4</v>
      </c>
      <c r="L238" s="5">
        <f>80 / 86400</f>
        <v>9.2592592592592596E-4</v>
      </c>
    </row>
    <row r="239" spans="1:12" x14ac:dyDescent="0.25">
      <c r="A239" s="3">
        <v>45704.681284722217</v>
      </c>
      <c r="B239" t="s">
        <v>230</v>
      </c>
      <c r="C239" s="3">
        <v>45704.682974537034</v>
      </c>
      <c r="D239" t="s">
        <v>231</v>
      </c>
      <c r="E239" s="4">
        <v>1.0102124423980714</v>
      </c>
      <c r="F239" s="4">
        <v>348330.8549248082</v>
      </c>
      <c r="G239" s="4">
        <v>348331.86513725063</v>
      </c>
      <c r="H239" s="5">
        <f t="shared" si="0"/>
        <v>0</v>
      </c>
      <c r="I239" t="s">
        <v>192</v>
      </c>
      <c r="J239" t="s">
        <v>122</v>
      </c>
      <c r="K239" s="5">
        <f>146 / 86400</f>
        <v>1.6898148148148148E-3</v>
      </c>
      <c r="L239" s="5">
        <f>23 / 86400</f>
        <v>2.6620370370370372E-4</v>
      </c>
    </row>
    <row r="240" spans="1:12" x14ac:dyDescent="0.25">
      <c r="A240" s="3">
        <v>45704.683240740742</v>
      </c>
      <c r="B240" t="s">
        <v>231</v>
      </c>
      <c r="C240" s="3">
        <v>45704.689629629633</v>
      </c>
      <c r="D240" t="s">
        <v>189</v>
      </c>
      <c r="E240" s="4">
        <v>4.0029344355463978</v>
      </c>
      <c r="F240" s="4">
        <v>348331.86940251145</v>
      </c>
      <c r="G240" s="4">
        <v>348335.87233694701</v>
      </c>
      <c r="H240" s="5">
        <f t="shared" ref="H240:H303" si="2">0 / 86400</f>
        <v>0</v>
      </c>
      <c r="I240" t="s">
        <v>232</v>
      </c>
      <c r="J240" t="s">
        <v>94</v>
      </c>
      <c r="K240" s="5">
        <f>552 / 86400</f>
        <v>6.3888888888888893E-3</v>
      </c>
      <c r="L240" s="5">
        <f>40 / 86400</f>
        <v>4.6296296296296298E-4</v>
      </c>
    </row>
    <row r="241" spans="1:12" x14ac:dyDescent="0.25">
      <c r="A241" s="3">
        <v>45704.690092592587</v>
      </c>
      <c r="B241" t="s">
        <v>233</v>
      </c>
      <c r="C241" s="3">
        <v>45704.691018518519</v>
      </c>
      <c r="D241" t="s">
        <v>187</v>
      </c>
      <c r="E241" s="4">
        <v>0.8088989949822426</v>
      </c>
      <c r="F241" s="4">
        <v>348335.92911346257</v>
      </c>
      <c r="G241" s="4">
        <v>348336.73801245756</v>
      </c>
      <c r="H241" s="5">
        <f t="shared" si="2"/>
        <v>0</v>
      </c>
      <c r="I241" t="s">
        <v>178</v>
      </c>
      <c r="J241" t="s">
        <v>154</v>
      </c>
      <c r="K241" s="5">
        <f>80 / 86400</f>
        <v>9.2592592592592596E-4</v>
      </c>
      <c r="L241" s="5">
        <f>20 / 86400</f>
        <v>2.3148148148148149E-4</v>
      </c>
    </row>
    <row r="242" spans="1:12" x14ac:dyDescent="0.25">
      <c r="A242" s="3">
        <v>45704.691250000003</v>
      </c>
      <c r="B242" t="s">
        <v>187</v>
      </c>
      <c r="C242" s="3">
        <v>45704.693692129629</v>
      </c>
      <c r="D242" t="s">
        <v>187</v>
      </c>
      <c r="E242" s="4">
        <v>1.359368769466877</v>
      </c>
      <c r="F242" s="4">
        <v>348336.8754937023</v>
      </c>
      <c r="G242" s="4">
        <v>348338.23486247176</v>
      </c>
      <c r="H242" s="5">
        <f t="shared" si="2"/>
        <v>0</v>
      </c>
      <c r="I242" t="s">
        <v>159</v>
      </c>
      <c r="J242" t="s">
        <v>27</v>
      </c>
      <c r="K242" s="5">
        <f>211 / 86400</f>
        <v>2.4421296296296296E-3</v>
      </c>
      <c r="L242" s="5">
        <f>20 / 86400</f>
        <v>2.3148148148148149E-4</v>
      </c>
    </row>
    <row r="243" spans="1:12" x14ac:dyDescent="0.25">
      <c r="A243" s="3">
        <v>45704.693923611107</v>
      </c>
      <c r="B243" t="s">
        <v>187</v>
      </c>
      <c r="C243" s="3">
        <v>45704.694849537038</v>
      </c>
      <c r="D243" t="s">
        <v>234</v>
      </c>
      <c r="E243" s="4">
        <v>0.13923816400766373</v>
      </c>
      <c r="F243" s="4">
        <v>348338.24049210438</v>
      </c>
      <c r="G243" s="4">
        <v>348338.37973026838</v>
      </c>
      <c r="H243" s="5">
        <f t="shared" si="2"/>
        <v>0</v>
      </c>
      <c r="I243" t="s">
        <v>143</v>
      </c>
      <c r="J243" t="s">
        <v>88</v>
      </c>
      <c r="K243" s="5">
        <f>80 / 86400</f>
        <v>9.2592592592592596E-4</v>
      </c>
      <c r="L243" s="5">
        <f>2 / 86400</f>
        <v>2.3148148148148147E-5</v>
      </c>
    </row>
    <row r="244" spans="1:12" x14ac:dyDescent="0.25">
      <c r="A244" s="3">
        <v>45704.694872685184</v>
      </c>
      <c r="B244" t="s">
        <v>234</v>
      </c>
      <c r="C244" s="3">
        <v>45704.695983796293</v>
      </c>
      <c r="D244" t="s">
        <v>235</v>
      </c>
      <c r="E244" s="4">
        <v>0.38328683727979662</v>
      </c>
      <c r="F244" s="4">
        <v>348338.38237457367</v>
      </c>
      <c r="G244" s="4">
        <v>348338.76566141093</v>
      </c>
      <c r="H244" s="5">
        <f t="shared" si="2"/>
        <v>0</v>
      </c>
      <c r="I244" t="s">
        <v>35</v>
      </c>
      <c r="J244" t="s">
        <v>158</v>
      </c>
      <c r="K244" s="5">
        <f>96 / 86400</f>
        <v>1.1111111111111111E-3</v>
      </c>
      <c r="L244" s="5">
        <f>36 / 86400</f>
        <v>4.1666666666666669E-4</v>
      </c>
    </row>
    <row r="245" spans="1:12" x14ac:dyDescent="0.25">
      <c r="A245" s="3">
        <v>45704.696400462963</v>
      </c>
      <c r="B245" t="s">
        <v>235</v>
      </c>
      <c r="C245" s="3">
        <v>45704.696909722217</v>
      </c>
      <c r="D245" t="s">
        <v>236</v>
      </c>
      <c r="E245" s="4">
        <v>6.3497147858142852E-2</v>
      </c>
      <c r="F245" s="4">
        <v>348338.78801712621</v>
      </c>
      <c r="G245" s="4">
        <v>348338.85151427408</v>
      </c>
      <c r="H245" s="5">
        <f t="shared" si="2"/>
        <v>0</v>
      </c>
      <c r="I245" t="s">
        <v>136</v>
      </c>
      <c r="J245" t="s">
        <v>127</v>
      </c>
      <c r="K245" s="5">
        <f>44 / 86400</f>
        <v>5.0925925925925921E-4</v>
      </c>
      <c r="L245" s="5">
        <f>9 / 86400</f>
        <v>1.0416666666666667E-4</v>
      </c>
    </row>
    <row r="246" spans="1:12" x14ac:dyDescent="0.25">
      <c r="A246" s="3">
        <v>45704.697013888886</v>
      </c>
      <c r="B246" t="s">
        <v>236</v>
      </c>
      <c r="C246" s="3">
        <v>45704.699664351851</v>
      </c>
      <c r="D246" t="s">
        <v>236</v>
      </c>
      <c r="E246" s="4">
        <v>1.1429713963270187</v>
      </c>
      <c r="F246" s="4">
        <v>348338.85683512338</v>
      </c>
      <c r="G246" s="4">
        <v>348339.99980651971</v>
      </c>
      <c r="H246" s="5">
        <f t="shared" si="2"/>
        <v>0</v>
      </c>
      <c r="I246" t="s">
        <v>164</v>
      </c>
      <c r="J246" t="s">
        <v>51</v>
      </c>
      <c r="K246" s="5">
        <f>229 / 86400</f>
        <v>2.650462962962963E-3</v>
      </c>
      <c r="L246" s="5">
        <f>13 / 86400</f>
        <v>1.5046296296296297E-4</v>
      </c>
    </row>
    <row r="247" spans="1:12" x14ac:dyDescent="0.25">
      <c r="A247" s="3">
        <v>45704.699814814812</v>
      </c>
      <c r="B247" t="s">
        <v>236</v>
      </c>
      <c r="C247" s="3">
        <v>45704.701898148152</v>
      </c>
      <c r="D247" t="s">
        <v>83</v>
      </c>
      <c r="E247" s="4">
        <v>1.524194905102253</v>
      </c>
      <c r="F247" s="4">
        <v>348340.01303747523</v>
      </c>
      <c r="G247" s="4">
        <v>348341.5372323803</v>
      </c>
      <c r="H247" s="5">
        <f t="shared" si="2"/>
        <v>0</v>
      </c>
      <c r="I247" t="s">
        <v>237</v>
      </c>
      <c r="J247" t="s">
        <v>35</v>
      </c>
      <c r="K247" s="5">
        <f>180 / 86400</f>
        <v>2.0833333333333333E-3</v>
      </c>
      <c r="L247" s="5">
        <f>40 / 86400</f>
        <v>4.6296296296296298E-4</v>
      </c>
    </row>
    <row r="248" spans="1:12" x14ac:dyDescent="0.25">
      <c r="A248" s="3">
        <v>45704.702361111107</v>
      </c>
      <c r="B248" t="s">
        <v>83</v>
      </c>
      <c r="C248" s="3">
        <v>45704.703518518523</v>
      </c>
      <c r="D248" t="s">
        <v>89</v>
      </c>
      <c r="E248" s="4">
        <v>0.63091659390926358</v>
      </c>
      <c r="F248" s="4">
        <v>348341.54640066106</v>
      </c>
      <c r="G248" s="4">
        <v>348342.17731725494</v>
      </c>
      <c r="H248" s="5">
        <f t="shared" si="2"/>
        <v>0</v>
      </c>
      <c r="I248" t="s">
        <v>178</v>
      </c>
      <c r="J248" t="s">
        <v>27</v>
      </c>
      <c r="K248" s="5">
        <f>100 / 86400</f>
        <v>1.1574074074074073E-3</v>
      </c>
      <c r="L248" s="5">
        <f>20 / 86400</f>
        <v>2.3148148148148149E-4</v>
      </c>
    </row>
    <row r="249" spans="1:12" x14ac:dyDescent="0.25">
      <c r="A249" s="3">
        <v>45704.703750000001</v>
      </c>
      <c r="B249" t="s">
        <v>89</v>
      </c>
      <c r="C249" s="3">
        <v>45704.705138888894</v>
      </c>
      <c r="D249" t="s">
        <v>89</v>
      </c>
      <c r="E249" s="4">
        <v>0.98275000542402269</v>
      </c>
      <c r="F249" s="4">
        <v>348342.2787729667</v>
      </c>
      <c r="G249" s="4">
        <v>348343.26152297208</v>
      </c>
      <c r="H249" s="5">
        <f t="shared" si="2"/>
        <v>0</v>
      </c>
      <c r="I249" t="s">
        <v>150</v>
      </c>
      <c r="J249" t="s">
        <v>175</v>
      </c>
      <c r="K249" s="5">
        <f>120 / 86400</f>
        <v>1.3888888888888889E-3</v>
      </c>
      <c r="L249" s="5">
        <f>40 / 86400</f>
        <v>4.6296296296296298E-4</v>
      </c>
    </row>
    <row r="250" spans="1:12" x14ac:dyDescent="0.25">
      <c r="A250" s="3">
        <v>45704.705601851849</v>
      </c>
      <c r="B250" t="s">
        <v>89</v>
      </c>
      <c r="C250" s="3">
        <v>45704.706770833334</v>
      </c>
      <c r="D250" t="s">
        <v>89</v>
      </c>
      <c r="E250" s="4">
        <v>0.5535059398412705</v>
      </c>
      <c r="F250" s="4">
        <v>348343.29482116242</v>
      </c>
      <c r="G250" s="4">
        <v>348343.84832710226</v>
      </c>
      <c r="H250" s="5">
        <f t="shared" si="2"/>
        <v>0</v>
      </c>
      <c r="I250" t="s">
        <v>172</v>
      </c>
      <c r="J250" t="s">
        <v>33</v>
      </c>
      <c r="K250" s="5">
        <f>101 / 86400</f>
        <v>1.1689814814814816E-3</v>
      </c>
      <c r="L250" s="5">
        <f>19 / 86400</f>
        <v>2.199074074074074E-4</v>
      </c>
    </row>
    <row r="251" spans="1:12" x14ac:dyDescent="0.25">
      <c r="A251" s="3">
        <v>45704.706990740742</v>
      </c>
      <c r="B251" t="s">
        <v>89</v>
      </c>
      <c r="C251" s="3">
        <v>45704.70815972222</v>
      </c>
      <c r="D251" t="s">
        <v>181</v>
      </c>
      <c r="E251" s="4">
        <v>1.1828112519383431</v>
      </c>
      <c r="F251" s="4">
        <v>348343.88842209091</v>
      </c>
      <c r="G251" s="4">
        <v>348345.07123334281</v>
      </c>
      <c r="H251" s="5">
        <f t="shared" si="2"/>
        <v>0</v>
      </c>
      <c r="I251" t="s">
        <v>152</v>
      </c>
      <c r="J251" t="s">
        <v>192</v>
      </c>
      <c r="K251" s="5">
        <f>101 / 86400</f>
        <v>1.1689814814814816E-3</v>
      </c>
      <c r="L251" s="5">
        <f>20 / 86400</f>
        <v>2.3148148148148149E-4</v>
      </c>
    </row>
    <row r="252" spans="1:12" x14ac:dyDescent="0.25">
      <c r="A252" s="3">
        <v>45704.708391203705</v>
      </c>
      <c r="B252" t="s">
        <v>181</v>
      </c>
      <c r="C252" s="3">
        <v>45704.710243055553</v>
      </c>
      <c r="D252" t="s">
        <v>89</v>
      </c>
      <c r="E252" s="4">
        <v>1.8855494576096534</v>
      </c>
      <c r="F252" s="4">
        <v>348345.07525722607</v>
      </c>
      <c r="G252" s="4">
        <v>348346.96080668364</v>
      </c>
      <c r="H252" s="5">
        <f t="shared" si="2"/>
        <v>0</v>
      </c>
      <c r="I252" t="s">
        <v>152</v>
      </c>
      <c r="J252" t="s">
        <v>192</v>
      </c>
      <c r="K252" s="5">
        <f>160 / 86400</f>
        <v>1.8518518518518519E-3</v>
      </c>
      <c r="L252" s="5">
        <f>20 / 86400</f>
        <v>2.3148148148148149E-4</v>
      </c>
    </row>
    <row r="253" spans="1:12" x14ac:dyDescent="0.25">
      <c r="A253" s="3">
        <v>45704.710474537038</v>
      </c>
      <c r="B253" t="s">
        <v>238</v>
      </c>
      <c r="C253" s="3">
        <v>45704.711400462962</v>
      </c>
      <c r="D253" t="s">
        <v>239</v>
      </c>
      <c r="E253" s="4">
        <v>0.92782888382673268</v>
      </c>
      <c r="F253" s="4">
        <v>348346.98539483309</v>
      </c>
      <c r="G253" s="4">
        <v>348347.9132237169</v>
      </c>
      <c r="H253" s="5">
        <f t="shared" si="2"/>
        <v>0</v>
      </c>
      <c r="I253" t="s">
        <v>85</v>
      </c>
      <c r="J253" t="s">
        <v>192</v>
      </c>
      <c r="K253" s="5">
        <f>80 / 86400</f>
        <v>9.2592592592592596E-4</v>
      </c>
      <c r="L253" s="5">
        <f>40 / 86400</f>
        <v>4.6296296296296298E-4</v>
      </c>
    </row>
    <row r="254" spans="1:12" x14ac:dyDescent="0.25">
      <c r="A254" s="3">
        <v>45704.711863425924</v>
      </c>
      <c r="B254" t="s">
        <v>104</v>
      </c>
      <c r="C254" s="3">
        <v>45704.712557870371</v>
      </c>
      <c r="D254" t="s">
        <v>240</v>
      </c>
      <c r="E254" s="4">
        <v>0.73309089124202731</v>
      </c>
      <c r="F254" s="4">
        <v>348347.98507747613</v>
      </c>
      <c r="G254" s="4">
        <v>348348.7181683674</v>
      </c>
      <c r="H254" s="5">
        <f t="shared" si="2"/>
        <v>0</v>
      </c>
      <c r="I254" t="s">
        <v>241</v>
      </c>
      <c r="J254" t="s">
        <v>161</v>
      </c>
      <c r="K254" s="5">
        <f>60 / 86400</f>
        <v>6.9444444444444447E-4</v>
      </c>
      <c r="L254" s="5">
        <f>29 / 86400</f>
        <v>3.3564814814814812E-4</v>
      </c>
    </row>
    <row r="255" spans="1:12" x14ac:dyDescent="0.25">
      <c r="A255" s="3">
        <v>45704.712893518517</v>
      </c>
      <c r="B255" t="s">
        <v>240</v>
      </c>
      <c r="C255" s="3">
        <v>45704.716550925921</v>
      </c>
      <c r="D255" t="s">
        <v>242</v>
      </c>
      <c r="E255" s="4">
        <v>2.0828474639058112</v>
      </c>
      <c r="F255" s="4">
        <v>348348.74322876509</v>
      </c>
      <c r="G255" s="4">
        <v>348350.82607622899</v>
      </c>
      <c r="H255" s="5">
        <f t="shared" si="2"/>
        <v>0</v>
      </c>
      <c r="I255" t="s">
        <v>183</v>
      </c>
      <c r="J255" t="s">
        <v>68</v>
      </c>
      <c r="K255" s="5">
        <f>316 / 86400</f>
        <v>3.6574074074074074E-3</v>
      </c>
      <c r="L255" s="5">
        <f>20 / 86400</f>
        <v>2.3148148148148149E-4</v>
      </c>
    </row>
    <row r="256" spans="1:12" x14ac:dyDescent="0.25">
      <c r="A256" s="3">
        <v>45704.716782407406</v>
      </c>
      <c r="B256" t="s">
        <v>242</v>
      </c>
      <c r="C256" s="3">
        <v>45704.717013888891</v>
      </c>
      <c r="D256" t="s">
        <v>242</v>
      </c>
      <c r="E256" s="4">
        <v>4.0274026989936831E-2</v>
      </c>
      <c r="F256" s="4">
        <v>348350.82643559063</v>
      </c>
      <c r="G256" s="4">
        <v>348350.86670961761</v>
      </c>
      <c r="H256" s="5">
        <f t="shared" si="2"/>
        <v>0</v>
      </c>
      <c r="I256" t="s">
        <v>88</v>
      </c>
      <c r="J256" t="s">
        <v>136</v>
      </c>
      <c r="K256" s="5">
        <f>20 / 86400</f>
        <v>2.3148148148148149E-4</v>
      </c>
      <c r="L256" s="5">
        <f>160 / 86400</f>
        <v>1.8518518518518519E-3</v>
      </c>
    </row>
    <row r="257" spans="1:12" x14ac:dyDescent="0.25">
      <c r="A257" s="3">
        <v>45704.718865740739</v>
      </c>
      <c r="B257" t="s">
        <v>242</v>
      </c>
      <c r="C257" s="3">
        <v>45704.737476851849</v>
      </c>
      <c r="D257" t="s">
        <v>173</v>
      </c>
      <c r="E257" s="4">
        <v>1.2520404199957849</v>
      </c>
      <c r="F257" s="4">
        <v>348350.92599314271</v>
      </c>
      <c r="G257" s="4">
        <v>348352.17803356273</v>
      </c>
      <c r="H257" s="5">
        <f t="shared" si="2"/>
        <v>0</v>
      </c>
      <c r="I257" t="s">
        <v>161</v>
      </c>
      <c r="J257" t="s">
        <v>87</v>
      </c>
      <c r="K257" s="5">
        <f>1608 / 86400</f>
        <v>1.861111111111111E-2</v>
      </c>
      <c r="L257" s="5">
        <f>6 / 86400</f>
        <v>6.9444444444444444E-5</v>
      </c>
    </row>
    <row r="258" spans="1:12" x14ac:dyDescent="0.25">
      <c r="A258" s="3">
        <v>45704.737546296295</v>
      </c>
      <c r="B258" t="s">
        <v>173</v>
      </c>
      <c r="C258" s="3">
        <v>45704.738217592589</v>
      </c>
      <c r="D258" t="s">
        <v>173</v>
      </c>
      <c r="E258" s="4">
        <v>8.2774554014205928E-2</v>
      </c>
      <c r="F258" s="4">
        <v>348352.18504038983</v>
      </c>
      <c r="G258" s="4">
        <v>348352.26781494386</v>
      </c>
      <c r="H258" s="5">
        <f t="shared" si="2"/>
        <v>0</v>
      </c>
      <c r="I258" t="s">
        <v>165</v>
      </c>
      <c r="J258" t="s">
        <v>127</v>
      </c>
      <c r="K258" s="5">
        <f>58 / 86400</f>
        <v>6.7129629629629625E-4</v>
      </c>
      <c r="L258" s="5">
        <f>20 / 86400</f>
        <v>2.3148148148148149E-4</v>
      </c>
    </row>
    <row r="259" spans="1:12" x14ac:dyDescent="0.25">
      <c r="A259" s="3">
        <v>45704.738449074073</v>
      </c>
      <c r="B259" t="s">
        <v>173</v>
      </c>
      <c r="C259" s="3">
        <v>45704.740868055553</v>
      </c>
      <c r="D259" t="s">
        <v>173</v>
      </c>
      <c r="E259" s="4">
        <v>0.68923319661617277</v>
      </c>
      <c r="F259" s="4">
        <v>348352.27355254744</v>
      </c>
      <c r="G259" s="4">
        <v>348352.96278574405</v>
      </c>
      <c r="H259" s="5">
        <f t="shared" si="2"/>
        <v>0</v>
      </c>
      <c r="I259" t="s">
        <v>29</v>
      </c>
      <c r="J259" t="s">
        <v>165</v>
      </c>
      <c r="K259" s="5">
        <f>209 / 86400</f>
        <v>2.4189814814814816E-3</v>
      </c>
      <c r="L259" s="5">
        <f>60 / 86400</f>
        <v>6.9444444444444447E-4</v>
      </c>
    </row>
    <row r="260" spans="1:12" x14ac:dyDescent="0.25">
      <c r="A260" s="3">
        <v>45704.741562499999</v>
      </c>
      <c r="B260" t="s">
        <v>176</v>
      </c>
      <c r="C260" s="3">
        <v>45704.743530092594</v>
      </c>
      <c r="D260" t="s">
        <v>243</v>
      </c>
      <c r="E260" s="4">
        <v>0.50461882895231247</v>
      </c>
      <c r="F260" s="4">
        <v>348352.99606156984</v>
      </c>
      <c r="G260" s="4">
        <v>348353.50068039878</v>
      </c>
      <c r="H260" s="5">
        <f t="shared" si="2"/>
        <v>0</v>
      </c>
      <c r="I260" t="s">
        <v>27</v>
      </c>
      <c r="J260" t="s">
        <v>143</v>
      </c>
      <c r="K260" s="5">
        <f>170 / 86400</f>
        <v>1.9675925925925924E-3</v>
      </c>
      <c r="L260" s="5">
        <f>40 / 86400</f>
        <v>4.6296296296296298E-4</v>
      </c>
    </row>
    <row r="261" spans="1:12" x14ac:dyDescent="0.25">
      <c r="A261" s="3">
        <v>45704.743993055556</v>
      </c>
      <c r="B261" t="s">
        <v>243</v>
      </c>
      <c r="C261" s="3">
        <v>45704.744224537033</v>
      </c>
      <c r="D261" t="s">
        <v>243</v>
      </c>
      <c r="E261" s="4">
        <v>7.6459605097770689E-3</v>
      </c>
      <c r="F261" s="4">
        <v>348353.51033314492</v>
      </c>
      <c r="G261" s="4">
        <v>348353.51797910541</v>
      </c>
      <c r="H261" s="5">
        <f t="shared" si="2"/>
        <v>0</v>
      </c>
      <c r="I261" t="s">
        <v>137</v>
      </c>
      <c r="J261" t="s">
        <v>128</v>
      </c>
      <c r="K261" s="5">
        <f>20 / 86400</f>
        <v>2.3148148148148149E-4</v>
      </c>
      <c r="L261" s="5">
        <f>70 / 86400</f>
        <v>8.1018518518518516E-4</v>
      </c>
    </row>
    <row r="262" spans="1:12" x14ac:dyDescent="0.25">
      <c r="A262" s="3">
        <v>45704.745034722218</v>
      </c>
      <c r="B262" t="s">
        <v>243</v>
      </c>
      <c r="C262" s="3">
        <v>45704.745347222226</v>
      </c>
      <c r="D262" t="s">
        <v>242</v>
      </c>
      <c r="E262" s="4">
        <v>5.2140670299530026E-2</v>
      </c>
      <c r="F262" s="4">
        <v>348353.52905238461</v>
      </c>
      <c r="G262" s="4">
        <v>348353.58119305491</v>
      </c>
      <c r="H262" s="5">
        <f t="shared" si="2"/>
        <v>0</v>
      </c>
      <c r="I262" t="s">
        <v>30</v>
      </c>
      <c r="J262" t="s">
        <v>136</v>
      </c>
      <c r="K262" s="5">
        <f>27 / 86400</f>
        <v>3.1250000000000001E-4</v>
      </c>
      <c r="L262" s="5">
        <f>20 / 86400</f>
        <v>2.3148148148148149E-4</v>
      </c>
    </row>
    <row r="263" spans="1:12" x14ac:dyDescent="0.25">
      <c r="A263" s="3">
        <v>45704.745578703703</v>
      </c>
      <c r="B263" t="s">
        <v>242</v>
      </c>
      <c r="C263" s="3">
        <v>45704.750381944439</v>
      </c>
      <c r="D263" t="s">
        <v>177</v>
      </c>
      <c r="E263" s="4">
        <v>2.6355441896319389</v>
      </c>
      <c r="F263" s="4">
        <v>348353.65242067096</v>
      </c>
      <c r="G263" s="4">
        <v>348356.28796486062</v>
      </c>
      <c r="H263" s="5">
        <f t="shared" si="2"/>
        <v>0</v>
      </c>
      <c r="I263" t="s">
        <v>161</v>
      </c>
      <c r="J263" t="s">
        <v>27</v>
      </c>
      <c r="K263" s="5">
        <f>415 / 86400</f>
        <v>4.8032407407407407E-3</v>
      </c>
      <c r="L263" s="5">
        <f>20 / 86400</f>
        <v>2.3148148148148149E-4</v>
      </c>
    </row>
    <row r="264" spans="1:12" x14ac:dyDescent="0.25">
      <c r="A264" s="3">
        <v>45704.750613425931</v>
      </c>
      <c r="B264" t="s">
        <v>177</v>
      </c>
      <c r="C264" s="3">
        <v>45704.751909722225</v>
      </c>
      <c r="D264" t="s">
        <v>104</v>
      </c>
      <c r="E264" s="4">
        <v>0.95053110378980632</v>
      </c>
      <c r="F264" s="4">
        <v>348356.29896389093</v>
      </c>
      <c r="G264" s="4">
        <v>348357.2494949947</v>
      </c>
      <c r="H264" s="5">
        <f t="shared" si="2"/>
        <v>0</v>
      </c>
      <c r="I264" t="s">
        <v>184</v>
      </c>
      <c r="J264" t="s">
        <v>166</v>
      </c>
      <c r="K264" s="5">
        <f>112 / 86400</f>
        <v>1.2962962962962963E-3</v>
      </c>
      <c r="L264" s="5">
        <f>40 / 86400</f>
        <v>4.6296296296296298E-4</v>
      </c>
    </row>
    <row r="265" spans="1:12" x14ac:dyDescent="0.25">
      <c r="A265" s="3">
        <v>45704.752372685187</v>
      </c>
      <c r="B265" t="s">
        <v>104</v>
      </c>
      <c r="C265" s="3">
        <v>45704.752835648149</v>
      </c>
      <c r="D265" t="s">
        <v>89</v>
      </c>
      <c r="E265" s="4">
        <v>0.12849931102991105</v>
      </c>
      <c r="F265" s="4">
        <v>348357.25705846719</v>
      </c>
      <c r="G265" s="4">
        <v>348357.38555777824</v>
      </c>
      <c r="H265" s="5">
        <f t="shared" si="2"/>
        <v>0</v>
      </c>
      <c r="I265" t="s">
        <v>136</v>
      </c>
      <c r="J265" t="s">
        <v>165</v>
      </c>
      <c r="K265" s="5">
        <f>40 / 86400</f>
        <v>4.6296296296296298E-4</v>
      </c>
      <c r="L265" s="5">
        <f>40 / 86400</f>
        <v>4.6296296296296298E-4</v>
      </c>
    </row>
    <row r="266" spans="1:12" x14ac:dyDescent="0.25">
      <c r="A266" s="3">
        <v>45704.753298611111</v>
      </c>
      <c r="B266" t="s">
        <v>89</v>
      </c>
      <c r="C266" s="3">
        <v>45704.753530092596</v>
      </c>
      <c r="D266" t="s">
        <v>89</v>
      </c>
      <c r="E266" s="4">
        <v>1.1078040242195129E-2</v>
      </c>
      <c r="F266" s="4">
        <v>348357.41628029343</v>
      </c>
      <c r="G266" s="4">
        <v>348357.42735833366</v>
      </c>
      <c r="H266" s="5">
        <f t="shared" si="2"/>
        <v>0</v>
      </c>
      <c r="I266" t="s">
        <v>129</v>
      </c>
      <c r="J266" t="s">
        <v>129</v>
      </c>
      <c r="K266" s="5">
        <f>20 / 86400</f>
        <v>2.3148148148148149E-4</v>
      </c>
      <c r="L266" s="5">
        <f>20 / 86400</f>
        <v>2.3148148148148149E-4</v>
      </c>
    </row>
    <row r="267" spans="1:12" x14ac:dyDescent="0.25">
      <c r="A267" s="3">
        <v>45704.753761574073</v>
      </c>
      <c r="B267" t="s">
        <v>89</v>
      </c>
      <c r="C267" s="3">
        <v>45704.754224537042</v>
      </c>
      <c r="D267" t="s">
        <v>89</v>
      </c>
      <c r="E267" s="4">
        <v>4.1830332815647124E-2</v>
      </c>
      <c r="F267" s="4">
        <v>348357.42956671177</v>
      </c>
      <c r="G267" s="4">
        <v>348357.4713970446</v>
      </c>
      <c r="H267" s="5">
        <f t="shared" si="2"/>
        <v>0</v>
      </c>
      <c r="I267" t="s">
        <v>137</v>
      </c>
      <c r="J267" t="s">
        <v>137</v>
      </c>
      <c r="K267" s="5">
        <f>40 / 86400</f>
        <v>4.6296296296296298E-4</v>
      </c>
      <c r="L267" s="5">
        <f>40 / 86400</f>
        <v>4.6296296296296298E-4</v>
      </c>
    </row>
    <row r="268" spans="1:12" x14ac:dyDescent="0.25">
      <c r="A268" s="3">
        <v>45704.754687499997</v>
      </c>
      <c r="B268" t="s">
        <v>89</v>
      </c>
      <c r="C268" s="3">
        <v>45704.754918981482</v>
      </c>
      <c r="D268" t="s">
        <v>89</v>
      </c>
      <c r="E268" s="4">
        <v>1.9457184076309204E-2</v>
      </c>
      <c r="F268" s="4">
        <v>348357.51866768976</v>
      </c>
      <c r="G268" s="4">
        <v>348357.53812487383</v>
      </c>
      <c r="H268" s="5">
        <f t="shared" si="2"/>
        <v>0</v>
      </c>
      <c r="I268" t="s">
        <v>88</v>
      </c>
      <c r="J268" t="s">
        <v>137</v>
      </c>
      <c r="K268" s="5">
        <f>20 / 86400</f>
        <v>2.3148148148148149E-4</v>
      </c>
      <c r="L268" s="5">
        <f>60 / 86400</f>
        <v>6.9444444444444447E-4</v>
      </c>
    </row>
    <row r="269" spans="1:12" x14ac:dyDescent="0.25">
      <c r="A269" s="3">
        <v>45704.755613425921</v>
      </c>
      <c r="B269" t="s">
        <v>89</v>
      </c>
      <c r="C269" s="3">
        <v>45704.755844907406</v>
      </c>
      <c r="D269" t="s">
        <v>181</v>
      </c>
      <c r="E269" s="4">
        <v>1.1384423732757568E-2</v>
      </c>
      <c r="F269" s="4">
        <v>348357.56095334748</v>
      </c>
      <c r="G269" s="4">
        <v>348357.57233777124</v>
      </c>
      <c r="H269" s="5">
        <f t="shared" si="2"/>
        <v>0</v>
      </c>
      <c r="I269" t="s">
        <v>129</v>
      </c>
      <c r="J269" t="s">
        <v>129</v>
      </c>
      <c r="K269" s="5">
        <f>20 / 86400</f>
        <v>2.3148148148148149E-4</v>
      </c>
      <c r="L269" s="5">
        <f>40 / 86400</f>
        <v>4.6296296296296298E-4</v>
      </c>
    </row>
    <row r="270" spans="1:12" x14ac:dyDescent="0.25">
      <c r="A270" s="3">
        <v>45704.756307870368</v>
      </c>
      <c r="B270" t="s">
        <v>181</v>
      </c>
      <c r="C270" s="3">
        <v>45704.756539351853</v>
      </c>
      <c r="D270" t="s">
        <v>181</v>
      </c>
      <c r="E270" s="4">
        <v>6.9579526782035826E-3</v>
      </c>
      <c r="F270" s="4">
        <v>348357.59720765072</v>
      </c>
      <c r="G270" s="4">
        <v>348357.60416560341</v>
      </c>
      <c r="H270" s="5">
        <f t="shared" si="2"/>
        <v>0</v>
      </c>
      <c r="I270" t="s">
        <v>137</v>
      </c>
      <c r="J270" t="s">
        <v>128</v>
      </c>
      <c r="K270" s="5">
        <f>20 / 86400</f>
        <v>2.3148148148148149E-4</v>
      </c>
      <c r="L270" s="5">
        <f>60 / 86400</f>
        <v>6.9444444444444447E-4</v>
      </c>
    </row>
    <row r="271" spans="1:12" x14ac:dyDescent="0.25">
      <c r="A271" s="3">
        <v>45704.757233796292</v>
      </c>
      <c r="B271" t="s">
        <v>89</v>
      </c>
      <c r="C271" s="3">
        <v>45704.757465277777</v>
      </c>
      <c r="D271" t="s">
        <v>89</v>
      </c>
      <c r="E271" s="4">
        <v>1.9728246331214903E-3</v>
      </c>
      <c r="F271" s="4">
        <v>348357.64021883544</v>
      </c>
      <c r="G271" s="4">
        <v>348357.64219166007</v>
      </c>
      <c r="H271" s="5">
        <f t="shared" si="2"/>
        <v>0</v>
      </c>
      <c r="I271" t="s">
        <v>88</v>
      </c>
      <c r="J271" t="s">
        <v>55</v>
      </c>
      <c r="K271" s="5">
        <f>20 / 86400</f>
        <v>2.3148148148148149E-4</v>
      </c>
      <c r="L271" s="5">
        <f>50 / 86400</f>
        <v>5.7870370370370367E-4</v>
      </c>
    </row>
    <row r="272" spans="1:12" x14ac:dyDescent="0.25">
      <c r="A272" s="3">
        <v>45704.758043981477</v>
      </c>
      <c r="B272" t="s">
        <v>89</v>
      </c>
      <c r="C272" s="3">
        <v>45704.75854166667</v>
      </c>
      <c r="D272" t="s">
        <v>89</v>
      </c>
      <c r="E272" s="4">
        <v>0.11145932579040527</v>
      </c>
      <c r="F272" s="4">
        <v>348357.64723112585</v>
      </c>
      <c r="G272" s="4">
        <v>348357.75869045162</v>
      </c>
      <c r="H272" s="5">
        <f t="shared" si="2"/>
        <v>0</v>
      </c>
      <c r="I272" t="s">
        <v>33</v>
      </c>
      <c r="J272" t="s">
        <v>30</v>
      </c>
      <c r="K272" s="5">
        <f>43 / 86400</f>
        <v>4.9768518518518521E-4</v>
      </c>
      <c r="L272" s="5">
        <f>20 / 86400</f>
        <v>2.3148148148148149E-4</v>
      </c>
    </row>
    <row r="273" spans="1:12" x14ac:dyDescent="0.25">
      <c r="A273" s="3">
        <v>45704.758773148147</v>
      </c>
      <c r="B273" t="s">
        <v>89</v>
      </c>
      <c r="C273" s="3">
        <v>45704.762013888889</v>
      </c>
      <c r="D273" t="s">
        <v>89</v>
      </c>
      <c r="E273" s="4">
        <v>2.1767830759882929</v>
      </c>
      <c r="F273" s="4">
        <v>348357.78201778466</v>
      </c>
      <c r="G273" s="4">
        <v>348359.95880086062</v>
      </c>
      <c r="H273" s="5">
        <f t="shared" si="2"/>
        <v>0</v>
      </c>
      <c r="I273" t="s">
        <v>209</v>
      </c>
      <c r="J273" t="s">
        <v>29</v>
      </c>
      <c r="K273" s="5">
        <f>280 / 86400</f>
        <v>3.2407407407407406E-3</v>
      </c>
      <c r="L273" s="5">
        <f>60 / 86400</f>
        <v>6.9444444444444447E-4</v>
      </c>
    </row>
    <row r="274" spans="1:12" x14ac:dyDescent="0.25">
      <c r="A274" s="3">
        <v>45704.762708333335</v>
      </c>
      <c r="B274" t="s">
        <v>181</v>
      </c>
      <c r="C274" s="3">
        <v>45704.763171296298</v>
      </c>
      <c r="D274" t="s">
        <v>89</v>
      </c>
      <c r="E274" s="4">
        <v>0.24089547532796859</v>
      </c>
      <c r="F274" s="4">
        <v>348360.14245237963</v>
      </c>
      <c r="G274" s="4">
        <v>348360.38334785495</v>
      </c>
      <c r="H274" s="5">
        <f t="shared" si="2"/>
        <v>0</v>
      </c>
      <c r="I274" t="s">
        <v>182</v>
      </c>
      <c r="J274" t="s">
        <v>20</v>
      </c>
      <c r="K274" s="5">
        <f>40 / 86400</f>
        <v>4.6296296296296298E-4</v>
      </c>
      <c r="L274" s="5">
        <f>20 / 86400</f>
        <v>2.3148148148148149E-4</v>
      </c>
    </row>
    <row r="275" spans="1:12" x14ac:dyDescent="0.25">
      <c r="A275" s="3">
        <v>45704.763402777782</v>
      </c>
      <c r="B275" t="s">
        <v>89</v>
      </c>
      <c r="C275" s="3">
        <v>45704.764097222222</v>
      </c>
      <c r="D275" t="s">
        <v>244</v>
      </c>
      <c r="E275" s="4">
        <v>0.41142260098457334</v>
      </c>
      <c r="F275" s="4">
        <v>348360.44365438691</v>
      </c>
      <c r="G275" s="4">
        <v>348360.85507698794</v>
      </c>
      <c r="H275" s="5">
        <f t="shared" si="2"/>
        <v>0</v>
      </c>
      <c r="I275" t="s">
        <v>139</v>
      </c>
      <c r="J275" t="s">
        <v>122</v>
      </c>
      <c r="K275" s="5">
        <f>60 / 86400</f>
        <v>6.9444444444444447E-4</v>
      </c>
      <c r="L275" s="5">
        <f>20 / 86400</f>
        <v>2.3148148148148149E-4</v>
      </c>
    </row>
    <row r="276" spans="1:12" x14ac:dyDescent="0.25">
      <c r="A276" s="3">
        <v>45704.764328703706</v>
      </c>
      <c r="B276" t="s">
        <v>244</v>
      </c>
      <c r="C276" s="3">
        <v>45704.766412037032</v>
      </c>
      <c r="D276" t="s">
        <v>83</v>
      </c>
      <c r="E276" s="4">
        <v>1.8190704187154769</v>
      </c>
      <c r="F276" s="4">
        <v>348360.86552454927</v>
      </c>
      <c r="G276" s="4">
        <v>348362.68459496798</v>
      </c>
      <c r="H276" s="5">
        <f t="shared" si="2"/>
        <v>0</v>
      </c>
      <c r="I276" t="s">
        <v>93</v>
      </c>
      <c r="J276" t="s">
        <v>154</v>
      </c>
      <c r="K276" s="5">
        <f>180 / 86400</f>
        <v>2.0833333333333333E-3</v>
      </c>
      <c r="L276" s="5">
        <f>40 / 86400</f>
        <v>4.6296296296296298E-4</v>
      </c>
    </row>
    <row r="277" spans="1:12" x14ac:dyDescent="0.25">
      <c r="A277" s="3">
        <v>45704.766875000001</v>
      </c>
      <c r="B277" t="s">
        <v>83</v>
      </c>
      <c r="C277" s="3">
        <v>45704.767812499995</v>
      </c>
      <c r="D277" t="s">
        <v>83</v>
      </c>
      <c r="E277" s="4">
        <v>0.60892020720243456</v>
      </c>
      <c r="F277" s="4">
        <v>348362.8004453195</v>
      </c>
      <c r="G277" s="4">
        <v>348363.40936552669</v>
      </c>
      <c r="H277" s="5">
        <f t="shared" si="2"/>
        <v>0</v>
      </c>
      <c r="I277" t="s">
        <v>182</v>
      </c>
      <c r="J277" t="s">
        <v>200</v>
      </c>
      <c r="K277" s="5">
        <f>81 / 86400</f>
        <v>9.3749999999999997E-4</v>
      </c>
      <c r="L277" s="5">
        <f>20 / 86400</f>
        <v>2.3148148148148149E-4</v>
      </c>
    </row>
    <row r="278" spans="1:12" x14ac:dyDescent="0.25">
      <c r="A278" s="3">
        <v>45704.768043981487</v>
      </c>
      <c r="B278" t="s">
        <v>83</v>
      </c>
      <c r="C278" s="3">
        <v>45704.768958333334</v>
      </c>
      <c r="D278" t="s">
        <v>236</v>
      </c>
      <c r="E278" s="4">
        <v>0.63992539525032044</v>
      </c>
      <c r="F278" s="4">
        <v>348363.60273183329</v>
      </c>
      <c r="G278" s="4">
        <v>348364.24265722855</v>
      </c>
      <c r="H278" s="5">
        <f t="shared" si="2"/>
        <v>0</v>
      </c>
      <c r="I278" t="s">
        <v>139</v>
      </c>
      <c r="J278" t="s">
        <v>175</v>
      </c>
      <c r="K278" s="5">
        <f>79 / 86400</f>
        <v>9.1435185185185185E-4</v>
      </c>
      <c r="L278" s="5">
        <f>21 / 86400</f>
        <v>2.4305555555555555E-4</v>
      </c>
    </row>
    <row r="279" spans="1:12" x14ac:dyDescent="0.25">
      <c r="A279" s="3">
        <v>45704.769201388888</v>
      </c>
      <c r="B279" t="s">
        <v>236</v>
      </c>
      <c r="C279" s="3">
        <v>45704.773252314815</v>
      </c>
      <c r="D279" t="s">
        <v>186</v>
      </c>
      <c r="E279" s="4">
        <v>1.5572245336174966</v>
      </c>
      <c r="F279" s="4">
        <v>348364.29417112423</v>
      </c>
      <c r="G279" s="4">
        <v>348365.85139565781</v>
      </c>
      <c r="H279" s="5">
        <f t="shared" si="2"/>
        <v>0</v>
      </c>
      <c r="I279" t="s">
        <v>132</v>
      </c>
      <c r="J279" t="s">
        <v>133</v>
      </c>
      <c r="K279" s="5">
        <f>350 / 86400</f>
        <v>4.0509259259259257E-3</v>
      </c>
      <c r="L279" s="5">
        <f>40 / 86400</f>
        <v>4.6296296296296298E-4</v>
      </c>
    </row>
    <row r="280" spans="1:12" x14ac:dyDescent="0.25">
      <c r="A280" s="3">
        <v>45704.773715277777</v>
      </c>
      <c r="B280" t="s">
        <v>187</v>
      </c>
      <c r="C280" s="3">
        <v>45704.774409722224</v>
      </c>
      <c r="D280" t="s">
        <v>245</v>
      </c>
      <c r="E280" s="4">
        <v>3.4225957095623018E-2</v>
      </c>
      <c r="F280" s="4">
        <v>348365.86512859637</v>
      </c>
      <c r="G280" s="4">
        <v>348365.89935455343</v>
      </c>
      <c r="H280" s="5">
        <f t="shared" si="2"/>
        <v>0</v>
      </c>
      <c r="I280" t="s">
        <v>119</v>
      </c>
      <c r="J280" t="s">
        <v>129</v>
      </c>
      <c r="K280" s="5">
        <f>60 / 86400</f>
        <v>6.9444444444444447E-4</v>
      </c>
      <c r="L280" s="5">
        <f>80 / 86400</f>
        <v>9.2592592592592596E-4</v>
      </c>
    </row>
    <row r="281" spans="1:12" x14ac:dyDescent="0.25">
      <c r="A281" s="3">
        <v>45704.775335648148</v>
      </c>
      <c r="B281" t="s">
        <v>245</v>
      </c>
      <c r="C281" s="3">
        <v>45704.775613425925</v>
      </c>
      <c r="D281" t="s">
        <v>245</v>
      </c>
      <c r="E281" s="4">
        <v>1.6857086002826691E-2</v>
      </c>
      <c r="F281" s="4">
        <v>348365.92575286992</v>
      </c>
      <c r="G281" s="4">
        <v>348365.94260995591</v>
      </c>
      <c r="H281" s="5">
        <f t="shared" si="2"/>
        <v>0</v>
      </c>
      <c r="I281" t="s">
        <v>136</v>
      </c>
      <c r="J281" t="s">
        <v>87</v>
      </c>
      <c r="K281" s="5">
        <f>24 / 86400</f>
        <v>2.7777777777777778E-4</v>
      </c>
      <c r="L281" s="5">
        <f>40 / 86400</f>
        <v>4.6296296296296298E-4</v>
      </c>
    </row>
    <row r="282" spans="1:12" x14ac:dyDescent="0.25">
      <c r="A282" s="3">
        <v>45704.776076388887</v>
      </c>
      <c r="B282" t="s">
        <v>187</v>
      </c>
      <c r="C282" s="3">
        <v>45704.777233796296</v>
      </c>
      <c r="D282" t="s">
        <v>187</v>
      </c>
      <c r="E282" s="4">
        <v>0.78296614307165147</v>
      </c>
      <c r="F282" s="4">
        <v>348366.03857688006</v>
      </c>
      <c r="G282" s="4">
        <v>348366.82154302311</v>
      </c>
      <c r="H282" s="5">
        <f t="shared" si="2"/>
        <v>0</v>
      </c>
      <c r="I282" t="s">
        <v>183</v>
      </c>
      <c r="J282" t="s">
        <v>29</v>
      </c>
      <c r="K282" s="5">
        <f>100 / 86400</f>
        <v>1.1574074074074073E-3</v>
      </c>
      <c r="L282" s="5">
        <f>20 / 86400</f>
        <v>2.3148148148148149E-4</v>
      </c>
    </row>
    <row r="283" spans="1:12" x14ac:dyDescent="0.25">
      <c r="A283" s="3">
        <v>45704.777465277773</v>
      </c>
      <c r="B283" t="s">
        <v>187</v>
      </c>
      <c r="C283" s="3">
        <v>45704.778391203705</v>
      </c>
      <c r="D283" t="s">
        <v>187</v>
      </c>
      <c r="E283" s="4">
        <v>0.50562895160913468</v>
      </c>
      <c r="F283" s="4">
        <v>348367.00741493894</v>
      </c>
      <c r="G283" s="4">
        <v>348367.51304389053</v>
      </c>
      <c r="H283" s="5">
        <f t="shared" si="2"/>
        <v>0</v>
      </c>
      <c r="I283" t="s">
        <v>237</v>
      </c>
      <c r="J283" t="s">
        <v>27</v>
      </c>
      <c r="K283" s="5">
        <f>80 / 86400</f>
        <v>9.2592592592592596E-4</v>
      </c>
      <c r="L283" s="5">
        <f>40 / 86400</f>
        <v>4.6296296296296298E-4</v>
      </c>
    </row>
    <row r="284" spans="1:12" x14ac:dyDescent="0.25">
      <c r="A284" s="3">
        <v>45704.778854166667</v>
      </c>
      <c r="B284" t="s">
        <v>188</v>
      </c>
      <c r="C284" s="3">
        <v>45704.782326388886</v>
      </c>
      <c r="D284" t="s">
        <v>190</v>
      </c>
      <c r="E284" s="4">
        <v>2.0918340815901755</v>
      </c>
      <c r="F284" s="4">
        <v>348367.61477538646</v>
      </c>
      <c r="G284" s="4">
        <v>348369.70660946803</v>
      </c>
      <c r="H284" s="5">
        <f t="shared" si="2"/>
        <v>0</v>
      </c>
      <c r="I284" t="s">
        <v>38</v>
      </c>
      <c r="J284" t="s">
        <v>122</v>
      </c>
      <c r="K284" s="5">
        <f>300 / 86400</f>
        <v>3.472222222222222E-3</v>
      </c>
      <c r="L284" s="5">
        <f>20 / 86400</f>
        <v>2.3148148148148149E-4</v>
      </c>
    </row>
    <row r="285" spans="1:12" x14ac:dyDescent="0.25">
      <c r="A285" s="3">
        <v>45704.782557870371</v>
      </c>
      <c r="B285" t="s">
        <v>246</v>
      </c>
      <c r="C285" s="3">
        <v>45704.783020833333</v>
      </c>
      <c r="D285" t="s">
        <v>90</v>
      </c>
      <c r="E285" s="4">
        <v>0.3089201284646988</v>
      </c>
      <c r="F285" s="4">
        <v>348369.75782674225</v>
      </c>
      <c r="G285" s="4">
        <v>348370.0667468707</v>
      </c>
      <c r="H285" s="5">
        <f t="shared" si="2"/>
        <v>0</v>
      </c>
      <c r="I285" t="s">
        <v>164</v>
      </c>
      <c r="J285" t="s">
        <v>29</v>
      </c>
      <c r="K285" s="5">
        <f>40 / 86400</f>
        <v>4.6296296296296298E-4</v>
      </c>
      <c r="L285" s="5">
        <f>20 / 86400</f>
        <v>2.3148148148148149E-4</v>
      </c>
    </row>
    <row r="286" spans="1:12" x14ac:dyDescent="0.25">
      <c r="A286" s="3">
        <v>45704.78325231481</v>
      </c>
      <c r="B286" t="s">
        <v>90</v>
      </c>
      <c r="C286" s="3">
        <v>45704.783483796295</v>
      </c>
      <c r="D286" t="s">
        <v>90</v>
      </c>
      <c r="E286" s="4">
        <v>1.4741591691970824E-2</v>
      </c>
      <c r="F286" s="4">
        <v>348370.22649686155</v>
      </c>
      <c r="G286" s="4">
        <v>348370.24123845325</v>
      </c>
      <c r="H286" s="5">
        <f t="shared" si="2"/>
        <v>0</v>
      </c>
      <c r="I286" t="s">
        <v>44</v>
      </c>
      <c r="J286" t="s">
        <v>87</v>
      </c>
      <c r="K286" s="5">
        <f>20 / 86400</f>
        <v>2.3148148148148149E-4</v>
      </c>
      <c r="L286" s="5">
        <f>20 / 86400</f>
        <v>2.3148148148148149E-4</v>
      </c>
    </row>
    <row r="287" spans="1:12" x14ac:dyDescent="0.25">
      <c r="A287" s="3">
        <v>45704.783715277779</v>
      </c>
      <c r="B287" t="s">
        <v>247</v>
      </c>
      <c r="C287" s="3">
        <v>45704.784409722226</v>
      </c>
      <c r="D287" t="s">
        <v>248</v>
      </c>
      <c r="E287" s="4">
        <v>0.50588137102127073</v>
      </c>
      <c r="F287" s="4">
        <v>348370.26403715479</v>
      </c>
      <c r="G287" s="4">
        <v>348370.76991852582</v>
      </c>
      <c r="H287" s="5">
        <f t="shared" si="2"/>
        <v>0</v>
      </c>
      <c r="I287" t="s">
        <v>174</v>
      </c>
      <c r="J287" t="s">
        <v>35</v>
      </c>
      <c r="K287" s="5">
        <f>60 / 86400</f>
        <v>6.9444444444444447E-4</v>
      </c>
      <c r="L287" s="5">
        <f>60 / 86400</f>
        <v>6.9444444444444447E-4</v>
      </c>
    </row>
    <row r="288" spans="1:12" x14ac:dyDescent="0.25">
      <c r="A288" s="3">
        <v>45704.785104166665</v>
      </c>
      <c r="B288" t="s">
        <v>248</v>
      </c>
      <c r="C288" s="3">
        <v>45704.785393518519</v>
      </c>
      <c r="D288" t="s">
        <v>249</v>
      </c>
      <c r="E288" s="4">
        <v>5.7436632275581358E-2</v>
      </c>
      <c r="F288" s="4">
        <v>348370.77735930664</v>
      </c>
      <c r="G288" s="4">
        <v>348370.83479593892</v>
      </c>
      <c r="H288" s="5">
        <f t="shared" si="2"/>
        <v>0</v>
      </c>
      <c r="I288" t="s">
        <v>133</v>
      </c>
      <c r="J288" t="s">
        <v>119</v>
      </c>
      <c r="K288" s="5">
        <f>25 / 86400</f>
        <v>2.8935185185185184E-4</v>
      </c>
      <c r="L288" s="5">
        <f>12 / 86400</f>
        <v>1.3888888888888889E-4</v>
      </c>
    </row>
    <row r="289" spans="1:12" x14ac:dyDescent="0.25">
      <c r="A289" s="3">
        <v>45704.785532407404</v>
      </c>
      <c r="B289" t="s">
        <v>249</v>
      </c>
      <c r="C289" s="3">
        <v>45704.786458333328</v>
      </c>
      <c r="D289" t="s">
        <v>193</v>
      </c>
      <c r="E289" s="4">
        <v>0.41363662195205686</v>
      </c>
      <c r="F289" s="4">
        <v>348370.84128077666</v>
      </c>
      <c r="G289" s="4">
        <v>348371.25491739862</v>
      </c>
      <c r="H289" s="5">
        <f t="shared" si="2"/>
        <v>0</v>
      </c>
      <c r="I289" t="s">
        <v>211</v>
      </c>
      <c r="J289" t="s">
        <v>44</v>
      </c>
      <c r="K289" s="5">
        <f>80 / 86400</f>
        <v>9.2592592592592596E-4</v>
      </c>
      <c r="L289" s="5">
        <f>19 / 86400</f>
        <v>2.199074074074074E-4</v>
      </c>
    </row>
    <row r="290" spans="1:12" x14ac:dyDescent="0.25">
      <c r="A290" s="3">
        <v>45704.786678240736</v>
      </c>
      <c r="B290" t="s">
        <v>193</v>
      </c>
      <c r="C290" s="3">
        <v>45704.790254629625</v>
      </c>
      <c r="D290" t="s">
        <v>196</v>
      </c>
      <c r="E290" s="4">
        <v>1.6625455350875855</v>
      </c>
      <c r="F290" s="4">
        <v>348371.30597564729</v>
      </c>
      <c r="G290" s="4">
        <v>348372.96852118237</v>
      </c>
      <c r="H290" s="5">
        <f t="shared" si="2"/>
        <v>0</v>
      </c>
      <c r="I290" t="s">
        <v>211</v>
      </c>
      <c r="J290" t="s">
        <v>44</v>
      </c>
      <c r="K290" s="5">
        <f>309 / 86400</f>
        <v>3.5763888888888889E-3</v>
      </c>
      <c r="L290" s="5">
        <f>220 / 86400</f>
        <v>2.5462962962962965E-3</v>
      </c>
    </row>
    <row r="291" spans="1:12" x14ac:dyDescent="0.25">
      <c r="A291" s="3">
        <v>45704.792800925927</v>
      </c>
      <c r="B291" t="s">
        <v>197</v>
      </c>
      <c r="C291" s="3">
        <v>45704.793032407411</v>
      </c>
      <c r="D291" t="s">
        <v>250</v>
      </c>
      <c r="E291" s="4">
        <v>0.14999537926912307</v>
      </c>
      <c r="F291" s="4">
        <v>348373.0729779409</v>
      </c>
      <c r="G291" s="4">
        <v>348373.22297332017</v>
      </c>
      <c r="H291" s="5">
        <f t="shared" si="2"/>
        <v>0</v>
      </c>
      <c r="I291" t="s">
        <v>219</v>
      </c>
      <c r="J291" t="s">
        <v>200</v>
      </c>
      <c r="K291" s="5">
        <f>20 / 86400</f>
        <v>2.3148148148148149E-4</v>
      </c>
      <c r="L291" s="5">
        <f>15 / 86400</f>
        <v>1.7361111111111112E-4</v>
      </c>
    </row>
    <row r="292" spans="1:12" x14ac:dyDescent="0.25">
      <c r="A292" s="3">
        <v>45704.793206018519</v>
      </c>
      <c r="B292" t="s">
        <v>251</v>
      </c>
      <c r="C292" s="3">
        <v>45704.795173611114</v>
      </c>
      <c r="D292" t="s">
        <v>199</v>
      </c>
      <c r="E292" s="4">
        <v>1.5153136394619942</v>
      </c>
      <c r="F292" s="4">
        <v>348373.25258033536</v>
      </c>
      <c r="G292" s="4">
        <v>348374.76789397484</v>
      </c>
      <c r="H292" s="5">
        <f t="shared" si="2"/>
        <v>0</v>
      </c>
      <c r="I292" t="s">
        <v>205</v>
      </c>
      <c r="J292" t="s">
        <v>170</v>
      </c>
      <c r="K292" s="5">
        <f>170 / 86400</f>
        <v>1.9675925925925924E-3</v>
      </c>
      <c r="L292" s="5">
        <f>20 / 86400</f>
        <v>2.3148148148148149E-4</v>
      </c>
    </row>
    <row r="293" spans="1:12" x14ac:dyDescent="0.25">
      <c r="A293" s="3">
        <v>45704.795405092591</v>
      </c>
      <c r="B293" t="s">
        <v>199</v>
      </c>
      <c r="C293" s="3">
        <v>45704.798125000001</v>
      </c>
      <c r="D293" t="s">
        <v>252</v>
      </c>
      <c r="E293" s="4">
        <v>1.0948182271718978</v>
      </c>
      <c r="F293" s="4">
        <v>348374.87165931531</v>
      </c>
      <c r="G293" s="4">
        <v>348375.96647754248</v>
      </c>
      <c r="H293" s="5">
        <f t="shared" si="2"/>
        <v>0</v>
      </c>
      <c r="I293" t="s">
        <v>122</v>
      </c>
      <c r="J293" t="s">
        <v>48</v>
      </c>
      <c r="K293" s="5">
        <f>235 / 86400</f>
        <v>2.7199074074074074E-3</v>
      </c>
      <c r="L293" s="5">
        <f>20 / 86400</f>
        <v>2.3148148148148149E-4</v>
      </c>
    </row>
    <row r="294" spans="1:12" x14ac:dyDescent="0.25">
      <c r="A294" s="3">
        <v>45704.798356481479</v>
      </c>
      <c r="B294" t="s">
        <v>252</v>
      </c>
      <c r="C294" s="3">
        <v>45704.802164351851</v>
      </c>
      <c r="D294" t="s">
        <v>201</v>
      </c>
      <c r="E294" s="4">
        <v>1.1148871558308602</v>
      </c>
      <c r="F294" s="4">
        <v>348376.06160070107</v>
      </c>
      <c r="G294" s="4">
        <v>348377.17648785695</v>
      </c>
      <c r="H294" s="5">
        <f t="shared" si="2"/>
        <v>0</v>
      </c>
      <c r="I294" t="s">
        <v>170</v>
      </c>
      <c r="J294" t="s">
        <v>165</v>
      </c>
      <c r="K294" s="5">
        <f>329 / 86400</f>
        <v>3.8078703703703703E-3</v>
      </c>
      <c r="L294" s="5">
        <f>14 / 86400</f>
        <v>1.6203703703703703E-4</v>
      </c>
    </row>
    <row r="295" spans="1:12" x14ac:dyDescent="0.25">
      <c r="A295" s="3">
        <v>45704.80232638889</v>
      </c>
      <c r="B295" t="s">
        <v>253</v>
      </c>
      <c r="C295" s="3">
        <v>45704.804548611108</v>
      </c>
      <c r="D295" t="s">
        <v>203</v>
      </c>
      <c r="E295" s="4">
        <v>0.89335782092809679</v>
      </c>
      <c r="F295" s="4">
        <v>348377.20086219237</v>
      </c>
      <c r="G295" s="4">
        <v>348378.0942200133</v>
      </c>
      <c r="H295" s="5">
        <f t="shared" si="2"/>
        <v>0</v>
      </c>
      <c r="I295" t="s">
        <v>159</v>
      </c>
      <c r="J295" t="s">
        <v>48</v>
      </c>
      <c r="K295" s="5">
        <f>192 / 86400</f>
        <v>2.2222222222222222E-3</v>
      </c>
      <c r="L295" s="5">
        <f>20 / 86400</f>
        <v>2.3148148148148149E-4</v>
      </c>
    </row>
    <row r="296" spans="1:12" x14ac:dyDescent="0.25">
      <c r="A296" s="3">
        <v>45704.804780092592</v>
      </c>
      <c r="B296" t="s">
        <v>203</v>
      </c>
      <c r="C296" s="3">
        <v>45704.806064814809</v>
      </c>
      <c r="D296" t="s">
        <v>254</v>
      </c>
      <c r="E296" s="4">
        <v>0.85177480083703994</v>
      </c>
      <c r="F296" s="4">
        <v>348378.10138489411</v>
      </c>
      <c r="G296" s="4">
        <v>348378.95315969497</v>
      </c>
      <c r="H296" s="5">
        <f t="shared" si="2"/>
        <v>0</v>
      </c>
      <c r="I296" t="s">
        <v>195</v>
      </c>
      <c r="J296" t="s">
        <v>29</v>
      </c>
      <c r="K296" s="5">
        <f>111 / 86400</f>
        <v>1.2847222222222223E-3</v>
      </c>
      <c r="L296" s="5">
        <f>9 / 86400</f>
        <v>1.0416666666666667E-4</v>
      </c>
    </row>
    <row r="297" spans="1:12" x14ac:dyDescent="0.25">
      <c r="A297" s="3">
        <v>45704.806168981479</v>
      </c>
      <c r="B297" t="s">
        <v>254</v>
      </c>
      <c r="C297" s="3">
        <v>45704.809687500005</v>
      </c>
      <c r="D297" t="s">
        <v>213</v>
      </c>
      <c r="E297" s="4">
        <v>2.6260410129427911</v>
      </c>
      <c r="F297" s="4">
        <v>348378.95464540849</v>
      </c>
      <c r="G297" s="4">
        <v>348381.58068642148</v>
      </c>
      <c r="H297" s="5">
        <f t="shared" si="2"/>
        <v>0</v>
      </c>
      <c r="I297" t="s">
        <v>255</v>
      </c>
      <c r="J297" t="s">
        <v>166</v>
      </c>
      <c r="K297" s="5">
        <f>304 / 86400</f>
        <v>3.5185185185185185E-3</v>
      </c>
      <c r="L297" s="5">
        <f>28 / 86400</f>
        <v>3.2407407407407406E-4</v>
      </c>
    </row>
    <row r="298" spans="1:12" x14ac:dyDescent="0.25">
      <c r="A298" s="3">
        <v>45704.810011574074</v>
      </c>
      <c r="B298" t="s">
        <v>213</v>
      </c>
      <c r="C298" s="3">
        <v>45704.810289351852</v>
      </c>
      <c r="D298" t="s">
        <v>106</v>
      </c>
      <c r="E298" s="4">
        <v>5.1649544179439545E-2</v>
      </c>
      <c r="F298" s="4">
        <v>348381.58723612782</v>
      </c>
      <c r="G298" s="4">
        <v>348381.63888567197</v>
      </c>
      <c r="H298" s="5">
        <f t="shared" si="2"/>
        <v>0</v>
      </c>
      <c r="I298" t="s">
        <v>27</v>
      </c>
      <c r="J298" t="s">
        <v>119</v>
      </c>
      <c r="K298" s="5">
        <f>24 / 86400</f>
        <v>2.7777777777777778E-4</v>
      </c>
      <c r="L298" s="5">
        <f>100 / 86400</f>
        <v>1.1574074074074073E-3</v>
      </c>
    </row>
    <row r="299" spans="1:12" x14ac:dyDescent="0.25">
      <c r="A299" s="3">
        <v>45704.81144675926</v>
      </c>
      <c r="B299" t="s">
        <v>106</v>
      </c>
      <c r="C299" s="3">
        <v>45704.811678240745</v>
      </c>
      <c r="D299" t="s">
        <v>106</v>
      </c>
      <c r="E299" s="4">
        <v>1.3191372156143189E-3</v>
      </c>
      <c r="F299" s="4">
        <v>348381.66638762417</v>
      </c>
      <c r="G299" s="4">
        <v>348381.66770676133</v>
      </c>
      <c r="H299" s="5">
        <f t="shared" si="2"/>
        <v>0</v>
      </c>
      <c r="I299" t="s">
        <v>128</v>
      </c>
      <c r="J299" t="s">
        <v>55</v>
      </c>
      <c r="K299" s="5">
        <f>20 / 86400</f>
        <v>2.3148148148148149E-4</v>
      </c>
      <c r="L299" s="5">
        <f>3 / 86400</f>
        <v>3.4722222222222222E-5</v>
      </c>
    </row>
    <row r="300" spans="1:12" x14ac:dyDescent="0.25">
      <c r="A300" s="3">
        <v>45704.811712962968</v>
      </c>
      <c r="B300" t="s">
        <v>106</v>
      </c>
      <c r="C300" s="3">
        <v>45704.813622685186</v>
      </c>
      <c r="D300" t="s">
        <v>217</v>
      </c>
      <c r="E300" s="4">
        <v>1.1518192319273948</v>
      </c>
      <c r="F300" s="4">
        <v>348381.67030919401</v>
      </c>
      <c r="G300" s="4">
        <v>348382.82212842593</v>
      </c>
      <c r="H300" s="5">
        <f t="shared" si="2"/>
        <v>0</v>
      </c>
      <c r="I300" t="s">
        <v>174</v>
      </c>
      <c r="J300" t="s">
        <v>122</v>
      </c>
      <c r="K300" s="5">
        <f>165 / 86400</f>
        <v>1.9097222222222222E-3</v>
      </c>
      <c r="L300" s="5">
        <f>20 / 86400</f>
        <v>2.3148148148148149E-4</v>
      </c>
    </row>
    <row r="301" spans="1:12" x14ac:dyDescent="0.25">
      <c r="A301" s="3">
        <v>45704.81385416667</v>
      </c>
      <c r="B301" t="s">
        <v>217</v>
      </c>
      <c r="C301" s="3">
        <v>45704.814780092594</v>
      </c>
      <c r="D301" t="s">
        <v>208</v>
      </c>
      <c r="E301" s="4">
        <v>0.81516508024930956</v>
      </c>
      <c r="F301" s="4">
        <v>348382.83453213476</v>
      </c>
      <c r="G301" s="4">
        <v>348383.64969721501</v>
      </c>
      <c r="H301" s="5">
        <f t="shared" si="2"/>
        <v>0</v>
      </c>
      <c r="I301" t="s">
        <v>130</v>
      </c>
      <c r="J301" t="s">
        <v>219</v>
      </c>
      <c r="K301" s="5">
        <f>80 / 86400</f>
        <v>9.2592592592592596E-4</v>
      </c>
      <c r="L301" s="5">
        <f>81 / 86400</f>
        <v>9.3749999999999997E-4</v>
      </c>
    </row>
    <row r="302" spans="1:12" x14ac:dyDescent="0.25">
      <c r="A302" s="3">
        <v>45704.815717592588</v>
      </c>
      <c r="B302" t="s">
        <v>256</v>
      </c>
      <c r="C302" s="3">
        <v>45704.816180555557</v>
      </c>
      <c r="D302" t="s">
        <v>221</v>
      </c>
      <c r="E302" s="4">
        <v>0.32191428321599963</v>
      </c>
      <c r="F302" s="4">
        <v>348383.74512469542</v>
      </c>
      <c r="G302" s="4">
        <v>348384.06703897862</v>
      </c>
      <c r="H302" s="5">
        <f t="shared" si="2"/>
        <v>0</v>
      </c>
      <c r="I302" t="s">
        <v>232</v>
      </c>
      <c r="J302" t="s">
        <v>175</v>
      </c>
      <c r="K302" s="5">
        <f>40 / 86400</f>
        <v>4.6296296296296298E-4</v>
      </c>
      <c r="L302" s="5">
        <f>19 / 86400</f>
        <v>2.199074074074074E-4</v>
      </c>
    </row>
    <row r="303" spans="1:12" x14ac:dyDescent="0.25">
      <c r="A303" s="3">
        <v>45704.816400462965</v>
      </c>
      <c r="B303" t="s">
        <v>222</v>
      </c>
      <c r="C303" s="3">
        <v>45704.816631944443</v>
      </c>
      <c r="D303" t="s">
        <v>222</v>
      </c>
      <c r="E303" s="4">
        <v>5.7653536796569826E-3</v>
      </c>
      <c r="F303" s="4">
        <v>348384.07409700751</v>
      </c>
      <c r="G303" s="4">
        <v>348384.07986236119</v>
      </c>
      <c r="H303" s="5">
        <f t="shared" si="2"/>
        <v>0</v>
      </c>
      <c r="I303" t="s">
        <v>128</v>
      </c>
      <c r="J303" t="s">
        <v>128</v>
      </c>
      <c r="K303" s="5">
        <f>20 / 86400</f>
        <v>2.3148148148148149E-4</v>
      </c>
      <c r="L303" s="5">
        <f>20 / 86400</f>
        <v>2.3148148148148149E-4</v>
      </c>
    </row>
    <row r="304" spans="1:12" x14ac:dyDescent="0.25">
      <c r="A304" s="3">
        <v>45704.816863425927</v>
      </c>
      <c r="B304" t="s">
        <v>222</v>
      </c>
      <c r="C304" s="3">
        <v>45704.817777777775</v>
      </c>
      <c r="D304" t="s">
        <v>257</v>
      </c>
      <c r="E304" s="4">
        <v>0.18369360810518265</v>
      </c>
      <c r="F304" s="4">
        <v>348384.09224153357</v>
      </c>
      <c r="G304" s="4">
        <v>348384.27593514166</v>
      </c>
      <c r="H304" s="5">
        <f t="shared" ref="H304:H367" si="3">0 / 86400</f>
        <v>0</v>
      </c>
      <c r="I304" t="s">
        <v>200</v>
      </c>
      <c r="J304" t="s">
        <v>119</v>
      </c>
      <c r="K304" s="5">
        <f>79 / 86400</f>
        <v>9.1435185185185185E-4</v>
      </c>
      <c r="L304" s="5">
        <f>18 / 86400</f>
        <v>2.0833333333333335E-4</v>
      </c>
    </row>
    <row r="305" spans="1:12" x14ac:dyDescent="0.25">
      <c r="A305" s="3">
        <v>45704.817986111113</v>
      </c>
      <c r="B305" t="s">
        <v>258</v>
      </c>
      <c r="C305" s="3">
        <v>45704.819849537038</v>
      </c>
      <c r="D305" t="s">
        <v>202</v>
      </c>
      <c r="E305" s="4">
        <v>0.8764690689444542</v>
      </c>
      <c r="F305" s="4">
        <v>348384.29198509979</v>
      </c>
      <c r="G305" s="4">
        <v>348385.16845416871</v>
      </c>
      <c r="H305" s="5">
        <f t="shared" si="3"/>
        <v>0</v>
      </c>
      <c r="I305" t="s">
        <v>164</v>
      </c>
      <c r="J305" t="s">
        <v>33</v>
      </c>
      <c r="K305" s="5">
        <f>161 / 86400</f>
        <v>1.8634259259259259E-3</v>
      </c>
      <c r="L305" s="5">
        <f>7 / 86400</f>
        <v>8.1018518518518516E-5</v>
      </c>
    </row>
    <row r="306" spans="1:12" x14ac:dyDescent="0.25">
      <c r="A306" s="3">
        <v>45704.819930555561</v>
      </c>
      <c r="B306" t="s">
        <v>201</v>
      </c>
      <c r="C306" s="3">
        <v>45704.820659722223</v>
      </c>
      <c r="D306" t="s">
        <v>253</v>
      </c>
      <c r="E306" s="4">
        <v>0.23893102198839189</v>
      </c>
      <c r="F306" s="4">
        <v>348385.17401157855</v>
      </c>
      <c r="G306" s="4">
        <v>348385.41294260055</v>
      </c>
      <c r="H306" s="5">
        <f t="shared" si="3"/>
        <v>0</v>
      </c>
      <c r="I306" t="s">
        <v>27</v>
      </c>
      <c r="J306" t="s">
        <v>158</v>
      </c>
      <c r="K306" s="5">
        <f>63 / 86400</f>
        <v>7.291666666666667E-4</v>
      </c>
      <c r="L306" s="5">
        <f>11 / 86400</f>
        <v>1.273148148148148E-4</v>
      </c>
    </row>
    <row r="307" spans="1:12" x14ac:dyDescent="0.25">
      <c r="A307" s="3">
        <v>45704.820787037039</v>
      </c>
      <c r="B307" t="s">
        <v>253</v>
      </c>
      <c r="C307" s="3">
        <v>45704.82194444444</v>
      </c>
      <c r="D307" t="s">
        <v>259</v>
      </c>
      <c r="E307" s="4">
        <v>0.46652112513780591</v>
      </c>
      <c r="F307" s="4">
        <v>348385.42362276942</v>
      </c>
      <c r="G307" s="4">
        <v>348385.89014389453</v>
      </c>
      <c r="H307" s="5">
        <f t="shared" si="3"/>
        <v>0</v>
      </c>
      <c r="I307" t="s">
        <v>27</v>
      </c>
      <c r="J307" t="s">
        <v>48</v>
      </c>
      <c r="K307" s="5">
        <f>100 / 86400</f>
        <v>1.1574074074074073E-3</v>
      </c>
      <c r="L307" s="5">
        <f>20 / 86400</f>
        <v>2.3148148148148149E-4</v>
      </c>
    </row>
    <row r="308" spans="1:12" x14ac:dyDescent="0.25">
      <c r="A308" s="3">
        <v>45704.822175925925</v>
      </c>
      <c r="B308" t="s">
        <v>260</v>
      </c>
      <c r="C308" s="3">
        <v>45704.823923611111</v>
      </c>
      <c r="D308" t="s">
        <v>261</v>
      </c>
      <c r="E308" s="4">
        <v>0.82290859192609789</v>
      </c>
      <c r="F308" s="4">
        <v>348385.96630886156</v>
      </c>
      <c r="G308" s="4">
        <v>348386.78921745351</v>
      </c>
      <c r="H308" s="5">
        <f t="shared" si="3"/>
        <v>0</v>
      </c>
      <c r="I308" t="s">
        <v>211</v>
      </c>
      <c r="J308" t="s">
        <v>33</v>
      </c>
      <c r="K308" s="5">
        <f>151 / 86400</f>
        <v>1.7476851851851852E-3</v>
      </c>
      <c r="L308" s="5">
        <f>20 / 86400</f>
        <v>2.3148148148148149E-4</v>
      </c>
    </row>
    <row r="309" spans="1:12" x14ac:dyDescent="0.25">
      <c r="A309" s="3">
        <v>45704.824155092589</v>
      </c>
      <c r="B309" t="s">
        <v>261</v>
      </c>
      <c r="C309" s="3">
        <v>45704.824386574073</v>
      </c>
      <c r="D309" t="s">
        <v>261</v>
      </c>
      <c r="E309" s="4">
        <v>1.4625042915344237E-2</v>
      </c>
      <c r="F309" s="4">
        <v>348386.79348961683</v>
      </c>
      <c r="G309" s="4">
        <v>348386.80811465974</v>
      </c>
      <c r="H309" s="5">
        <f t="shared" si="3"/>
        <v>0</v>
      </c>
      <c r="I309" t="s">
        <v>128</v>
      </c>
      <c r="J309" t="s">
        <v>87</v>
      </c>
      <c r="K309" s="5">
        <f>20 / 86400</f>
        <v>2.3148148148148149E-4</v>
      </c>
      <c r="L309" s="5">
        <f>60 / 86400</f>
        <v>6.9444444444444447E-4</v>
      </c>
    </row>
    <row r="310" spans="1:12" x14ac:dyDescent="0.25">
      <c r="A310" s="3">
        <v>45704.82508101852</v>
      </c>
      <c r="B310" t="s">
        <v>261</v>
      </c>
      <c r="C310" s="3">
        <v>45704.827627314815</v>
      </c>
      <c r="D310" t="s">
        <v>227</v>
      </c>
      <c r="E310" s="4">
        <v>2.018158585011959</v>
      </c>
      <c r="F310" s="4">
        <v>348386.81298969203</v>
      </c>
      <c r="G310" s="4">
        <v>348388.83114827704</v>
      </c>
      <c r="H310" s="5">
        <f t="shared" si="3"/>
        <v>0</v>
      </c>
      <c r="I310" t="s">
        <v>174</v>
      </c>
      <c r="J310" t="s">
        <v>102</v>
      </c>
      <c r="K310" s="5">
        <f>220 / 86400</f>
        <v>2.5462962962962965E-3</v>
      </c>
      <c r="L310" s="5">
        <f>49 / 86400</f>
        <v>5.6712962962962967E-4</v>
      </c>
    </row>
    <row r="311" spans="1:12" x14ac:dyDescent="0.25">
      <c r="A311" s="3">
        <v>45704.828194444446</v>
      </c>
      <c r="B311" t="s">
        <v>227</v>
      </c>
      <c r="C311" s="3">
        <v>45704.829583333332</v>
      </c>
      <c r="D311" t="s">
        <v>114</v>
      </c>
      <c r="E311" s="4">
        <v>1.1613718742132186</v>
      </c>
      <c r="F311" s="4">
        <v>348388.87251125125</v>
      </c>
      <c r="G311" s="4">
        <v>348390.03388312546</v>
      </c>
      <c r="H311" s="5">
        <f t="shared" si="3"/>
        <v>0</v>
      </c>
      <c r="I311" t="s">
        <v>255</v>
      </c>
      <c r="J311" t="s">
        <v>132</v>
      </c>
      <c r="K311" s="5">
        <f>120 / 86400</f>
        <v>1.3888888888888889E-3</v>
      </c>
      <c r="L311" s="5">
        <f>20 / 86400</f>
        <v>2.3148148148148149E-4</v>
      </c>
    </row>
    <row r="312" spans="1:12" x14ac:dyDescent="0.25">
      <c r="A312" s="3">
        <v>45704.829814814817</v>
      </c>
      <c r="B312" t="s">
        <v>114</v>
      </c>
      <c r="C312" s="3">
        <v>45704.830046296294</v>
      </c>
      <c r="D312" t="s">
        <v>228</v>
      </c>
      <c r="E312" s="4">
        <v>1.3171192407608033E-3</v>
      </c>
      <c r="F312" s="4">
        <v>348390.04320373089</v>
      </c>
      <c r="G312" s="4">
        <v>348390.04452085012</v>
      </c>
      <c r="H312" s="5">
        <f t="shared" si="3"/>
        <v>0</v>
      </c>
      <c r="I312" t="s">
        <v>128</v>
      </c>
      <c r="J312" t="s">
        <v>55</v>
      </c>
      <c r="K312" s="5">
        <f>20 / 86400</f>
        <v>2.3148148148148149E-4</v>
      </c>
      <c r="L312" s="5">
        <f>40 / 86400</f>
        <v>4.6296296296296298E-4</v>
      </c>
    </row>
    <row r="313" spans="1:12" x14ac:dyDescent="0.25">
      <c r="A313" s="3">
        <v>45704.830509259264</v>
      </c>
      <c r="B313" t="s">
        <v>230</v>
      </c>
      <c r="C313" s="3">
        <v>45704.83321759259</v>
      </c>
      <c r="D313" t="s">
        <v>231</v>
      </c>
      <c r="E313" s="4">
        <v>1.0488377490043641</v>
      </c>
      <c r="F313" s="4">
        <v>348390.07472992712</v>
      </c>
      <c r="G313" s="4">
        <v>348391.12356767611</v>
      </c>
      <c r="H313" s="5">
        <f t="shared" si="3"/>
        <v>0</v>
      </c>
      <c r="I313" t="s">
        <v>159</v>
      </c>
      <c r="J313" t="s">
        <v>133</v>
      </c>
      <c r="K313" s="5">
        <f>234 / 86400</f>
        <v>2.7083333333333334E-3</v>
      </c>
      <c r="L313" s="5">
        <f>60 / 86400</f>
        <v>6.9444444444444447E-4</v>
      </c>
    </row>
    <row r="314" spans="1:12" x14ac:dyDescent="0.25">
      <c r="A314" s="3">
        <v>45704.833912037036</v>
      </c>
      <c r="B314" t="s">
        <v>231</v>
      </c>
      <c r="C314" s="3">
        <v>45704.836840277778</v>
      </c>
      <c r="D314" t="s">
        <v>193</v>
      </c>
      <c r="E314" s="4">
        <v>1.4507896136641503</v>
      </c>
      <c r="F314" s="4">
        <v>348391.21375918138</v>
      </c>
      <c r="G314" s="4">
        <v>348392.66454879503</v>
      </c>
      <c r="H314" s="5">
        <f t="shared" si="3"/>
        <v>0</v>
      </c>
      <c r="I314" t="s">
        <v>195</v>
      </c>
      <c r="J314" t="s">
        <v>23</v>
      </c>
      <c r="K314" s="5">
        <f>253 / 86400</f>
        <v>2.9282407407407408E-3</v>
      </c>
      <c r="L314" s="5">
        <f>64 / 86400</f>
        <v>7.407407407407407E-4</v>
      </c>
    </row>
    <row r="315" spans="1:12" x14ac:dyDescent="0.25">
      <c r="A315" s="3">
        <v>45704.837581018517</v>
      </c>
      <c r="B315" t="s">
        <v>193</v>
      </c>
      <c r="C315" s="3">
        <v>45704.842893518522</v>
      </c>
      <c r="D315" t="s">
        <v>187</v>
      </c>
      <c r="E315" s="4">
        <v>3.6861773617267608</v>
      </c>
      <c r="F315" s="4">
        <v>348392.67483265727</v>
      </c>
      <c r="G315" s="4">
        <v>348396.36101001903</v>
      </c>
      <c r="H315" s="5">
        <f t="shared" si="3"/>
        <v>0</v>
      </c>
      <c r="I315" t="s">
        <v>85</v>
      </c>
      <c r="J315" t="s">
        <v>175</v>
      </c>
      <c r="K315" s="5">
        <f>459 / 86400</f>
        <v>5.3125000000000004E-3</v>
      </c>
      <c r="L315" s="5">
        <f>20 / 86400</f>
        <v>2.3148148148148149E-4</v>
      </c>
    </row>
    <row r="316" spans="1:12" x14ac:dyDescent="0.25">
      <c r="A316" s="3">
        <v>45704.843124999999</v>
      </c>
      <c r="B316" t="s">
        <v>187</v>
      </c>
      <c r="C316" s="3">
        <v>45704.84474537037</v>
      </c>
      <c r="D316" t="s">
        <v>187</v>
      </c>
      <c r="E316" s="4">
        <v>1.0801444513201715</v>
      </c>
      <c r="F316" s="4">
        <v>348396.41905507614</v>
      </c>
      <c r="G316" s="4">
        <v>348397.49919952743</v>
      </c>
      <c r="H316" s="5">
        <f t="shared" si="3"/>
        <v>0</v>
      </c>
      <c r="I316" t="s">
        <v>130</v>
      </c>
      <c r="J316" t="s">
        <v>29</v>
      </c>
      <c r="K316" s="5">
        <f>140 / 86400</f>
        <v>1.6203703703703703E-3</v>
      </c>
      <c r="L316" s="5">
        <f>40 / 86400</f>
        <v>4.6296296296296298E-4</v>
      </c>
    </row>
    <row r="317" spans="1:12" x14ac:dyDescent="0.25">
      <c r="A317" s="3">
        <v>45704.845208333332</v>
      </c>
      <c r="B317" t="s">
        <v>187</v>
      </c>
      <c r="C317" s="3">
        <v>45704.846967592588</v>
      </c>
      <c r="D317" t="s">
        <v>236</v>
      </c>
      <c r="E317" s="4">
        <v>0.55939146912097926</v>
      </c>
      <c r="F317" s="4">
        <v>348397.5342213058</v>
      </c>
      <c r="G317" s="4">
        <v>348398.09361277492</v>
      </c>
      <c r="H317" s="5">
        <f t="shared" si="3"/>
        <v>0</v>
      </c>
      <c r="I317" t="s">
        <v>94</v>
      </c>
      <c r="J317" t="s">
        <v>86</v>
      </c>
      <c r="K317" s="5">
        <f>152 / 86400</f>
        <v>1.7592592592592592E-3</v>
      </c>
      <c r="L317" s="5">
        <f>6 / 86400</f>
        <v>6.9444444444444444E-5</v>
      </c>
    </row>
    <row r="318" spans="1:12" x14ac:dyDescent="0.25">
      <c r="A318" s="3">
        <v>45704.847037037034</v>
      </c>
      <c r="B318" t="s">
        <v>236</v>
      </c>
      <c r="C318" s="3">
        <v>45704.849328703705</v>
      </c>
      <c r="D318" t="s">
        <v>262</v>
      </c>
      <c r="E318" s="4">
        <v>1.1784370139837266</v>
      </c>
      <c r="F318" s="4">
        <v>348398.09866496938</v>
      </c>
      <c r="G318" s="4">
        <v>348399.27710198337</v>
      </c>
      <c r="H318" s="5">
        <f t="shared" si="3"/>
        <v>0</v>
      </c>
      <c r="I318" t="s">
        <v>211</v>
      </c>
      <c r="J318" t="s">
        <v>23</v>
      </c>
      <c r="K318" s="5">
        <f>198 / 86400</f>
        <v>2.2916666666666667E-3</v>
      </c>
      <c r="L318" s="5">
        <f>40 / 86400</f>
        <v>4.6296296296296298E-4</v>
      </c>
    </row>
    <row r="319" spans="1:12" x14ac:dyDescent="0.25">
      <c r="A319" s="3">
        <v>45704.849791666667</v>
      </c>
      <c r="B319" t="s">
        <v>262</v>
      </c>
      <c r="C319" s="3">
        <v>45704.850023148145</v>
      </c>
      <c r="D319" t="s">
        <v>263</v>
      </c>
      <c r="E319" s="4">
        <v>3.3370606899261475E-2</v>
      </c>
      <c r="F319" s="4">
        <v>348399.29451691854</v>
      </c>
      <c r="G319" s="4">
        <v>348399.32788752543</v>
      </c>
      <c r="H319" s="5">
        <f t="shared" si="3"/>
        <v>0</v>
      </c>
      <c r="I319" t="s">
        <v>127</v>
      </c>
      <c r="J319" t="s">
        <v>88</v>
      </c>
      <c r="K319" s="5">
        <f>20 / 86400</f>
        <v>2.3148148148148149E-4</v>
      </c>
      <c r="L319" s="5">
        <f>20 / 86400</f>
        <v>2.3148148148148149E-4</v>
      </c>
    </row>
    <row r="320" spans="1:12" x14ac:dyDescent="0.25">
      <c r="A320" s="3">
        <v>45704.850254629629</v>
      </c>
      <c r="B320" t="s">
        <v>264</v>
      </c>
      <c r="C320" s="3">
        <v>45704.852407407408</v>
      </c>
      <c r="D320" t="s">
        <v>265</v>
      </c>
      <c r="E320" s="4">
        <v>1.4218265926837921</v>
      </c>
      <c r="F320" s="4">
        <v>348399.38112287485</v>
      </c>
      <c r="G320" s="4">
        <v>348400.80294946756</v>
      </c>
      <c r="H320" s="5">
        <f t="shared" si="3"/>
        <v>0</v>
      </c>
      <c r="I320" t="s">
        <v>209</v>
      </c>
      <c r="J320" t="s">
        <v>29</v>
      </c>
      <c r="K320" s="5">
        <f>186 / 86400</f>
        <v>2.1527777777777778E-3</v>
      </c>
      <c r="L320" s="5">
        <f>13 / 86400</f>
        <v>1.5046296296296297E-4</v>
      </c>
    </row>
    <row r="321" spans="1:12" x14ac:dyDescent="0.25">
      <c r="A321" s="3">
        <v>45704.85255787037</v>
      </c>
      <c r="B321" t="s">
        <v>83</v>
      </c>
      <c r="C321" s="3">
        <v>45704.852789351848</v>
      </c>
      <c r="D321" t="s">
        <v>83</v>
      </c>
      <c r="E321" s="4">
        <v>6.7898340821266178E-3</v>
      </c>
      <c r="F321" s="4">
        <v>348400.80695124116</v>
      </c>
      <c r="G321" s="4">
        <v>348400.81374107522</v>
      </c>
      <c r="H321" s="5">
        <f t="shared" si="3"/>
        <v>0</v>
      </c>
      <c r="I321" t="s">
        <v>127</v>
      </c>
      <c r="J321" t="s">
        <v>128</v>
      </c>
      <c r="K321" s="5">
        <f>20 / 86400</f>
        <v>2.3148148148148149E-4</v>
      </c>
      <c r="L321" s="5">
        <f>14 / 86400</f>
        <v>1.6203703703703703E-4</v>
      </c>
    </row>
    <row r="322" spans="1:12" x14ac:dyDescent="0.25">
      <c r="A322" s="3">
        <v>45704.852951388893</v>
      </c>
      <c r="B322" t="s">
        <v>83</v>
      </c>
      <c r="C322" s="3">
        <v>45704.855497685188</v>
      </c>
      <c r="D322" t="s">
        <v>89</v>
      </c>
      <c r="E322" s="4">
        <v>1.7559525961279869</v>
      </c>
      <c r="F322" s="4">
        <v>348400.81768148078</v>
      </c>
      <c r="G322" s="4">
        <v>348402.57363407692</v>
      </c>
      <c r="H322" s="5">
        <f t="shared" si="3"/>
        <v>0</v>
      </c>
      <c r="I322" t="s">
        <v>174</v>
      </c>
      <c r="J322" t="s">
        <v>175</v>
      </c>
      <c r="K322" s="5">
        <f>220 / 86400</f>
        <v>2.5462962962962965E-3</v>
      </c>
      <c r="L322" s="5">
        <f>80 / 86400</f>
        <v>9.2592592592592596E-4</v>
      </c>
    </row>
    <row r="323" spans="1:12" x14ac:dyDescent="0.25">
      <c r="A323" s="3">
        <v>45704.856423611112</v>
      </c>
      <c r="B323" t="s">
        <v>89</v>
      </c>
      <c r="C323" s="3">
        <v>45704.85665509259</v>
      </c>
      <c r="D323" t="s">
        <v>89</v>
      </c>
      <c r="E323" s="4">
        <v>2.1899447441101075E-2</v>
      </c>
      <c r="F323" s="4">
        <v>348402.58648668963</v>
      </c>
      <c r="G323" s="4">
        <v>348402.60838613706</v>
      </c>
      <c r="H323" s="5">
        <f t="shared" si="3"/>
        <v>0</v>
      </c>
      <c r="I323" t="s">
        <v>127</v>
      </c>
      <c r="J323" t="s">
        <v>137</v>
      </c>
      <c r="K323" s="5">
        <f>20 / 86400</f>
        <v>2.3148148148148149E-4</v>
      </c>
      <c r="L323" s="5">
        <f>20 / 86400</f>
        <v>2.3148148148148149E-4</v>
      </c>
    </row>
    <row r="324" spans="1:12" x14ac:dyDescent="0.25">
      <c r="A324" s="3">
        <v>45704.856886574074</v>
      </c>
      <c r="B324" t="s">
        <v>244</v>
      </c>
      <c r="C324" s="3">
        <v>45704.860821759255</v>
      </c>
      <c r="D324" t="s">
        <v>89</v>
      </c>
      <c r="E324" s="4">
        <v>3.0838654748201368</v>
      </c>
      <c r="F324" s="4">
        <v>348402.66292107239</v>
      </c>
      <c r="G324" s="4">
        <v>348405.74678654718</v>
      </c>
      <c r="H324" s="5">
        <f t="shared" si="3"/>
        <v>0</v>
      </c>
      <c r="I324" t="s">
        <v>93</v>
      </c>
      <c r="J324" t="s">
        <v>102</v>
      </c>
      <c r="K324" s="5">
        <f>340 / 86400</f>
        <v>3.9351851851851848E-3</v>
      </c>
      <c r="L324" s="5">
        <f>7 / 86400</f>
        <v>8.1018518518518516E-5</v>
      </c>
    </row>
    <row r="325" spans="1:12" x14ac:dyDescent="0.25">
      <c r="A325" s="3">
        <v>45704.860902777778</v>
      </c>
      <c r="B325" t="s">
        <v>89</v>
      </c>
      <c r="C325" s="3">
        <v>45704.862060185187</v>
      </c>
      <c r="D325" t="s">
        <v>171</v>
      </c>
      <c r="E325" s="4">
        <v>0.79068961042165753</v>
      </c>
      <c r="F325" s="4">
        <v>348405.74921353406</v>
      </c>
      <c r="G325" s="4">
        <v>348406.53990314447</v>
      </c>
      <c r="H325" s="5">
        <f t="shared" si="3"/>
        <v>0</v>
      </c>
      <c r="I325" t="s">
        <v>237</v>
      </c>
      <c r="J325" t="s">
        <v>29</v>
      </c>
      <c r="K325" s="5">
        <f>100 / 86400</f>
        <v>1.1574074074074073E-3</v>
      </c>
      <c r="L325" s="5">
        <f>20 / 86400</f>
        <v>2.3148148148148149E-4</v>
      </c>
    </row>
    <row r="326" spans="1:12" x14ac:dyDescent="0.25">
      <c r="A326" s="3">
        <v>45704.862291666665</v>
      </c>
      <c r="B326" t="s">
        <v>171</v>
      </c>
      <c r="C326" s="3">
        <v>45704.864131944443</v>
      </c>
      <c r="D326" t="s">
        <v>95</v>
      </c>
      <c r="E326" s="4">
        <v>1.249417703807354</v>
      </c>
      <c r="F326" s="4">
        <v>348406.70950984879</v>
      </c>
      <c r="G326" s="4">
        <v>348407.95892755257</v>
      </c>
      <c r="H326" s="5">
        <f t="shared" si="3"/>
        <v>0</v>
      </c>
      <c r="I326" t="s">
        <v>178</v>
      </c>
      <c r="J326" t="s">
        <v>29</v>
      </c>
      <c r="K326" s="5">
        <f>159 / 86400</f>
        <v>1.8402777777777777E-3</v>
      </c>
      <c r="L326" s="5">
        <f>3 / 86400</f>
        <v>3.4722222222222222E-5</v>
      </c>
    </row>
    <row r="327" spans="1:12" x14ac:dyDescent="0.25">
      <c r="A327" s="3">
        <v>45704.864166666666</v>
      </c>
      <c r="B327" t="s">
        <v>240</v>
      </c>
      <c r="C327" s="3">
        <v>45704.86917824074</v>
      </c>
      <c r="D327" t="s">
        <v>242</v>
      </c>
      <c r="E327" s="4">
        <v>2.1041206662654877</v>
      </c>
      <c r="F327" s="4">
        <v>348407.96256526402</v>
      </c>
      <c r="G327" s="4">
        <v>348410.0666859303</v>
      </c>
      <c r="H327" s="5">
        <f t="shared" si="3"/>
        <v>0</v>
      </c>
      <c r="I327" t="s">
        <v>161</v>
      </c>
      <c r="J327" t="s">
        <v>48</v>
      </c>
      <c r="K327" s="5">
        <f>433 / 86400</f>
        <v>5.0115740740740737E-3</v>
      </c>
      <c r="L327" s="5">
        <f>40 / 86400</f>
        <v>4.6296296296296298E-4</v>
      </c>
    </row>
    <row r="328" spans="1:12" x14ac:dyDescent="0.25">
      <c r="A328" s="3">
        <v>45704.869641203702</v>
      </c>
      <c r="B328" t="s">
        <v>242</v>
      </c>
      <c r="C328" s="3">
        <v>45704.869872685187</v>
      </c>
      <c r="D328" t="s">
        <v>242</v>
      </c>
      <c r="E328" s="4">
        <v>1.2120358407497407E-2</v>
      </c>
      <c r="F328" s="4">
        <v>348410.0725959519</v>
      </c>
      <c r="G328" s="4">
        <v>348410.08471631032</v>
      </c>
      <c r="H328" s="5">
        <f t="shared" si="3"/>
        <v>0</v>
      </c>
      <c r="I328" t="s">
        <v>128</v>
      </c>
      <c r="J328" t="s">
        <v>129</v>
      </c>
      <c r="K328" s="5">
        <f>20 / 86400</f>
        <v>2.3148148148148149E-4</v>
      </c>
      <c r="L328" s="5">
        <f>80 / 86400</f>
        <v>9.2592592592592596E-4</v>
      </c>
    </row>
    <row r="329" spans="1:12" x14ac:dyDescent="0.25">
      <c r="A329" s="3">
        <v>45704.870798611111</v>
      </c>
      <c r="B329" t="s">
        <v>242</v>
      </c>
      <c r="C329" s="3">
        <v>45704.871030092589</v>
      </c>
      <c r="D329" t="s">
        <v>242</v>
      </c>
      <c r="E329" s="4">
        <v>1.4414230823516845E-2</v>
      </c>
      <c r="F329" s="4">
        <v>348410.09100839222</v>
      </c>
      <c r="G329" s="4">
        <v>348410.10542262305</v>
      </c>
      <c r="H329" s="5">
        <f t="shared" si="3"/>
        <v>0</v>
      </c>
      <c r="I329" t="s">
        <v>87</v>
      </c>
      <c r="J329" t="s">
        <v>87</v>
      </c>
      <c r="K329" s="5">
        <f>20 / 86400</f>
        <v>2.3148148148148149E-4</v>
      </c>
      <c r="L329" s="5">
        <f>60 / 86400</f>
        <v>6.9444444444444447E-4</v>
      </c>
    </row>
    <row r="330" spans="1:12" x14ac:dyDescent="0.25">
      <c r="A330" s="3">
        <v>45704.871724537035</v>
      </c>
      <c r="B330" t="s">
        <v>242</v>
      </c>
      <c r="C330" s="3">
        <v>45704.87195601852</v>
      </c>
      <c r="D330" t="s">
        <v>242</v>
      </c>
      <c r="E330" s="4">
        <v>2.3837037444114684E-2</v>
      </c>
      <c r="F330" s="4">
        <v>348410.13530671538</v>
      </c>
      <c r="G330" s="4">
        <v>348410.15914375283</v>
      </c>
      <c r="H330" s="5">
        <f t="shared" si="3"/>
        <v>0</v>
      </c>
      <c r="I330" t="s">
        <v>127</v>
      </c>
      <c r="J330" t="s">
        <v>137</v>
      </c>
      <c r="K330" s="5">
        <f>20 / 86400</f>
        <v>2.3148148148148149E-4</v>
      </c>
      <c r="L330" s="5">
        <f>57 / 86400</f>
        <v>6.5972222222222224E-4</v>
      </c>
    </row>
    <row r="331" spans="1:12" x14ac:dyDescent="0.25">
      <c r="A331" s="3">
        <v>45704.872615740736</v>
      </c>
      <c r="B331" t="s">
        <v>242</v>
      </c>
      <c r="C331" s="3">
        <v>45704.872974537036</v>
      </c>
      <c r="D331" t="s">
        <v>243</v>
      </c>
      <c r="E331" s="4">
        <v>2.0793027937412261E-2</v>
      </c>
      <c r="F331" s="4">
        <v>348410.18471128133</v>
      </c>
      <c r="G331" s="4">
        <v>348410.20550430921</v>
      </c>
      <c r="H331" s="5">
        <f t="shared" si="3"/>
        <v>0</v>
      </c>
      <c r="I331" t="s">
        <v>30</v>
      </c>
      <c r="J331" t="s">
        <v>129</v>
      </c>
      <c r="K331" s="5">
        <f>31 / 86400</f>
        <v>3.5879629629629629E-4</v>
      </c>
      <c r="L331" s="5">
        <f>220 / 86400</f>
        <v>2.5462962962962965E-3</v>
      </c>
    </row>
    <row r="332" spans="1:12" x14ac:dyDescent="0.25">
      <c r="A332" s="3">
        <v>45704.875520833331</v>
      </c>
      <c r="B332" t="s">
        <v>242</v>
      </c>
      <c r="C332" s="3">
        <v>45704.875752314816</v>
      </c>
      <c r="D332" t="s">
        <v>243</v>
      </c>
      <c r="E332" s="4">
        <v>1.6689767181873323E-2</v>
      </c>
      <c r="F332" s="4">
        <v>348410.22242789005</v>
      </c>
      <c r="G332" s="4">
        <v>348410.23911765724</v>
      </c>
      <c r="H332" s="5">
        <f t="shared" si="3"/>
        <v>0</v>
      </c>
      <c r="I332" t="s">
        <v>87</v>
      </c>
      <c r="J332" t="s">
        <v>87</v>
      </c>
      <c r="K332" s="5">
        <f>20 / 86400</f>
        <v>2.3148148148148149E-4</v>
      </c>
      <c r="L332" s="5">
        <f>10 / 86400</f>
        <v>1.1574074074074075E-4</v>
      </c>
    </row>
    <row r="333" spans="1:12" x14ac:dyDescent="0.25">
      <c r="A333" s="3">
        <v>45704.875868055555</v>
      </c>
      <c r="B333" t="s">
        <v>242</v>
      </c>
      <c r="C333" s="3">
        <v>45704.879317129627</v>
      </c>
      <c r="D333" t="s">
        <v>266</v>
      </c>
      <c r="E333" s="4">
        <v>1.8279393443465233</v>
      </c>
      <c r="F333" s="4">
        <v>348410.24427732162</v>
      </c>
      <c r="G333" s="4">
        <v>348412.07221666595</v>
      </c>
      <c r="H333" s="5">
        <f t="shared" si="3"/>
        <v>0</v>
      </c>
      <c r="I333" t="s">
        <v>159</v>
      </c>
      <c r="J333" t="s">
        <v>20</v>
      </c>
      <c r="K333" s="5">
        <f>298 / 86400</f>
        <v>3.449074074074074E-3</v>
      </c>
      <c r="L333" s="5">
        <f>7 / 86400</f>
        <v>8.1018518518518516E-5</v>
      </c>
    </row>
    <row r="334" spans="1:12" x14ac:dyDescent="0.25">
      <c r="A334" s="3">
        <v>45704.879398148143</v>
      </c>
      <c r="B334" t="s">
        <v>266</v>
      </c>
      <c r="C334" s="3">
        <v>45704.879861111112</v>
      </c>
      <c r="D334" t="s">
        <v>267</v>
      </c>
      <c r="E334" s="4">
        <v>0.31447090941667555</v>
      </c>
      <c r="F334" s="4">
        <v>348412.07765029737</v>
      </c>
      <c r="G334" s="4">
        <v>348412.39212120679</v>
      </c>
      <c r="H334" s="5">
        <f t="shared" si="3"/>
        <v>0</v>
      </c>
      <c r="I334" t="s">
        <v>132</v>
      </c>
      <c r="J334" t="s">
        <v>29</v>
      </c>
      <c r="K334" s="5">
        <f>40 / 86400</f>
        <v>4.6296296296296298E-4</v>
      </c>
      <c r="L334" s="5">
        <f>114 / 86400</f>
        <v>1.3194444444444445E-3</v>
      </c>
    </row>
    <row r="335" spans="1:12" x14ac:dyDescent="0.25">
      <c r="A335" s="3">
        <v>45704.88118055556</v>
      </c>
      <c r="B335" t="s">
        <v>268</v>
      </c>
      <c r="C335" s="3">
        <v>45704.881909722222</v>
      </c>
      <c r="D335" t="s">
        <v>104</v>
      </c>
      <c r="E335" s="4">
        <v>0.78109497511386872</v>
      </c>
      <c r="F335" s="4">
        <v>348412.43140099314</v>
      </c>
      <c r="G335" s="4">
        <v>348413.21249596827</v>
      </c>
      <c r="H335" s="5">
        <f t="shared" si="3"/>
        <v>0</v>
      </c>
      <c r="I335" t="s">
        <v>85</v>
      </c>
      <c r="J335" t="s">
        <v>211</v>
      </c>
      <c r="K335" s="5">
        <f>63 / 86400</f>
        <v>7.291666666666667E-4</v>
      </c>
      <c r="L335" s="5">
        <f>20 / 86400</f>
        <v>2.3148148148148149E-4</v>
      </c>
    </row>
    <row r="336" spans="1:12" x14ac:dyDescent="0.25">
      <c r="A336" s="3">
        <v>45704.882141203707</v>
      </c>
      <c r="B336" t="s">
        <v>104</v>
      </c>
      <c r="C336" s="3">
        <v>45704.883298611108</v>
      </c>
      <c r="D336" t="s">
        <v>104</v>
      </c>
      <c r="E336" s="4">
        <v>0.94233223944902422</v>
      </c>
      <c r="F336" s="4">
        <v>348413.21285534103</v>
      </c>
      <c r="G336" s="4">
        <v>348414.15518758044</v>
      </c>
      <c r="H336" s="5">
        <f t="shared" si="3"/>
        <v>0</v>
      </c>
      <c r="I336" t="s">
        <v>205</v>
      </c>
      <c r="J336" t="s">
        <v>116</v>
      </c>
      <c r="K336" s="5">
        <f>100 / 86400</f>
        <v>1.1574074074074073E-3</v>
      </c>
      <c r="L336" s="5">
        <f>40 / 86400</f>
        <v>4.6296296296296298E-4</v>
      </c>
    </row>
    <row r="337" spans="1:12" x14ac:dyDescent="0.25">
      <c r="A337" s="3">
        <v>45704.883761574078</v>
      </c>
      <c r="B337" t="s">
        <v>89</v>
      </c>
      <c r="C337" s="3">
        <v>45704.887928240743</v>
      </c>
      <c r="D337" t="s">
        <v>89</v>
      </c>
      <c r="E337" s="4">
        <v>2.8820652558803559</v>
      </c>
      <c r="F337" s="4">
        <v>348414.34085982235</v>
      </c>
      <c r="G337" s="4">
        <v>348417.22292507824</v>
      </c>
      <c r="H337" s="5">
        <f t="shared" si="3"/>
        <v>0</v>
      </c>
      <c r="I337" t="s">
        <v>232</v>
      </c>
      <c r="J337" t="s">
        <v>175</v>
      </c>
      <c r="K337" s="5">
        <f>360 / 86400</f>
        <v>4.1666666666666666E-3</v>
      </c>
      <c r="L337" s="5">
        <f>20 / 86400</f>
        <v>2.3148148148148149E-4</v>
      </c>
    </row>
    <row r="338" spans="1:12" x14ac:dyDescent="0.25">
      <c r="A338" s="3">
        <v>45704.888159722221</v>
      </c>
      <c r="B338" t="s">
        <v>89</v>
      </c>
      <c r="C338" s="3">
        <v>45704.888854166667</v>
      </c>
      <c r="D338" t="s">
        <v>244</v>
      </c>
      <c r="E338" s="4">
        <v>0.47051753592491152</v>
      </c>
      <c r="F338" s="4">
        <v>348417.29927413847</v>
      </c>
      <c r="G338" s="4">
        <v>348417.76979167439</v>
      </c>
      <c r="H338" s="5">
        <f t="shared" si="3"/>
        <v>0</v>
      </c>
      <c r="I338" t="s">
        <v>170</v>
      </c>
      <c r="J338" t="s">
        <v>29</v>
      </c>
      <c r="K338" s="5">
        <f>60 / 86400</f>
        <v>6.9444444444444447E-4</v>
      </c>
      <c r="L338" s="5">
        <f>40 / 86400</f>
        <v>4.6296296296296298E-4</v>
      </c>
    </row>
    <row r="339" spans="1:12" x14ac:dyDescent="0.25">
      <c r="A339" s="3">
        <v>45704.889317129629</v>
      </c>
      <c r="B339" t="s">
        <v>244</v>
      </c>
      <c r="C339" s="3">
        <v>45704.889548611114</v>
      </c>
      <c r="D339" t="s">
        <v>244</v>
      </c>
      <c r="E339" s="4">
        <v>9.1556656360626217E-4</v>
      </c>
      <c r="F339" s="4">
        <v>348417.7897870185</v>
      </c>
      <c r="G339" s="4">
        <v>348417.79070258501</v>
      </c>
      <c r="H339" s="5">
        <f t="shared" si="3"/>
        <v>0</v>
      </c>
      <c r="I339" t="s">
        <v>87</v>
      </c>
      <c r="J339" t="s">
        <v>55</v>
      </c>
      <c r="K339" s="5">
        <f>20 / 86400</f>
        <v>2.3148148148148149E-4</v>
      </c>
      <c r="L339" s="5">
        <f>20 / 86400</f>
        <v>2.3148148148148149E-4</v>
      </c>
    </row>
    <row r="340" spans="1:12" x14ac:dyDescent="0.25">
      <c r="A340" s="3">
        <v>45704.889780092592</v>
      </c>
      <c r="B340" t="s">
        <v>269</v>
      </c>
      <c r="C340" s="3">
        <v>45704.890011574069</v>
      </c>
      <c r="D340" t="s">
        <v>244</v>
      </c>
      <c r="E340" s="4">
        <v>6.3221980929374696E-3</v>
      </c>
      <c r="F340" s="4">
        <v>348417.79340089997</v>
      </c>
      <c r="G340" s="4">
        <v>348417.79972309805</v>
      </c>
      <c r="H340" s="5">
        <f t="shared" si="3"/>
        <v>0</v>
      </c>
      <c r="I340" t="s">
        <v>129</v>
      </c>
      <c r="J340" t="s">
        <v>128</v>
      </c>
      <c r="K340" s="5">
        <f>20 / 86400</f>
        <v>2.3148148148148149E-4</v>
      </c>
      <c r="L340" s="5">
        <f>109 / 86400</f>
        <v>1.261574074074074E-3</v>
      </c>
    </row>
    <row r="341" spans="1:12" x14ac:dyDescent="0.25">
      <c r="A341" s="3">
        <v>45704.891273148147</v>
      </c>
      <c r="B341" t="s">
        <v>89</v>
      </c>
      <c r="C341" s="3">
        <v>45704.891504629632</v>
      </c>
      <c r="D341" t="s">
        <v>89</v>
      </c>
      <c r="E341" s="4">
        <v>1.0880569756031036E-2</v>
      </c>
      <c r="F341" s="4">
        <v>348417.80658430897</v>
      </c>
      <c r="G341" s="4">
        <v>348417.81746487872</v>
      </c>
      <c r="H341" s="5">
        <f t="shared" si="3"/>
        <v>0</v>
      </c>
      <c r="I341" t="s">
        <v>127</v>
      </c>
      <c r="J341" t="s">
        <v>129</v>
      </c>
      <c r="K341" s="5">
        <f>20 / 86400</f>
        <v>2.3148148148148149E-4</v>
      </c>
      <c r="L341" s="5">
        <f>20 / 86400</f>
        <v>2.3148148148148149E-4</v>
      </c>
    </row>
    <row r="342" spans="1:12" x14ac:dyDescent="0.25">
      <c r="A342" s="3">
        <v>45704.891736111109</v>
      </c>
      <c r="B342" t="s">
        <v>89</v>
      </c>
      <c r="C342" s="3">
        <v>45704.892893518518</v>
      </c>
      <c r="D342" t="s">
        <v>89</v>
      </c>
      <c r="E342" s="4">
        <v>0.96818040508031844</v>
      </c>
      <c r="F342" s="4">
        <v>348417.82218385953</v>
      </c>
      <c r="G342" s="4">
        <v>348418.79036426463</v>
      </c>
      <c r="H342" s="5">
        <f t="shared" si="3"/>
        <v>0</v>
      </c>
      <c r="I342" t="s">
        <v>150</v>
      </c>
      <c r="J342" t="s">
        <v>132</v>
      </c>
      <c r="K342" s="5">
        <f>100 / 86400</f>
        <v>1.1574074074074073E-3</v>
      </c>
      <c r="L342" s="5">
        <f>20 / 86400</f>
        <v>2.3148148148148149E-4</v>
      </c>
    </row>
    <row r="343" spans="1:12" x14ac:dyDescent="0.25">
      <c r="A343" s="3">
        <v>45704.893125000002</v>
      </c>
      <c r="B343" t="s">
        <v>89</v>
      </c>
      <c r="C343" s="3">
        <v>45704.897060185191</v>
      </c>
      <c r="D343" t="s">
        <v>270</v>
      </c>
      <c r="E343" s="4">
        <v>2.987401536345482</v>
      </c>
      <c r="F343" s="4">
        <v>348418.80867612915</v>
      </c>
      <c r="G343" s="4">
        <v>348421.79607766552</v>
      </c>
      <c r="H343" s="5">
        <f t="shared" si="3"/>
        <v>0</v>
      </c>
      <c r="I343" t="s">
        <v>271</v>
      </c>
      <c r="J343" t="s">
        <v>170</v>
      </c>
      <c r="K343" s="5">
        <f>340 / 86400</f>
        <v>3.9351851851851848E-3</v>
      </c>
      <c r="L343" s="5">
        <f>11 / 86400</f>
        <v>1.273148148148148E-4</v>
      </c>
    </row>
    <row r="344" spans="1:12" x14ac:dyDescent="0.25">
      <c r="A344" s="3">
        <v>45704.897187499999</v>
      </c>
      <c r="B344" t="s">
        <v>270</v>
      </c>
      <c r="C344" s="3">
        <v>45704.89943287037</v>
      </c>
      <c r="D344" t="s">
        <v>245</v>
      </c>
      <c r="E344" s="4">
        <v>1.026088488817215</v>
      </c>
      <c r="F344" s="4">
        <v>348421.80046833411</v>
      </c>
      <c r="G344" s="4">
        <v>348422.82655682298</v>
      </c>
      <c r="H344" s="5">
        <f t="shared" si="3"/>
        <v>0</v>
      </c>
      <c r="I344" t="s">
        <v>166</v>
      </c>
      <c r="J344" t="s">
        <v>44</v>
      </c>
      <c r="K344" s="5">
        <f>194 / 86400</f>
        <v>2.2453703703703702E-3</v>
      </c>
      <c r="L344" s="5">
        <f>180 / 86400</f>
        <v>2.0833333333333333E-3</v>
      </c>
    </row>
    <row r="345" spans="1:12" x14ac:dyDescent="0.25">
      <c r="A345" s="3">
        <v>45704.901516203703</v>
      </c>
      <c r="B345" t="s">
        <v>187</v>
      </c>
      <c r="C345" s="3">
        <v>45704.90221064815</v>
      </c>
      <c r="D345" t="s">
        <v>187</v>
      </c>
      <c r="E345" s="4">
        <v>0.34135824888944627</v>
      </c>
      <c r="F345" s="4">
        <v>348422.891795467</v>
      </c>
      <c r="G345" s="4">
        <v>348423.2331537159</v>
      </c>
      <c r="H345" s="5">
        <f t="shared" si="3"/>
        <v>0</v>
      </c>
      <c r="I345" t="s">
        <v>200</v>
      </c>
      <c r="J345" t="s">
        <v>33</v>
      </c>
      <c r="K345" s="5">
        <f>60 / 86400</f>
        <v>6.9444444444444447E-4</v>
      </c>
      <c r="L345" s="5">
        <f>32 / 86400</f>
        <v>3.7037037037037035E-4</v>
      </c>
    </row>
    <row r="346" spans="1:12" x14ac:dyDescent="0.25">
      <c r="A346" s="3">
        <v>45704.902581018519</v>
      </c>
      <c r="B346" t="s">
        <v>187</v>
      </c>
      <c r="C346" s="3">
        <v>45704.904432870375</v>
      </c>
      <c r="D346" t="s">
        <v>187</v>
      </c>
      <c r="E346" s="4">
        <v>1.1828860066533089</v>
      </c>
      <c r="F346" s="4">
        <v>348423.23685894423</v>
      </c>
      <c r="G346" s="4">
        <v>348424.41974495089</v>
      </c>
      <c r="H346" s="5">
        <f t="shared" si="3"/>
        <v>0</v>
      </c>
      <c r="I346" t="s">
        <v>85</v>
      </c>
      <c r="J346" t="s">
        <v>200</v>
      </c>
      <c r="K346" s="5">
        <f>160 / 86400</f>
        <v>1.8518518518518519E-3</v>
      </c>
      <c r="L346" s="5">
        <f>20 / 86400</f>
        <v>2.3148148148148149E-4</v>
      </c>
    </row>
    <row r="347" spans="1:12" x14ac:dyDescent="0.25">
      <c r="A347" s="3">
        <v>45704.904664351852</v>
      </c>
      <c r="B347" t="s">
        <v>187</v>
      </c>
      <c r="C347" s="3">
        <v>45704.905358796299</v>
      </c>
      <c r="D347" t="s">
        <v>272</v>
      </c>
      <c r="E347" s="4">
        <v>0.76994690346717831</v>
      </c>
      <c r="F347" s="4">
        <v>348424.43862634129</v>
      </c>
      <c r="G347" s="4">
        <v>348425.20857324474</v>
      </c>
      <c r="H347" s="5">
        <f t="shared" si="3"/>
        <v>0</v>
      </c>
      <c r="I347" t="s">
        <v>41</v>
      </c>
      <c r="J347" t="s">
        <v>130</v>
      </c>
      <c r="K347" s="5">
        <f>60 / 86400</f>
        <v>6.9444444444444447E-4</v>
      </c>
      <c r="L347" s="5">
        <f>20 / 86400</f>
        <v>2.3148148148148149E-4</v>
      </c>
    </row>
    <row r="348" spans="1:12" x14ac:dyDescent="0.25">
      <c r="A348" s="3">
        <v>45704.905590277776</v>
      </c>
      <c r="B348" t="s">
        <v>272</v>
      </c>
      <c r="C348" s="3">
        <v>45704.905821759261</v>
      </c>
      <c r="D348" t="s">
        <v>188</v>
      </c>
      <c r="E348" s="4">
        <v>4.6617683172225956E-3</v>
      </c>
      <c r="F348" s="4">
        <v>348425.21051553683</v>
      </c>
      <c r="G348" s="4">
        <v>348425.21517730516</v>
      </c>
      <c r="H348" s="5">
        <f t="shared" si="3"/>
        <v>0</v>
      </c>
      <c r="I348" t="s">
        <v>128</v>
      </c>
      <c r="J348" t="s">
        <v>128</v>
      </c>
      <c r="K348" s="5">
        <f>20 / 86400</f>
        <v>2.3148148148148149E-4</v>
      </c>
      <c r="L348" s="5">
        <f>100 / 86400</f>
        <v>1.1574074074074073E-3</v>
      </c>
    </row>
    <row r="349" spans="1:12" x14ac:dyDescent="0.25">
      <c r="A349" s="3">
        <v>45704.90697916667</v>
      </c>
      <c r="B349" t="s">
        <v>189</v>
      </c>
      <c r="C349" s="3">
        <v>45704.907905092594</v>
      </c>
      <c r="D349" t="s">
        <v>273</v>
      </c>
      <c r="E349" s="4">
        <v>0.51404550737142563</v>
      </c>
      <c r="F349" s="4">
        <v>348425.27415267337</v>
      </c>
      <c r="G349" s="4">
        <v>348425.78819818073</v>
      </c>
      <c r="H349" s="5">
        <f t="shared" si="3"/>
        <v>0</v>
      </c>
      <c r="I349" t="s">
        <v>166</v>
      </c>
      <c r="J349" t="s">
        <v>27</v>
      </c>
      <c r="K349" s="5">
        <f>80 / 86400</f>
        <v>9.2592592592592596E-4</v>
      </c>
      <c r="L349" s="5">
        <f>20 / 86400</f>
        <v>2.3148148148148149E-4</v>
      </c>
    </row>
    <row r="350" spans="1:12" x14ac:dyDescent="0.25">
      <c r="A350" s="3">
        <v>45704.908136574071</v>
      </c>
      <c r="B350" t="s">
        <v>189</v>
      </c>
      <c r="C350" s="3">
        <v>45704.909062499995</v>
      </c>
      <c r="D350" t="s">
        <v>274</v>
      </c>
      <c r="E350" s="4">
        <v>0.38871059685945508</v>
      </c>
      <c r="F350" s="4">
        <v>348425.81551864336</v>
      </c>
      <c r="G350" s="4">
        <v>348426.20422924025</v>
      </c>
      <c r="H350" s="5">
        <f t="shared" si="3"/>
        <v>0</v>
      </c>
      <c r="I350" t="s">
        <v>132</v>
      </c>
      <c r="J350" t="s">
        <v>48</v>
      </c>
      <c r="K350" s="5">
        <f>80 / 86400</f>
        <v>9.2592592592592596E-4</v>
      </c>
      <c r="L350" s="5">
        <f>20 / 86400</f>
        <v>2.3148148148148149E-4</v>
      </c>
    </row>
    <row r="351" spans="1:12" x14ac:dyDescent="0.25">
      <c r="A351" s="3">
        <v>45704.90929398148</v>
      </c>
      <c r="B351" t="s">
        <v>189</v>
      </c>
      <c r="C351" s="3">
        <v>45704.910682870366</v>
      </c>
      <c r="D351" t="s">
        <v>90</v>
      </c>
      <c r="E351" s="4">
        <v>0.85226350039243703</v>
      </c>
      <c r="F351" s="4">
        <v>348426.2954350764</v>
      </c>
      <c r="G351" s="4">
        <v>348427.14769857679</v>
      </c>
      <c r="H351" s="5">
        <f t="shared" si="3"/>
        <v>0</v>
      </c>
      <c r="I351" t="s">
        <v>219</v>
      </c>
      <c r="J351" t="s">
        <v>94</v>
      </c>
      <c r="K351" s="5">
        <f>120 / 86400</f>
        <v>1.3888888888888889E-3</v>
      </c>
      <c r="L351" s="5">
        <f>40 / 86400</f>
        <v>4.6296296296296298E-4</v>
      </c>
    </row>
    <row r="352" spans="1:12" x14ac:dyDescent="0.25">
      <c r="A352" s="3">
        <v>45704.911145833335</v>
      </c>
      <c r="B352" t="s">
        <v>90</v>
      </c>
      <c r="C352" s="3">
        <v>45704.911620370374</v>
      </c>
      <c r="D352" t="s">
        <v>248</v>
      </c>
      <c r="E352" s="4">
        <v>0.4297074891924858</v>
      </c>
      <c r="F352" s="4">
        <v>348427.24647594796</v>
      </c>
      <c r="G352" s="4">
        <v>348427.67618343717</v>
      </c>
      <c r="H352" s="5">
        <f t="shared" si="3"/>
        <v>0</v>
      </c>
      <c r="I352" t="s">
        <v>226</v>
      </c>
      <c r="J352" t="s">
        <v>164</v>
      </c>
      <c r="K352" s="5">
        <f>41 / 86400</f>
        <v>4.7453703703703704E-4</v>
      </c>
      <c r="L352" s="5">
        <f>79 / 86400</f>
        <v>9.1435185185185185E-4</v>
      </c>
    </row>
    <row r="353" spans="1:12" x14ac:dyDescent="0.25">
      <c r="A353" s="3">
        <v>45704.912534722222</v>
      </c>
      <c r="B353" t="s">
        <v>275</v>
      </c>
      <c r="C353" s="3">
        <v>45704.912766203706</v>
      </c>
      <c r="D353" t="s">
        <v>249</v>
      </c>
      <c r="E353" s="4">
        <v>1.4853676497936249E-2</v>
      </c>
      <c r="F353" s="4">
        <v>348427.72066265979</v>
      </c>
      <c r="G353" s="4">
        <v>348427.73551633628</v>
      </c>
      <c r="H353" s="5">
        <f t="shared" si="3"/>
        <v>0</v>
      </c>
      <c r="I353" t="s">
        <v>51</v>
      </c>
      <c r="J353" t="s">
        <v>87</v>
      </c>
      <c r="K353" s="5">
        <f>20 / 86400</f>
        <v>2.3148148148148149E-4</v>
      </c>
      <c r="L353" s="5">
        <f>8 / 86400</f>
        <v>9.2592592592592588E-5</v>
      </c>
    </row>
    <row r="354" spans="1:12" x14ac:dyDescent="0.25">
      <c r="A354" s="3">
        <v>45704.912858796291</v>
      </c>
      <c r="B354" t="s">
        <v>249</v>
      </c>
      <c r="C354" s="3">
        <v>45704.916030092594</v>
      </c>
      <c r="D354" t="s">
        <v>276</v>
      </c>
      <c r="E354" s="4">
        <v>1.5913368453979493</v>
      </c>
      <c r="F354" s="4">
        <v>348427.73781671317</v>
      </c>
      <c r="G354" s="4">
        <v>348429.32915355853</v>
      </c>
      <c r="H354" s="5">
        <f t="shared" si="3"/>
        <v>0</v>
      </c>
      <c r="I354" t="s">
        <v>178</v>
      </c>
      <c r="J354" t="s">
        <v>23</v>
      </c>
      <c r="K354" s="5">
        <f>274 / 86400</f>
        <v>3.1712962962962962E-3</v>
      </c>
      <c r="L354" s="5">
        <f>20 / 86400</f>
        <v>2.3148148148148149E-4</v>
      </c>
    </row>
    <row r="355" spans="1:12" x14ac:dyDescent="0.25">
      <c r="A355" s="3">
        <v>45704.916261574079</v>
      </c>
      <c r="B355" t="s">
        <v>277</v>
      </c>
      <c r="C355" s="3">
        <v>45704.91741898148</v>
      </c>
      <c r="D355" t="s">
        <v>196</v>
      </c>
      <c r="E355" s="4">
        <v>0.49780884021520616</v>
      </c>
      <c r="F355" s="4">
        <v>348429.38214373298</v>
      </c>
      <c r="G355" s="4">
        <v>348429.87995257316</v>
      </c>
      <c r="H355" s="5">
        <f t="shared" si="3"/>
        <v>0</v>
      </c>
      <c r="I355" t="s">
        <v>172</v>
      </c>
      <c r="J355" t="s">
        <v>51</v>
      </c>
      <c r="K355" s="5">
        <f>100 / 86400</f>
        <v>1.1574074074074073E-3</v>
      </c>
      <c r="L355" s="5">
        <f>18 / 86400</f>
        <v>2.0833333333333335E-4</v>
      </c>
    </row>
    <row r="356" spans="1:12" x14ac:dyDescent="0.25">
      <c r="A356" s="3">
        <v>45704.917627314819</v>
      </c>
      <c r="B356" t="s">
        <v>196</v>
      </c>
      <c r="C356" s="3">
        <v>45704.919548611113</v>
      </c>
      <c r="D356" t="s">
        <v>114</v>
      </c>
      <c r="E356" s="4">
        <v>0.6199376688599586</v>
      </c>
      <c r="F356" s="4">
        <v>348429.88326545816</v>
      </c>
      <c r="G356" s="4">
        <v>348430.50320312701</v>
      </c>
      <c r="H356" s="5">
        <f t="shared" si="3"/>
        <v>0</v>
      </c>
      <c r="I356" t="s">
        <v>35</v>
      </c>
      <c r="J356" t="s">
        <v>86</v>
      </c>
      <c r="K356" s="5">
        <f>166 / 86400</f>
        <v>1.9212962962962964E-3</v>
      </c>
      <c r="L356" s="5">
        <f>160 / 86400</f>
        <v>1.8518518518518519E-3</v>
      </c>
    </row>
    <row r="357" spans="1:12" x14ac:dyDescent="0.25">
      <c r="A357" s="3">
        <v>45704.921400462961</v>
      </c>
      <c r="B357" t="s">
        <v>114</v>
      </c>
      <c r="C357" s="3">
        <v>45704.921631944446</v>
      </c>
      <c r="D357" t="s">
        <v>228</v>
      </c>
      <c r="E357" s="4">
        <v>3.8460607528686525E-3</v>
      </c>
      <c r="F357" s="4">
        <v>348430.51649256749</v>
      </c>
      <c r="G357" s="4">
        <v>348430.52033862821</v>
      </c>
      <c r="H357" s="5">
        <f t="shared" si="3"/>
        <v>0</v>
      </c>
      <c r="I357" t="s">
        <v>128</v>
      </c>
      <c r="J357" t="s">
        <v>128</v>
      </c>
      <c r="K357" s="5">
        <f>20 / 86400</f>
        <v>2.3148148148148149E-4</v>
      </c>
      <c r="L357" s="5">
        <f>60 / 86400</f>
        <v>6.9444444444444447E-4</v>
      </c>
    </row>
    <row r="358" spans="1:12" x14ac:dyDescent="0.25">
      <c r="A358" s="3">
        <v>45704.922326388885</v>
      </c>
      <c r="B358" t="s">
        <v>230</v>
      </c>
      <c r="C358" s="3">
        <v>45704.923078703709</v>
      </c>
      <c r="D358" t="s">
        <v>278</v>
      </c>
      <c r="E358" s="4">
        <v>8.8371469080448156E-2</v>
      </c>
      <c r="F358" s="4">
        <v>348430.56125396141</v>
      </c>
      <c r="G358" s="4">
        <v>348430.64962543047</v>
      </c>
      <c r="H358" s="5">
        <f t="shared" si="3"/>
        <v>0</v>
      </c>
      <c r="I358" t="s">
        <v>279</v>
      </c>
      <c r="J358" t="s">
        <v>127</v>
      </c>
      <c r="K358" s="5">
        <f>65 / 86400</f>
        <v>7.5231481481481482E-4</v>
      </c>
      <c r="L358" s="5">
        <f>60 / 86400</f>
        <v>6.9444444444444447E-4</v>
      </c>
    </row>
    <row r="359" spans="1:12" x14ac:dyDescent="0.25">
      <c r="A359" s="3">
        <v>45704.923773148148</v>
      </c>
      <c r="B359" t="s">
        <v>196</v>
      </c>
      <c r="C359" s="3">
        <v>45704.927534722221</v>
      </c>
      <c r="D359" t="s">
        <v>249</v>
      </c>
      <c r="E359" s="4">
        <v>2.3769317393302916</v>
      </c>
      <c r="F359" s="4">
        <v>348430.77288314182</v>
      </c>
      <c r="G359" s="4">
        <v>348433.14981488115</v>
      </c>
      <c r="H359" s="5">
        <f t="shared" si="3"/>
        <v>0</v>
      </c>
      <c r="I359" t="s">
        <v>150</v>
      </c>
      <c r="J359" t="s">
        <v>94</v>
      </c>
      <c r="K359" s="5">
        <f>325 / 86400</f>
        <v>3.7615740740740739E-3</v>
      </c>
      <c r="L359" s="5">
        <f>79 / 86400</f>
        <v>9.1435185185185185E-4</v>
      </c>
    </row>
    <row r="360" spans="1:12" x14ac:dyDescent="0.25">
      <c r="A360" s="3">
        <v>45704.928449074076</v>
      </c>
      <c r="B360" t="s">
        <v>280</v>
      </c>
      <c r="C360" s="3">
        <v>45704.929270833338</v>
      </c>
      <c r="D360" t="s">
        <v>247</v>
      </c>
      <c r="E360" s="4">
        <v>0.5590032616853714</v>
      </c>
      <c r="F360" s="4">
        <v>348433.18460579624</v>
      </c>
      <c r="G360" s="4">
        <v>348433.74360905791</v>
      </c>
      <c r="H360" s="5">
        <f t="shared" si="3"/>
        <v>0</v>
      </c>
      <c r="I360" t="s">
        <v>184</v>
      </c>
      <c r="J360" t="s">
        <v>29</v>
      </c>
      <c r="K360" s="5">
        <f>71 / 86400</f>
        <v>8.2175925925925927E-4</v>
      </c>
      <c r="L360" s="5">
        <f>20 / 86400</f>
        <v>2.3148148148148149E-4</v>
      </c>
    </row>
    <row r="361" spans="1:12" x14ac:dyDescent="0.25">
      <c r="A361" s="3">
        <v>45704.929502314815</v>
      </c>
      <c r="B361" t="s">
        <v>247</v>
      </c>
      <c r="C361" s="3">
        <v>45704.930937500001</v>
      </c>
      <c r="D361" t="s">
        <v>281</v>
      </c>
      <c r="E361" s="4">
        <v>0.9147784386277199</v>
      </c>
      <c r="F361" s="4">
        <v>348433.74573750485</v>
      </c>
      <c r="G361" s="4">
        <v>348434.66051594348</v>
      </c>
      <c r="H361" s="5">
        <f t="shared" si="3"/>
        <v>0</v>
      </c>
      <c r="I361" t="s">
        <v>130</v>
      </c>
      <c r="J361" t="s">
        <v>200</v>
      </c>
      <c r="K361" s="5">
        <f>124 / 86400</f>
        <v>1.4351851851851852E-3</v>
      </c>
      <c r="L361" s="5">
        <f>20 / 86400</f>
        <v>2.3148148148148149E-4</v>
      </c>
    </row>
    <row r="362" spans="1:12" x14ac:dyDescent="0.25">
      <c r="A362" s="3">
        <v>45704.931168981479</v>
      </c>
      <c r="B362" t="s">
        <v>189</v>
      </c>
      <c r="C362" s="3">
        <v>45704.931631944448</v>
      </c>
      <c r="D362" t="s">
        <v>188</v>
      </c>
      <c r="E362" s="4">
        <v>0.21017110353708268</v>
      </c>
      <c r="F362" s="4">
        <v>348434.82503147988</v>
      </c>
      <c r="G362" s="4">
        <v>348435.03520258341</v>
      </c>
      <c r="H362" s="5">
        <f t="shared" si="3"/>
        <v>0</v>
      </c>
      <c r="I362" t="s">
        <v>164</v>
      </c>
      <c r="J362" t="s">
        <v>44</v>
      </c>
      <c r="K362" s="5">
        <f>40 / 86400</f>
        <v>4.6296296296296298E-4</v>
      </c>
      <c r="L362" s="5">
        <f>20 / 86400</f>
        <v>2.3148148148148149E-4</v>
      </c>
    </row>
    <row r="363" spans="1:12" x14ac:dyDescent="0.25">
      <c r="A363" s="3">
        <v>45704.931863425925</v>
      </c>
      <c r="B363" t="s">
        <v>189</v>
      </c>
      <c r="C363" s="3">
        <v>45704.932557870372</v>
      </c>
      <c r="D363" t="s">
        <v>189</v>
      </c>
      <c r="E363" s="4">
        <v>0.46823233127593994</v>
      </c>
      <c r="F363" s="4">
        <v>348435.16636158281</v>
      </c>
      <c r="G363" s="4">
        <v>348435.63459391409</v>
      </c>
      <c r="H363" s="5">
        <f t="shared" si="3"/>
        <v>0</v>
      </c>
      <c r="I363" t="s">
        <v>195</v>
      </c>
      <c r="J363" t="s">
        <v>29</v>
      </c>
      <c r="K363" s="5">
        <f>60 / 86400</f>
        <v>6.9444444444444447E-4</v>
      </c>
      <c r="L363" s="5">
        <f>40 / 86400</f>
        <v>4.6296296296296298E-4</v>
      </c>
    </row>
    <row r="364" spans="1:12" x14ac:dyDescent="0.25">
      <c r="A364" s="3">
        <v>45704.933020833334</v>
      </c>
      <c r="B364" t="s">
        <v>233</v>
      </c>
      <c r="C364" s="3">
        <v>45704.933715277773</v>
      </c>
      <c r="D364" t="s">
        <v>188</v>
      </c>
      <c r="E364" s="4">
        <v>0.70994448387622833</v>
      </c>
      <c r="F364" s="4">
        <v>348435.69015054271</v>
      </c>
      <c r="G364" s="4">
        <v>348436.40009502659</v>
      </c>
      <c r="H364" s="5">
        <f t="shared" si="3"/>
        <v>0</v>
      </c>
      <c r="I364" t="s">
        <v>62</v>
      </c>
      <c r="J364" t="s">
        <v>142</v>
      </c>
      <c r="K364" s="5">
        <f>60 / 86400</f>
        <v>6.9444444444444447E-4</v>
      </c>
      <c r="L364" s="5">
        <f>60 / 86400</f>
        <v>6.9444444444444447E-4</v>
      </c>
    </row>
    <row r="365" spans="1:12" x14ac:dyDescent="0.25">
      <c r="A365" s="3">
        <v>45704.93440972222</v>
      </c>
      <c r="B365" t="s">
        <v>282</v>
      </c>
      <c r="C365" s="3">
        <v>45704.935567129629</v>
      </c>
      <c r="D365" t="s">
        <v>187</v>
      </c>
      <c r="E365" s="4">
        <v>0.6239747995734215</v>
      </c>
      <c r="F365" s="4">
        <v>348436.47247806378</v>
      </c>
      <c r="G365" s="4">
        <v>348437.09645286336</v>
      </c>
      <c r="H365" s="5">
        <f t="shared" si="3"/>
        <v>0</v>
      </c>
      <c r="I365" t="s">
        <v>195</v>
      </c>
      <c r="J365" t="s">
        <v>20</v>
      </c>
      <c r="K365" s="5">
        <f>100 / 86400</f>
        <v>1.1574074074074073E-3</v>
      </c>
      <c r="L365" s="5">
        <f t="shared" ref="L365:L371" si="4">20 / 86400</f>
        <v>2.3148148148148149E-4</v>
      </c>
    </row>
    <row r="366" spans="1:12" x14ac:dyDescent="0.25">
      <c r="A366" s="3">
        <v>45704.935798611114</v>
      </c>
      <c r="B366" t="s">
        <v>187</v>
      </c>
      <c r="C366" s="3">
        <v>45704.93649305556</v>
      </c>
      <c r="D366" t="s">
        <v>187</v>
      </c>
      <c r="E366" s="4">
        <v>0.4923516882658005</v>
      </c>
      <c r="F366" s="4">
        <v>348437.14437039889</v>
      </c>
      <c r="G366" s="4">
        <v>348437.63672208716</v>
      </c>
      <c r="H366" s="5">
        <f t="shared" si="3"/>
        <v>0</v>
      </c>
      <c r="I366" t="s">
        <v>232</v>
      </c>
      <c r="J366" t="s">
        <v>35</v>
      </c>
      <c r="K366" s="5">
        <f>60 / 86400</f>
        <v>6.9444444444444447E-4</v>
      </c>
      <c r="L366" s="5">
        <f t="shared" si="4"/>
        <v>2.3148148148148149E-4</v>
      </c>
    </row>
    <row r="367" spans="1:12" x14ac:dyDescent="0.25">
      <c r="A367" s="3">
        <v>45704.936724537038</v>
      </c>
      <c r="B367" t="s">
        <v>187</v>
      </c>
      <c r="C367" s="3">
        <v>45704.937418981484</v>
      </c>
      <c r="D367" t="s">
        <v>187</v>
      </c>
      <c r="E367" s="4">
        <v>0.36823229259252549</v>
      </c>
      <c r="F367" s="4">
        <v>348437.69556176331</v>
      </c>
      <c r="G367" s="4">
        <v>348438.0637940559</v>
      </c>
      <c r="H367" s="5">
        <f t="shared" si="3"/>
        <v>0</v>
      </c>
      <c r="I367" t="s">
        <v>200</v>
      </c>
      <c r="J367" t="s">
        <v>20</v>
      </c>
      <c r="K367" s="5">
        <f>60 / 86400</f>
        <v>6.9444444444444447E-4</v>
      </c>
      <c r="L367" s="5">
        <f t="shared" si="4"/>
        <v>2.3148148148148149E-4</v>
      </c>
    </row>
    <row r="368" spans="1:12" x14ac:dyDescent="0.25">
      <c r="A368" s="3">
        <v>45704.937650462962</v>
      </c>
      <c r="B368" t="s">
        <v>245</v>
      </c>
      <c r="C368" s="3">
        <v>45704.938831018517</v>
      </c>
      <c r="D368" t="s">
        <v>236</v>
      </c>
      <c r="E368" s="4">
        <v>0.54376843196153646</v>
      </c>
      <c r="F368" s="4">
        <v>348438.11172963452</v>
      </c>
      <c r="G368" s="4">
        <v>348438.65549806651</v>
      </c>
      <c r="H368" s="5">
        <f t="shared" ref="H368:H393" si="5">0 / 86400</f>
        <v>0</v>
      </c>
      <c r="I368" t="s">
        <v>29</v>
      </c>
      <c r="J368" t="s">
        <v>44</v>
      </c>
      <c r="K368" s="5">
        <f>102 / 86400</f>
        <v>1.1805555555555556E-3</v>
      </c>
      <c r="L368" s="5">
        <f t="shared" si="4"/>
        <v>2.3148148148148149E-4</v>
      </c>
    </row>
    <row r="369" spans="1:12" x14ac:dyDescent="0.25">
      <c r="A369" s="3">
        <v>45704.939062500001</v>
      </c>
      <c r="B369" t="s">
        <v>236</v>
      </c>
      <c r="C369" s="3">
        <v>45704.94021990741</v>
      </c>
      <c r="D369" t="s">
        <v>283</v>
      </c>
      <c r="E369" s="4">
        <v>0.55786522054672238</v>
      </c>
      <c r="F369" s="4">
        <v>348438.66497276054</v>
      </c>
      <c r="G369" s="4">
        <v>348439.22283798113</v>
      </c>
      <c r="H369" s="5">
        <f t="shared" si="5"/>
        <v>0</v>
      </c>
      <c r="I369" t="s">
        <v>35</v>
      </c>
      <c r="J369" t="s">
        <v>33</v>
      </c>
      <c r="K369" s="5">
        <f>100 / 86400</f>
        <v>1.1574074074074073E-3</v>
      </c>
      <c r="L369" s="5">
        <f t="shared" si="4"/>
        <v>2.3148148148148149E-4</v>
      </c>
    </row>
    <row r="370" spans="1:12" x14ac:dyDescent="0.25">
      <c r="A370" s="3">
        <v>45704.940451388888</v>
      </c>
      <c r="B370" t="s">
        <v>263</v>
      </c>
      <c r="C370" s="3">
        <v>45704.943460648152</v>
      </c>
      <c r="D370" t="s">
        <v>83</v>
      </c>
      <c r="E370" s="4">
        <v>1.9161116287112236</v>
      </c>
      <c r="F370" s="4">
        <v>348439.38421577954</v>
      </c>
      <c r="G370" s="4">
        <v>348441.30032740824</v>
      </c>
      <c r="H370" s="5">
        <f t="shared" si="5"/>
        <v>0</v>
      </c>
      <c r="I370" t="s">
        <v>150</v>
      </c>
      <c r="J370" t="s">
        <v>200</v>
      </c>
      <c r="K370" s="5">
        <f>260 / 86400</f>
        <v>3.0092592592592593E-3</v>
      </c>
      <c r="L370" s="5">
        <f t="shared" si="4"/>
        <v>2.3148148148148149E-4</v>
      </c>
    </row>
    <row r="371" spans="1:12" x14ac:dyDescent="0.25">
      <c r="A371" s="3">
        <v>45704.943692129629</v>
      </c>
      <c r="B371" t="s">
        <v>83</v>
      </c>
      <c r="C371" s="3">
        <v>45704.945543981477</v>
      </c>
      <c r="D371" t="s">
        <v>89</v>
      </c>
      <c r="E371" s="4">
        <v>1.6913717940449715</v>
      </c>
      <c r="F371" s="4">
        <v>348441.39298335084</v>
      </c>
      <c r="G371" s="4">
        <v>348443.08435514494</v>
      </c>
      <c r="H371" s="5">
        <f t="shared" si="5"/>
        <v>0</v>
      </c>
      <c r="I371" t="s">
        <v>93</v>
      </c>
      <c r="J371" t="s">
        <v>164</v>
      </c>
      <c r="K371" s="5">
        <f>160 / 86400</f>
        <v>1.8518518518518519E-3</v>
      </c>
      <c r="L371" s="5">
        <f t="shared" si="4"/>
        <v>2.3148148148148149E-4</v>
      </c>
    </row>
    <row r="372" spans="1:12" x14ac:dyDescent="0.25">
      <c r="A372" s="3">
        <v>45704.945775462962</v>
      </c>
      <c r="B372" t="s">
        <v>89</v>
      </c>
      <c r="C372" s="3">
        <v>45704.946006944447</v>
      </c>
      <c r="D372" t="s">
        <v>89</v>
      </c>
      <c r="E372" s="4">
        <v>8.0739544630050661E-3</v>
      </c>
      <c r="F372" s="4">
        <v>348443.09166775597</v>
      </c>
      <c r="G372" s="4">
        <v>348443.09974171041</v>
      </c>
      <c r="H372" s="5">
        <f t="shared" si="5"/>
        <v>0</v>
      </c>
      <c r="I372" t="s">
        <v>129</v>
      </c>
      <c r="J372" t="s">
        <v>128</v>
      </c>
      <c r="K372" s="5">
        <f>20 / 86400</f>
        <v>2.3148148148148149E-4</v>
      </c>
      <c r="L372" s="5">
        <f>60 / 86400</f>
        <v>6.9444444444444447E-4</v>
      </c>
    </row>
    <row r="373" spans="1:12" x14ac:dyDescent="0.25">
      <c r="A373" s="3">
        <v>45704.946701388893</v>
      </c>
      <c r="B373" t="s">
        <v>89</v>
      </c>
      <c r="C373" s="3">
        <v>45704.949710648143</v>
      </c>
      <c r="D373" t="s">
        <v>89</v>
      </c>
      <c r="E373" s="4">
        <v>3.0046603375673295</v>
      </c>
      <c r="F373" s="4">
        <v>348443.22704988404</v>
      </c>
      <c r="G373" s="4">
        <v>348446.23171022156</v>
      </c>
      <c r="H373" s="5">
        <f t="shared" si="5"/>
        <v>0</v>
      </c>
      <c r="I373" t="s">
        <v>152</v>
      </c>
      <c r="J373" t="s">
        <v>192</v>
      </c>
      <c r="K373" s="5">
        <f>260 / 86400</f>
        <v>3.0092592592592593E-3</v>
      </c>
      <c r="L373" s="5">
        <f>20 / 86400</f>
        <v>2.3148148148148149E-4</v>
      </c>
    </row>
    <row r="374" spans="1:12" x14ac:dyDescent="0.25">
      <c r="A374" s="3">
        <v>45704.949942129635</v>
      </c>
      <c r="B374" t="s">
        <v>89</v>
      </c>
      <c r="C374" s="3">
        <v>45704.950636574074</v>
      </c>
      <c r="D374" t="s">
        <v>89</v>
      </c>
      <c r="E374" s="4">
        <v>0.32355083131790163</v>
      </c>
      <c r="F374" s="4">
        <v>348446.37296984845</v>
      </c>
      <c r="G374" s="4">
        <v>348446.69652067975</v>
      </c>
      <c r="H374" s="5">
        <f t="shared" si="5"/>
        <v>0</v>
      </c>
      <c r="I374" t="s">
        <v>130</v>
      </c>
      <c r="J374" t="s">
        <v>44</v>
      </c>
      <c r="K374" s="5">
        <f>60 / 86400</f>
        <v>6.9444444444444447E-4</v>
      </c>
      <c r="L374" s="5">
        <f>20 / 86400</f>
        <v>2.3148148148148149E-4</v>
      </c>
    </row>
    <row r="375" spans="1:12" x14ac:dyDescent="0.25">
      <c r="A375" s="3">
        <v>45704.950868055559</v>
      </c>
      <c r="B375" t="s">
        <v>89</v>
      </c>
      <c r="C375" s="3">
        <v>45704.953182870369</v>
      </c>
      <c r="D375" t="s">
        <v>104</v>
      </c>
      <c r="E375" s="4">
        <v>1.6975767439603806</v>
      </c>
      <c r="F375" s="4">
        <v>348446.71374426747</v>
      </c>
      <c r="G375" s="4">
        <v>348448.41132101143</v>
      </c>
      <c r="H375" s="5">
        <f t="shared" si="5"/>
        <v>0</v>
      </c>
      <c r="I375" t="s">
        <v>255</v>
      </c>
      <c r="J375" t="s">
        <v>166</v>
      </c>
      <c r="K375" s="5">
        <f>200 / 86400</f>
        <v>2.3148148148148147E-3</v>
      </c>
      <c r="L375" s="5">
        <f>20 / 86400</f>
        <v>2.3148148148148149E-4</v>
      </c>
    </row>
    <row r="376" spans="1:12" x14ac:dyDescent="0.25">
      <c r="A376" s="3">
        <v>45704.953414351854</v>
      </c>
      <c r="B376" t="s">
        <v>104</v>
      </c>
      <c r="C376" s="3">
        <v>45704.954212962963</v>
      </c>
      <c r="D376" t="s">
        <v>284</v>
      </c>
      <c r="E376" s="4">
        <v>0.10968499678373336</v>
      </c>
      <c r="F376" s="4">
        <v>348448.41828670196</v>
      </c>
      <c r="G376" s="4">
        <v>348448.52797169879</v>
      </c>
      <c r="H376" s="5">
        <f t="shared" si="5"/>
        <v>0</v>
      </c>
      <c r="I376" t="s">
        <v>136</v>
      </c>
      <c r="J376" t="s">
        <v>88</v>
      </c>
      <c r="K376" s="5">
        <f>69 / 86400</f>
        <v>7.9861111111111116E-4</v>
      </c>
      <c r="L376" s="5">
        <f>54 / 86400</f>
        <v>6.2500000000000001E-4</v>
      </c>
    </row>
    <row r="377" spans="1:12" x14ac:dyDescent="0.25">
      <c r="A377" s="3">
        <v>45704.954837962963</v>
      </c>
      <c r="B377" t="s">
        <v>268</v>
      </c>
      <c r="C377" s="3">
        <v>45704.956516203703</v>
      </c>
      <c r="D377" t="s">
        <v>285</v>
      </c>
      <c r="E377" s="4">
        <v>0.62979193389415744</v>
      </c>
      <c r="F377" s="4">
        <v>348448.53638031834</v>
      </c>
      <c r="G377" s="4">
        <v>348449.16617225221</v>
      </c>
      <c r="H377" s="5">
        <f t="shared" si="5"/>
        <v>0</v>
      </c>
      <c r="I377" t="s">
        <v>33</v>
      </c>
      <c r="J377" t="s">
        <v>133</v>
      </c>
      <c r="K377" s="5">
        <f>145 / 86400</f>
        <v>1.6782407407407408E-3</v>
      </c>
      <c r="L377" s="5">
        <f>40 / 86400</f>
        <v>4.6296296296296298E-4</v>
      </c>
    </row>
    <row r="378" spans="1:12" x14ac:dyDescent="0.25">
      <c r="A378" s="3">
        <v>45704.956979166665</v>
      </c>
      <c r="B378" t="s">
        <v>286</v>
      </c>
      <c r="C378" s="3">
        <v>45704.959629629629</v>
      </c>
      <c r="D378" t="s">
        <v>107</v>
      </c>
      <c r="E378" s="4">
        <v>2.1907329612970354</v>
      </c>
      <c r="F378" s="4">
        <v>348449.1814151883</v>
      </c>
      <c r="G378" s="4">
        <v>348451.37214814959</v>
      </c>
      <c r="H378" s="5">
        <f t="shared" si="5"/>
        <v>0</v>
      </c>
      <c r="I378" t="s">
        <v>174</v>
      </c>
      <c r="J378" t="s">
        <v>116</v>
      </c>
      <c r="K378" s="5">
        <f>229 / 86400</f>
        <v>2.650462962962963E-3</v>
      </c>
      <c r="L378" s="5">
        <f>20 / 86400</f>
        <v>2.3148148148148149E-4</v>
      </c>
    </row>
    <row r="379" spans="1:12" x14ac:dyDescent="0.25">
      <c r="A379" s="3">
        <v>45704.959861111114</v>
      </c>
      <c r="B379" t="s">
        <v>107</v>
      </c>
      <c r="C379" s="3">
        <v>45704.961018518516</v>
      </c>
      <c r="D379" t="s">
        <v>287</v>
      </c>
      <c r="E379" s="4">
        <v>0.77405166953802107</v>
      </c>
      <c r="F379" s="4">
        <v>348451.37887772266</v>
      </c>
      <c r="G379" s="4">
        <v>348452.15292939224</v>
      </c>
      <c r="H379" s="5">
        <f t="shared" si="5"/>
        <v>0</v>
      </c>
      <c r="I379" t="s">
        <v>211</v>
      </c>
      <c r="J379" t="s">
        <v>29</v>
      </c>
      <c r="K379" s="5">
        <f>100 / 86400</f>
        <v>1.1574074074074073E-3</v>
      </c>
      <c r="L379" s="5">
        <f>20 / 86400</f>
        <v>2.3148148148148149E-4</v>
      </c>
    </row>
    <row r="380" spans="1:12" x14ac:dyDescent="0.25">
      <c r="A380" s="3">
        <v>45704.96125</v>
      </c>
      <c r="B380" t="s">
        <v>287</v>
      </c>
      <c r="C380" s="3">
        <v>45704.961712962962</v>
      </c>
      <c r="D380" t="s">
        <v>287</v>
      </c>
      <c r="E380" s="4">
        <v>0.4388028092980385</v>
      </c>
      <c r="F380" s="4">
        <v>348452.27831744694</v>
      </c>
      <c r="G380" s="4">
        <v>348452.71712025622</v>
      </c>
      <c r="H380" s="5">
        <f t="shared" si="5"/>
        <v>0</v>
      </c>
      <c r="I380" t="s">
        <v>184</v>
      </c>
      <c r="J380" t="s">
        <v>159</v>
      </c>
      <c r="K380" s="5">
        <f>40 / 86400</f>
        <v>4.6296296296296298E-4</v>
      </c>
      <c r="L380" s="5">
        <f>40 / 86400</f>
        <v>4.6296296296296298E-4</v>
      </c>
    </row>
    <row r="381" spans="1:12" x14ac:dyDescent="0.25">
      <c r="A381" s="3">
        <v>45704.962175925924</v>
      </c>
      <c r="B381" t="s">
        <v>287</v>
      </c>
      <c r="C381" s="3">
        <v>45704.964490740742</v>
      </c>
      <c r="D381" t="s">
        <v>287</v>
      </c>
      <c r="E381" s="4">
        <v>2.4670279297828674</v>
      </c>
      <c r="F381" s="4">
        <v>348452.80175536766</v>
      </c>
      <c r="G381" s="4">
        <v>348455.26878329745</v>
      </c>
      <c r="H381" s="5">
        <f t="shared" si="5"/>
        <v>0</v>
      </c>
      <c r="I381" t="s">
        <v>271</v>
      </c>
      <c r="J381" t="s">
        <v>161</v>
      </c>
      <c r="K381" s="5">
        <f>200 / 86400</f>
        <v>2.3148148148148147E-3</v>
      </c>
      <c r="L381" s="5">
        <f>20 / 86400</f>
        <v>2.3148148148148149E-4</v>
      </c>
    </row>
    <row r="382" spans="1:12" x14ac:dyDescent="0.25">
      <c r="A382" s="3">
        <v>45704.964722222227</v>
      </c>
      <c r="B382" t="s">
        <v>287</v>
      </c>
      <c r="C382" s="3">
        <v>45704.967268518521</v>
      </c>
      <c r="D382" t="s">
        <v>288</v>
      </c>
      <c r="E382" s="4">
        <v>2.1160764880776406</v>
      </c>
      <c r="F382" s="4">
        <v>348455.32954206649</v>
      </c>
      <c r="G382" s="4">
        <v>348457.4456185546</v>
      </c>
      <c r="H382" s="5">
        <f t="shared" si="5"/>
        <v>0</v>
      </c>
      <c r="I382" t="s">
        <v>174</v>
      </c>
      <c r="J382" t="s">
        <v>132</v>
      </c>
      <c r="K382" s="5">
        <f>220 / 86400</f>
        <v>2.5462962962962965E-3</v>
      </c>
      <c r="L382" s="5">
        <f>20 / 86400</f>
        <v>2.3148148148148149E-4</v>
      </c>
    </row>
    <row r="383" spans="1:12" x14ac:dyDescent="0.25">
      <c r="A383" s="3">
        <v>45704.967499999999</v>
      </c>
      <c r="B383" t="s">
        <v>289</v>
      </c>
      <c r="C383" s="3">
        <v>45704.970625000002</v>
      </c>
      <c r="D383" t="s">
        <v>290</v>
      </c>
      <c r="E383" s="4">
        <v>2.7546537142992018</v>
      </c>
      <c r="F383" s="4">
        <v>348457.59196306189</v>
      </c>
      <c r="G383" s="4">
        <v>348460.34661677619</v>
      </c>
      <c r="H383" s="5">
        <f t="shared" si="5"/>
        <v>0</v>
      </c>
      <c r="I383" t="s">
        <v>180</v>
      </c>
      <c r="J383" t="s">
        <v>219</v>
      </c>
      <c r="K383" s="5">
        <f>270 / 86400</f>
        <v>3.1250000000000002E-3</v>
      </c>
      <c r="L383" s="5">
        <f>20 / 86400</f>
        <v>2.3148148148148149E-4</v>
      </c>
    </row>
    <row r="384" spans="1:12" x14ac:dyDescent="0.25">
      <c r="A384" s="3">
        <v>45704.970856481479</v>
      </c>
      <c r="B384" t="s">
        <v>290</v>
      </c>
      <c r="C384" s="3">
        <v>45704.972013888888</v>
      </c>
      <c r="D384" t="s">
        <v>291</v>
      </c>
      <c r="E384" s="4">
        <v>1.0708804805874825</v>
      </c>
      <c r="F384" s="4">
        <v>348460.38182016404</v>
      </c>
      <c r="G384" s="4">
        <v>348461.45270064462</v>
      </c>
      <c r="H384" s="5">
        <f t="shared" si="5"/>
        <v>0</v>
      </c>
      <c r="I384" t="s">
        <v>124</v>
      </c>
      <c r="J384" t="s">
        <v>159</v>
      </c>
      <c r="K384" s="5">
        <f>100 / 86400</f>
        <v>1.1574074074074073E-3</v>
      </c>
      <c r="L384" s="5">
        <f>10 / 86400</f>
        <v>1.1574074074074075E-4</v>
      </c>
    </row>
    <row r="385" spans="1:12" x14ac:dyDescent="0.25">
      <c r="A385" s="3">
        <v>45704.972129629634</v>
      </c>
      <c r="B385" t="s">
        <v>291</v>
      </c>
      <c r="C385" s="3">
        <v>45704.972824074073</v>
      </c>
      <c r="D385" t="s">
        <v>292</v>
      </c>
      <c r="E385" s="4">
        <v>0.63846699130535123</v>
      </c>
      <c r="F385" s="4">
        <v>348461.4590849349</v>
      </c>
      <c r="G385" s="4">
        <v>348462.09755192621</v>
      </c>
      <c r="H385" s="5">
        <f t="shared" si="5"/>
        <v>0</v>
      </c>
      <c r="I385" t="s">
        <v>184</v>
      </c>
      <c r="J385" t="s">
        <v>164</v>
      </c>
      <c r="K385" s="5">
        <f>60 / 86400</f>
        <v>6.9444444444444447E-4</v>
      </c>
      <c r="L385" s="5">
        <f>20 / 86400</f>
        <v>2.3148148148148149E-4</v>
      </c>
    </row>
    <row r="386" spans="1:12" x14ac:dyDescent="0.25">
      <c r="A386" s="3">
        <v>45704.973055555558</v>
      </c>
      <c r="B386" t="s">
        <v>292</v>
      </c>
      <c r="C386" s="3">
        <v>45704.97351851852</v>
      </c>
      <c r="D386" t="s">
        <v>292</v>
      </c>
      <c r="E386" s="4">
        <v>0.3705563332438469</v>
      </c>
      <c r="F386" s="4">
        <v>348462.10156922304</v>
      </c>
      <c r="G386" s="4">
        <v>348462.47212555626</v>
      </c>
      <c r="H386" s="5">
        <f t="shared" si="5"/>
        <v>0</v>
      </c>
      <c r="I386" t="s">
        <v>126</v>
      </c>
      <c r="J386" t="s">
        <v>102</v>
      </c>
      <c r="K386" s="5">
        <f>40 / 86400</f>
        <v>4.6296296296296298E-4</v>
      </c>
      <c r="L386" s="5">
        <f>20 / 86400</f>
        <v>2.3148148148148149E-4</v>
      </c>
    </row>
    <row r="387" spans="1:12" x14ac:dyDescent="0.25">
      <c r="A387" s="3">
        <v>45704.973750000005</v>
      </c>
      <c r="B387" t="s">
        <v>292</v>
      </c>
      <c r="C387" s="3">
        <v>45704.975520833337</v>
      </c>
      <c r="D387" t="s">
        <v>293</v>
      </c>
      <c r="E387" s="4">
        <v>1.948919602394104</v>
      </c>
      <c r="F387" s="4">
        <v>348462.63824765169</v>
      </c>
      <c r="G387" s="4">
        <v>348464.58716725407</v>
      </c>
      <c r="H387" s="5">
        <f t="shared" si="5"/>
        <v>0</v>
      </c>
      <c r="I387" t="s">
        <v>174</v>
      </c>
      <c r="J387" t="s">
        <v>130</v>
      </c>
      <c r="K387" s="5">
        <f>153 / 86400</f>
        <v>1.7708333333333332E-3</v>
      </c>
      <c r="L387" s="5">
        <f>16 / 86400</f>
        <v>1.8518518518518518E-4</v>
      </c>
    </row>
    <row r="388" spans="1:12" x14ac:dyDescent="0.25">
      <c r="A388" s="3">
        <v>45704.975706018522</v>
      </c>
      <c r="B388" t="s">
        <v>293</v>
      </c>
      <c r="C388" s="3">
        <v>45704.978148148148</v>
      </c>
      <c r="D388" t="s">
        <v>144</v>
      </c>
      <c r="E388" s="4">
        <v>1.6467852793931961</v>
      </c>
      <c r="F388" s="4">
        <v>348464.71833187516</v>
      </c>
      <c r="G388" s="4">
        <v>348466.36511715455</v>
      </c>
      <c r="H388" s="5">
        <f t="shared" si="5"/>
        <v>0</v>
      </c>
      <c r="I388" t="s">
        <v>178</v>
      </c>
      <c r="J388" t="s">
        <v>29</v>
      </c>
      <c r="K388" s="5">
        <f>211 / 86400</f>
        <v>2.4421296296296296E-3</v>
      </c>
      <c r="L388" s="5">
        <f>392 / 86400</f>
        <v>4.5370370370370373E-3</v>
      </c>
    </row>
    <row r="389" spans="1:12" x14ac:dyDescent="0.25">
      <c r="A389" s="3">
        <v>45704.982685185183</v>
      </c>
      <c r="B389" t="s">
        <v>144</v>
      </c>
      <c r="C389" s="3">
        <v>45704.983506944445</v>
      </c>
      <c r="D389" t="s">
        <v>144</v>
      </c>
      <c r="E389" s="4">
        <v>4.1865664720535274E-3</v>
      </c>
      <c r="F389" s="4">
        <v>348466.39183319471</v>
      </c>
      <c r="G389" s="4">
        <v>348466.39601976122</v>
      </c>
      <c r="H389" s="5">
        <f t="shared" si="5"/>
        <v>0</v>
      </c>
      <c r="I389" t="s">
        <v>128</v>
      </c>
      <c r="J389" t="s">
        <v>55</v>
      </c>
      <c r="K389" s="5">
        <f>71 / 86400</f>
        <v>8.2175925925925927E-4</v>
      </c>
      <c r="L389" s="5">
        <f>305 / 86400</f>
        <v>3.5300925925925925E-3</v>
      </c>
    </row>
    <row r="390" spans="1:12" x14ac:dyDescent="0.25">
      <c r="A390" s="3">
        <v>45704.987037037034</v>
      </c>
      <c r="B390" t="s">
        <v>144</v>
      </c>
      <c r="C390" s="3">
        <v>45704.987037037034</v>
      </c>
      <c r="D390" t="s">
        <v>144</v>
      </c>
      <c r="E390" s="4">
        <v>0</v>
      </c>
      <c r="F390" s="4">
        <v>348466.39995562425</v>
      </c>
      <c r="G390" s="4">
        <v>348466.39995562425</v>
      </c>
      <c r="H390" s="5">
        <f t="shared" si="5"/>
        <v>0</v>
      </c>
      <c r="I390" t="s">
        <v>128</v>
      </c>
      <c r="J390" t="s">
        <v>55</v>
      </c>
      <c r="K390" s="5">
        <f>0 / 86400</f>
        <v>0</v>
      </c>
      <c r="L390" s="5">
        <f>451 / 86400</f>
        <v>5.2199074074074075E-3</v>
      </c>
    </row>
    <row r="391" spans="1:12" x14ac:dyDescent="0.25">
      <c r="A391" s="3">
        <v>45704.992268518516</v>
      </c>
      <c r="B391" t="s">
        <v>144</v>
      </c>
      <c r="C391" s="3">
        <v>45704.992268518516</v>
      </c>
      <c r="D391" t="s">
        <v>144</v>
      </c>
      <c r="E391" s="4">
        <v>0</v>
      </c>
      <c r="F391" s="4">
        <v>348466.40673787624</v>
      </c>
      <c r="G391" s="4">
        <v>348466.40673787624</v>
      </c>
      <c r="H391" s="5">
        <f t="shared" si="5"/>
        <v>0</v>
      </c>
      <c r="I391" t="s">
        <v>128</v>
      </c>
      <c r="J391" t="s">
        <v>55</v>
      </c>
      <c r="K391" s="5">
        <f>0 / 86400</f>
        <v>0</v>
      </c>
      <c r="L391" s="5">
        <f>79 / 86400</f>
        <v>9.1435185185185185E-4</v>
      </c>
    </row>
    <row r="392" spans="1:12" x14ac:dyDescent="0.25">
      <c r="A392" s="3">
        <v>45704.99319444444</v>
      </c>
      <c r="B392" t="s">
        <v>37</v>
      </c>
      <c r="C392" s="3">
        <v>45704.993657407409</v>
      </c>
      <c r="D392" t="s">
        <v>37</v>
      </c>
      <c r="E392" s="4">
        <v>5.2998076081275944E-3</v>
      </c>
      <c r="F392" s="4">
        <v>348466.41705266811</v>
      </c>
      <c r="G392" s="4">
        <v>348466.4223524757</v>
      </c>
      <c r="H392" s="5">
        <f t="shared" si="5"/>
        <v>0</v>
      </c>
      <c r="I392" t="s">
        <v>129</v>
      </c>
      <c r="J392" t="s">
        <v>55</v>
      </c>
      <c r="K392" s="5">
        <f>40 / 86400</f>
        <v>4.6296296296296298E-4</v>
      </c>
      <c r="L392" s="5">
        <f>474 / 86400</f>
        <v>5.4861111111111109E-3</v>
      </c>
    </row>
    <row r="393" spans="1:12" x14ac:dyDescent="0.25">
      <c r="A393" s="3">
        <v>45704.999143518522</v>
      </c>
      <c r="B393" t="s">
        <v>37</v>
      </c>
      <c r="C393" s="3">
        <v>45704.999374999999</v>
      </c>
      <c r="D393" t="s">
        <v>37</v>
      </c>
      <c r="E393" s="4">
        <v>3.0118864774703979E-3</v>
      </c>
      <c r="F393" s="4">
        <v>348466.47485053045</v>
      </c>
      <c r="G393" s="4">
        <v>348466.47786241694</v>
      </c>
      <c r="H393" s="5">
        <f t="shared" si="5"/>
        <v>0</v>
      </c>
      <c r="I393" t="s">
        <v>127</v>
      </c>
      <c r="J393" t="s">
        <v>128</v>
      </c>
      <c r="K393" s="5">
        <f>20 / 86400</f>
        <v>2.3148148148148149E-4</v>
      </c>
      <c r="L393" s="5">
        <f>53 / 86400</f>
        <v>6.134259259259259E-4</v>
      </c>
    </row>
    <row r="394" spans="1:1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</row>
    <row r="395" spans="1:1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</row>
    <row r="396" spans="1:12" s="10" customFormat="1" ht="20.100000000000001" customHeight="1" x14ac:dyDescent="0.35">
      <c r="A396" s="15" t="s">
        <v>387</v>
      </c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</row>
    <row r="398" spans="1:12" ht="30" x14ac:dyDescent="0.25">
      <c r="A398" s="2" t="s">
        <v>6</v>
      </c>
      <c r="B398" s="2" t="s">
        <v>7</v>
      </c>
      <c r="C398" s="2" t="s">
        <v>8</v>
      </c>
      <c r="D398" s="2" t="s">
        <v>9</v>
      </c>
      <c r="E398" s="2" t="s">
        <v>10</v>
      </c>
      <c r="F398" s="2" t="s">
        <v>11</v>
      </c>
      <c r="G398" s="2" t="s">
        <v>12</v>
      </c>
      <c r="H398" s="2" t="s">
        <v>13</v>
      </c>
      <c r="I398" s="2" t="s">
        <v>14</v>
      </c>
      <c r="J398" s="2" t="s">
        <v>15</v>
      </c>
      <c r="K398" s="2" t="s">
        <v>16</v>
      </c>
      <c r="L398" s="2" t="s">
        <v>17</v>
      </c>
    </row>
    <row r="399" spans="1:12" x14ac:dyDescent="0.25">
      <c r="A399" s="3">
        <v>45704.27034722222</v>
      </c>
      <c r="B399" t="s">
        <v>39</v>
      </c>
      <c r="C399" s="3">
        <v>45704.497754629629</v>
      </c>
      <c r="D399" t="s">
        <v>74</v>
      </c>
      <c r="E399" s="4">
        <v>104.253</v>
      </c>
      <c r="F399" s="4">
        <v>437904.63699999999</v>
      </c>
      <c r="G399" s="4">
        <v>438008.89</v>
      </c>
      <c r="H399" s="5">
        <f>5528 / 86400</f>
        <v>6.3981481481481486E-2</v>
      </c>
      <c r="I399" t="s">
        <v>41</v>
      </c>
      <c r="J399" t="s">
        <v>44</v>
      </c>
      <c r="K399" s="5">
        <f>19647 / 86400</f>
        <v>0.22739583333333332</v>
      </c>
      <c r="L399" s="5">
        <f>23540 / 86400</f>
        <v>0.2724537037037037</v>
      </c>
    </row>
    <row r="400" spans="1:12" x14ac:dyDescent="0.25">
      <c r="A400" s="3">
        <v>45704.499861111108</v>
      </c>
      <c r="B400" t="s">
        <v>74</v>
      </c>
      <c r="C400" s="3">
        <v>45704.500289351854</v>
      </c>
      <c r="D400" t="s">
        <v>74</v>
      </c>
      <c r="E400" s="4">
        <v>4.1000000000000002E-2</v>
      </c>
      <c r="F400" s="4">
        <v>438008.89</v>
      </c>
      <c r="G400" s="4">
        <v>438008.93099999998</v>
      </c>
      <c r="H400" s="5">
        <f>0 / 86400</f>
        <v>0</v>
      </c>
      <c r="I400" t="s">
        <v>136</v>
      </c>
      <c r="J400" t="s">
        <v>137</v>
      </c>
      <c r="K400" s="5">
        <f>37 / 86400</f>
        <v>4.2824074074074075E-4</v>
      </c>
      <c r="L400" s="5">
        <f>1818 / 86400</f>
        <v>2.1041666666666667E-2</v>
      </c>
    </row>
    <row r="401" spans="1:12" x14ac:dyDescent="0.25">
      <c r="A401" s="3">
        <v>45704.521331018521</v>
      </c>
      <c r="B401" t="s">
        <v>74</v>
      </c>
      <c r="C401" s="3">
        <v>45704.709479166668</v>
      </c>
      <c r="D401" t="s">
        <v>73</v>
      </c>
      <c r="E401" s="4">
        <v>92.5</v>
      </c>
      <c r="F401" s="4">
        <v>438008.93099999998</v>
      </c>
      <c r="G401" s="4">
        <v>438101.43099999998</v>
      </c>
      <c r="H401" s="5">
        <f>4040 / 86400</f>
        <v>4.6759259259259257E-2</v>
      </c>
      <c r="I401" t="s">
        <v>271</v>
      </c>
      <c r="J401" t="s">
        <v>33</v>
      </c>
      <c r="K401" s="5">
        <f>16256 / 86400</f>
        <v>0.18814814814814815</v>
      </c>
      <c r="L401" s="5">
        <f>608 / 86400</f>
        <v>7.037037037037037E-3</v>
      </c>
    </row>
    <row r="402" spans="1:12" x14ac:dyDescent="0.25">
      <c r="A402" s="3">
        <v>45704.716516203705</v>
      </c>
      <c r="B402" t="s">
        <v>73</v>
      </c>
      <c r="C402" s="3">
        <v>45704.719560185185</v>
      </c>
      <c r="D402" t="s">
        <v>40</v>
      </c>
      <c r="E402" s="4">
        <v>0.96399999999999997</v>
      </c>
      <c r="F402" s="4">
        <v>438101.43099999998</v>
      </c>
      <c r="G402" s="4">
        <v>438102.39500000002</v>
      </c>
      <c r="H402" s="5">
        <f>20 / 86400</f>
        <v>2.3148148148148149E-4</v>
      </c>
      <c r="I402" t="s">
        <v>166</v>
      </c>
      <c r="J402" t="s">
        <v>86</v>
      </c>
      <c r="K402" s="5">
        <f>262 / 86400</f>
        <v>3.0324074074074073E-3</v>
      </c>
      <c r="L402" s="5">
        <f>23153 / 86400</f>
        <v>0.26797453703703705</v>
      </c>
    </row>
    <row r="403" spans="1:12" x14ac:dyDescent="0.25">
      <c r="A403" s="3">
        <v>45704.987534722226</v>
      </c>
      <c r="B403" t="s">
        <v>40</v>
      </c>
      <c r="C403" s="3">
        <v>45704.987743055557</v>
      </c>
      <c r="D403" t="s">
        <v>40</v>
      </c>
      <c r="E403" s="4">
        <v>1E-3</v>
      </c>
      <c r="F403" s="4">
        <v>438102.39500000002</v>
      </c>
      <c r="G403" s="4">
        <v>438102.39600000001</v>
      </c>
      <c r="H403" s="5">
        <f>0 / 86400</f>
        <v>0</v>
      </c>
      <c r="I403" t="s">
        <v>55</v>
      </c>
      <c r="J403" t="s">
        <v>55</v>
      </c>
      <c r="K403" s="5">
        <f>18 / 86400</f>
        <v>2.0833333333333335E-4</v>
      </c>
      <c r="L403" s="5">
        <f>554 / 86400</f>
        <v>6.4120370370370373E-3</v>
      </c>
    </row>
    <row r="404" spans="1:12" x14ac:dyDescent="0.25">
      <c r="A404" s="3">
        <v>45704.994155092594</v>
      </c>
      <c r="B404" t="s">
        <v>40</v>
      </c>
      <c r="C404" s="3">
        <v>45704.996898148151</v>
      </c>
      <c r="D404" t="s">
        <v>40</v>
      </c>
      <c r="E404" s="4">
        <v>0</v>
      </c>
      <c r="F404" s="4">
        <v>438102.39600000001</v>
      </c>
      <c r="G404" s="4">
        <v>438102.39600000001</v>
      </c>
      <c r="H404" s="5">
        <f>219 / 86400</f>
        <v>2.5347222222222221E-3</v>
      </c>
      <c r="I404" t="s">
        <v>55</v>
      </c>
      <c r="J404" t="s">
        <v>55</v>
      </c>
      <c r="K404" s="5">
        <f>237 / 86400</f>
        <v>2.7430555555555554E-3</v>
      </c>
      <c r="L404" s="5">
        <f>207 / 86400</f>
        <v>2.3958333333333331E-3</v>
      </c>
    </row>
    <row r="405" spans="1:12" x14ac:dyDescent="0.25">
      <c r="A405" s="3">
        <v>45704.999293981484</v>
      </c>
      <c r="B405" t="s">
        <v>40</v>
      </c>
      <c r="C405" s="3">
        <v>45704.999826388885</v>
      </c>
      <c r="D405" t="s">
        <v>40</v>
      </c>
      <c r="E405" s="4">
        <v>0</v>
      </c>
      <c r="F405" s="4">
        <v>438102.39600000001</v>
      </c>
      <c r="G405" s="4">
        <v>438102.39600000001</v>
      </c>
      <c r="H405" s="5">
        <f>39 / 86400</f>
        <v>4.5138888888888887E-4</v>
      </c>
      <c r="I405" t="s">
        <v>55</v>
      </c>
      <c r="J405" t="s">
        <v>55</v>
      </c>
      <c r="K405" s="5">
        <f>46 / 86400</f>
        <v>5.3240740740740744E-4</v>
      </c>
      <c r="L405" s="5">
        <f>14 / 86400</f>
        <v>1.6203703703703703E-4</v>
      </c>
    </row>
    <row r="406" spans="1:1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</row>
    <row r="407" spans="1:1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</row>
    <row r="408" spans="1:12" s="10" customFormat="1" ht="20.100000000000001" customHeight="1" x14ac:dyDescent="0.35">
      <c r="A408" s="15" t="s">
        <v>388</v>
      </c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</row>
    <row r="410" spans="1:12" ht="30" x14ac:dyDescent="0.25">
      <c r="A410" s="2" t="s">
        <v>6</v>
      </c>
      <c r="B410" s="2" t="s">
        <v>7</v>
      </c>
      <c r="C410" s="2" t="s">
        <v>8</v>
      </c>
      <c r="D410" s="2" t="s">
        <v>9</v>
      </c>
      <c r="E410" s="2" t="s">
        <v>10</v>
      </c>
      <c r="F410" s="2" t="s">
        <v>11</v>
      </c>
      <c r="G410" s="2" t="s">
        <v>12</v>
      </c>
      <c r="H410" s="2" t="s">
        <v>13</v>
      </c>
      <c r="I410" s="2" t="s">
        <v>14</v>
      </c>
      <c r="J410" s="2" t="s">
        <v>15</v>
      </c>
      <c r="K410" s="2" t="s">
        <v>16</v>
      </c>
      <c r="L410" s="2" t="s">
        <v>17</v>
      </c>
    </row>
    <row r="411" spans="1:12" x14ac:dyDescent="0.25">
      <c r="A411" s="3">
        <v>45704.308657407411</v>
      </c>
      <c r="B411" t="s">
        <v>42</v>
      </c>
      <c r="C411" s="3">
        <v>45704.321400462963</v>
      </c>
      <c r="D411" t="s">
        <v>115</v>
      </c>
      <c r="E411" s="4">
        <v>3.8380000000000001</v>
      </c>
      <c r="F411" s="4">
        <v>54898.398999999998</v>
      </c>
      <c r="G411" s="4">
        <v>54902.237000000001</v>
      </c>
      <c r="H411" s="5">
        <f>79 / 86400</f>
        <v>9.1435185185185185E-4</v>
      </c>
      <c r="I411" t="s">
        <v>175</v>
      </c>
      <c r="J411" t="s">
        <v>86</v>
      </c>
      <c r="K411" s="5">
        <f>1100 / 86400</f>
        <v>1.2731481481481481E-2</v>
      </c>
      <c r="L411" s="5">
        <f>27518 / 86400</f>
        <v>0.31849537037037035</v>
      </c>
    </row>
    <row r="412" spans="1:12" x14ac:dyDescent="0.25">
      <c r="A412" s="3">
        <v>45704.331238425926</v>
      </c>
      <c r="B412" t="s">
        <v>115</v>
      </c>
      <c r="C412" s="3">
        <v>45704.337372685186</v>
      </c>
      <c r="D412" t="s">
        <v>294</v>
      </c>
      <c r="E412" s="4">
        <v>1.589</v>
      </c>
      <c r="F412" s="4">
        <v>54902.237000000001</v>
      </c>
      <c r="G412" s="4">
        <v>54903.826000000001</v>
      </c>
      <c r="H412" s="5">
        <f>199 / 86400</f>
        <v>2.3032407407407407E-3</v>
      </c>
      <c r="I412" t="s">
        <v>200</v>
      </c>
      <c r="J412" t="s">
        <v>143</v>
      </c>
      <c r="K412" s="5">
        <f>529 / 86400</f>
        <v>6.122685185185185E-3</v>
      </c>
      <c r="L412" s="5">
        <f>118 / 86400</f>
        <v>1.3657407407407407E-3</v>
      </c>
    </row>
    <row r="413" spans="1:12" x14ac:dyDescent="0.25">
      <c r="A413" s="3">
        <v>45704.338738425926</v>
      </c>
      <c r="B413" t="s">
        <v>294</v>
      </c>
      <c r="C413" s="3">
        <v>45704.438113425931</v>
      </c>
      <c r="D413" t="s">
        <v>295</v>
      </c>
      <c r="E413" s="4">
        <v>49.350999999999999</v>
      </c>
      <c r="F413" s="4">
        <v>54903.826000000001</v>
      </c>
      <c r="G413" s="4">
        <v>54953.177000000003</v>
      </c>
      <c r="H413" s="5">
        <f>2319 / 86400</f>
        <v>2.6840277777777779E-2</v>
      </c>
      <c r="I413" t="s">
        <v>38</v>
      </c>
      <c r="J413" t="s">
        <v>23</v>
      </c>
      <c r="K413" s="5">
        <f>8585 / 86400</f>
        <v>9.9363425925925924E-2</v>
      </c>
      <c r="L413" s="5">
        <f>33 / 86400</f>
        <v>3.8194444444444446E-4</v>
      </c>
    </row>
    <row r="414" spans="1:12" x14ac:dyDescent="0.25">
      <c r="A414" s="3">
        <v>45704.43849537037</v>
      </c>
      <c r="B414" t="s">
        <v>295</v>
      </c>
      <c r="C414" s="3">
        <v>45704.552453703705</v>
      </c>
      <c r="D414" t="s">
        <v>138</v>
      </c>
      <c r="E414" s="4">
        <v>46.524000000000001</v>
      </c>
      <c r="F414" s="4">
        <v>54953.177000000003</v>
      </c>
      <c r="G414" s="4">
        <v>54999.701000000001</v>
      </c>
      <c r="H414" s="5">
        <f>3248 / 86400</f>
        <v>3.7592592592592594E-2</v>
      </c>
      <c r="I414" t="s">
        <v>59</v>
      </c>
      <c r="J414" t="s">
        <v>48</v>
      </c>
      <c r="K414" s="5">
        <f>9846 / 86400</f>
        <v>0.11395833333333333</v>
      </c>
      <c r="L414" s="5">
        <f>1718 / 86400</f>
        <v>1.9884259259259258E-2</v>
      </c>
    </row>
    <row r="415" spans="1:12" x14ac:dyDescent="0.25">
      <c r="A415" s="3">
        <v>45704.572337962964</v>
      </c>
      <c r="B415" t="s">
        <v>138</v>
      </c>
      <c r="C415" s="3">
        <v>45704.57649305556</v>
      </c>
      <c r="D415" t="s">
        <v>138</v>
      </c>
      <c r="E415" s="4">
        <v>0.60199999999999998</v>
      </c>
      <c r="F415" s="4">
        <v>54999.701000000001</v>
      </c>
      <c r="G415" s="4">
        <v>55000.303</v>
      </c>
      <c r="H415" s="5">
        <f>139 / 86400</f>
        <v>1.6087962962962963E-3</v>
      </c>
      <c r="I415" t="s">
        <v>48</v>
      </c>
      <c r="J415" t="s">
        <v>88</v>
      </c>
      <c r="K415" s="5">
        <f>358 / 86400</f>
        <v>4.1435185185185186E-3</v>
      </c>
      <c r="L415" s="5">
        <f>49 / 86400</f>
        <v>5.6712962962962967E-4</v>
      </c>
    </row>
    <row r="416" spans="1:12" x14ac:dyDescent="0.25">
      <c r="A416" s="3">
        <v>45704.577060185184</v>
      </c>
      <c r="B416" t="s">
        <v>138</v>
      </c>
      <c r="C416" s="3">
        <v>45704.66783564815</v>
      </c>
      <c r="D416" t="s">
        <v>60</v>
      </c>
      <c r="E416" s="4">
        <v>43.512999999999998</v>
      </c>
      <c r="F416" s="4">
        <v>55000.303</v>
      </c>
      <c r="G416" s="4">
        <v>55043.815999999999</v>
      </c>
      <c r="H416" s="5">
        <f>2663 / 86400</f>
        <v>3.0821759259259261E-2</v>
      </c>
      <c r="I416" t="s">
        <v>43</v>
      </c>
      <c r="J416" t="s">
        <v>33</v>
      </c>
      <c r="K416" s="5">
        <f>7842 / 86400</f>
        <v>9.0763888888888894E-2</v>
      </c>
      <c r="L416" s="5">
        <f>51 / 86400</f>
        <v>5.9027777777777778E-4</v>
      </c>
    </row>
    <row r="417" spans="1:12" x14ac:dyDescent="0.25">
      <c r="A417" s="3">
        <v>45704.668425925927</v>
      </c>
      <c r="B417" t="s">
        <v>60</v>
      </c>
      <c r="C417" s="3">
        <v>45704.761030092588</v>
      </c>
      <c r="D417" t="s">
        <v>73</v>
      </c>
      <c r="E417" s="4">
        <v>46.613</v>
      </c>
      <c r="F417" s="4">
        <v>55043.815999999999</v>
      </c>
      <c r="G417" s="4">
        <v>55090.428999999996</v>
      </c>
      <c r="H417" s="5">
        <f>2059 / 86400</f>
        <v>2.3831018518518519E-2</v>
      </c>
      <c r="I417" t="s">
        <v>75</v>
      </c>
      <c r="J417" t="s">
        <v>23</v>
      </c>
      <c r="K417" s="5">
        <f>8000 / 86400</f>
        <v>9.2592592592592587E-2</v>
      </c>
      <c r="L417" s="5">
        <f>682 / 86400</f>
        <v>7.8935185185185185E-3</v>
      </c>
    </row>
    <row r="418" spans="1:12" x14ac:dyDescent="0.25">
      <c r="A418" s="3">
        <v>45704.768923611111</v>
      </c>
      <c r="B418" t="s">
        <v>73</v>
      </c>
      <c r="C418" s="3">
        <v>45704.769861111112</v>
      </c>
      <c r="D418" t="s">
        <v>294</v>
      </c>
      <c r="E418" s="4">
        <v>0.23100000000000001</v>
      </c>
      <c r="F418" s="4">
        <v>55090.428999999996</v>
      </c>
      <c r="G418" s="4">
        <v>55090.66</v>
      </c>
      <c r="H418" s="5">
        <f>0 / 86400</f>
        <v>0</v>
      </c>
      <c r="I418" t="s">
        <v>33</v>
      </c>
      <c r="J418" t="s">
        <v>151</v>
      </c>
      <c r="K418" s="5">
        <f>81 / 86400</f>
        <v>9.3749999999999997E-4</v>
      </c>
      <c r="L418" s="5">
        <f>421 / 86400</f>
        <v>4.8726851851851848E-3</v>
      </c>
    </row>
    <row r="419" spans="1:12" x14ac:dyDescent="0.25">
      <c r="A419" s="3">
        <v>45704.774733796294</v>
      </c>
      <c r="B419" t="s">
        <v>294</v>
      </c>
      <c r="C419" s="3">
        <v>45704.776909722219</v>
      </c>
      <c r="D419" t="s">
        <v>21</v>
      </c>
      <c r="E419" s="4">
        <v>0.35699999999999998</v>
      </c>
      <c r="F419" s="4">
        <v>55090.66</v>
      </c>
      <c r="G419" s="4">
        <v>55091.017</v>
      </c>
      <c r="H419" s="5">
        <f>79 / 86400</f>
        <v>9.1435185185185185E-4</v>
      </c>
      <c r="I419" t="s">
        <v>68</v>
      </c>
      <c r="J419" t="s">
        <v>136</v>
      </c>
      <c r="K419" s="5">
        <f>188 / 86400</f>
        <v>2.1759259259259258E-3</v>
      </c>
      <c r="L419" s="5">
        <f>19274 / 86400</f>
        <v>0.2230787037037037</v>
      </c>
    </row>
    <row r="420" spans="1:1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</row>
    <row r="421" spans="1:1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</row>
    <row r="422" spans="1:12" s="10" customFormat="1" ht="20.100000000000001" customHeight="1" x14ac:dyDescent="0.35">
      <c r="A422" s="15" t="s">
        <v>389</v>
      </c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</row>
    <row r="424" spans="1:12" ht="30" x14ac:dyDescent="0.25">
      <c r="A424" s="2" t="s">
        <v>6</v>
      </c>
      <c r="B424" s="2" t="s">
        <v>7</v>
      </c>
      <c r="C424" s="2" t="s">
        <v>8</v>
      </c>
      <c r="D424" s="2" t="s">
        <v>9</v>
      </c>
      <c r="E424" s="2" t="s">
        <v>10</v>
      </c>
      <c r="F424" s="2" t="s">
        <v>11</v>
      </c>
      <c r="G424" s="2" t="s">
        <v>12</v>
      </c>
      <c r="H424" s="2" t="s">
        <v>13</v>
      </c>
      <c r="I424" s="2" t="s">
        <v>14</v>
      </c>
      <c r="J424" s="2" t="s">
        <v>15</v>
      </c>
      <c r="K424" s="2" t="s">
        <v>16</v>
      </c>
      <c r="L424" s="2" t="s">
        <v>17</v>
      </c>
    </row>
    <row r="425" spans="1:12" x14ac:dyDescent="0.25">
      <c r="A425" s="3">
        <v>45704.244513888887</v>
      </c>
      <c r="B425" t="s">
        <v>45</v>
      </c>
      <c r="C425" s="3">
        <v>45704.262060185181</v>
      </c>
      <c r="D425" t="s">
        <v>115</v>
      </c>
      <c r="E425" s="4">
        <v>0.88500000000000001</v>
      </c>
      <c r="F425" s="4">
        <v>216721.152</v>
      </c>
      <c r="G425" s="4">
        <v>216722.03700000001</v>
      </c>
      <c r="H425" s="5">
        <f>1239 / 86400</f>
        <v>1.4340277777777778E-2</v>
      </c>
      <c r="I425" t="s">
        <v>20</v>
      </c>
      <c r="J425" t="s">
        <v>129</v>
      </c>
      <c r="K425" s="5">
        <f>1515 / 86400</f>
        <v>1.7534722222222222E-2</v>
      </c>
      <c r="L425" s="5">
        <f>21129 / 86400</f>
        <v>0.24454861111111112</v>
      </c>
    </row>
    <row r="426" spans="1:12" x14ac:dyDescent="0.25">
      <c r="A426" s="3">
        <v>45704.262094907404</v>
      </c>
      <c r="B426" t="s">
        <v>115</v>
      </c>
      <c r="C426" s="3">
        <v>45704.262210648143</v>
      </c>
      <c r="D426" t="s">
        <v>115</v>
      </c>
      <c r="E426" s="4">
        <v>0</v>
      </c>
      <c r="F426" s="4">
        <v>216722.03700000001</v>
      </c>
      <c r="G426" s="4">
        <v>216722.03700000001</v>
      </c>
      <c r="H426" s="5">
        <f>1 / 86400</f>
        <v>1.1574074074074073E-5</v>
      </c>
      <c r="I426" t="s">
        <v>55</v>
      </c>
      <c r="J426" t="s">
        <v>55</v>
      </c>
      <c r="K426" s="5">
        <f>10 / 86400</f>
        <v>1.1574074074074075E-4</v>
      </c>
      <c r="L426" s="5">
        <f>1354 / 86400</f>
        <v>1.5671296296296298E-2</v>
      </c>
    </row>
    <row r="427" spans="1:12" x14ac:dyDescent="0.25">
      <c r="A427" s="3">
        <v>45704.277881944443</v>
      </c>
      <c r="B427" t="s">
        <v>115</v>
      </c>
      <c r="C427" s="3">
        <v>45704.279583333337</v>
      </c>
      <c r="D427" t="s">
        <v>153</v>
      </c>
      <c r="E427" s="4">
        <v>0.66800000000000004</v>
      </c>
      <c r="F427" s="4">
        <v>216722.03700000001</v>
      </c>
      <c r="G427" s="4">
        <v>216722.70499999999</v>
      </c>
      <c r="H427" s="5">
        <f>0 / 86400</f>
        <v>0</v>
      </c>
      <c r="I427" t="s">
        <v>29</v>
      </c>
      <c r="J427" t="s">
        <v>133</v>
      </c>
      <c r="K427" s="5">
        <f>146 / 86400</f>
        <v>1.6898148148148148E-3</v>
      </c>
      <c r="L427" s="5">
        <f>3169 / 86400</f>
        <v>3.667824074074074E-2</v>
      </c>
    </row>
    <row r="428" spans="1:12" x14ac:dyDescent="0.25">
      <c r="A428" s="3">
        <v>45704.316261574073</v>
      </c>
      <c r="B428" t="s">
        <v>153</v>
      </c>
      <c r="C428" s="3">
        <v>45704.31832175926</v>
      </c>
      <c r="D428" t="s">
        <v>45</v>
      </c>
      <c r="E428" s="4">
        <v>0.28899999999999998</v>
      </c>
      <c r="F428" s="4">
        <v>216722.70499999999</v>
      </c>
      <c r="G428" s="4">
        <v>216722.99400000001</v>
      </c>
      <c r="H428" s="5">
        <f>40 / 86400</f>
        <v>4.6296296296296298E-4</v>
      </c>
      <c r="I428" t="s">
        <v>48</v>
      </c>
      <c r="J428" t="s">
        <v>88</v>
      </c>
      <c r="K428" s="5">
        <f>178 / 86400</f>
        <v>2.0601851851851853E-3</v>
      </c>
      <c r="L428" s="5">
        <f>75 / 86400</f>
        <v>8.6805555555555551E-4</v>
      </c>
    </row>
    <row r="429" spans="1:12" x14ac:dyDescent="0.25">
      <c r="A429" s="3">
        <v>45704.319189814814</v>
      </c>
      <c r="B429" t="s">
        <v>45</v>
      </c>
      <c r="C429" s="3">
        <v>45704.31925925926</v>
      </c>
      <c r="D429" t="s">
        <v>45</v>
      </c>
      <c r="E429" s="4">
        <v>0</v>
      </c>
      <c r="F429" s="4">
        <v>216722.99400000001</v>
      </c>
      <c r="G429" s="4">
        <v>216722.99400000001</v>
      </c>
      <c r="H429" s="5">
        <f>0 / 86400</f>
        <v>0</v>
      </c>
      <c r="I429" t="s">
        <v>55</v>
      </c>
      <c r="J429" t="s">
        <v>55</v>
      </c>
      <c r="K429" s="5">
        <f>5 / 86400</f>
        <v>5.7870370370370373E-5</v>
      </c>
      <c r="L429" s="5">
        <f>2094 / 86400</f>
        <v>2.4236111111111111E-2</v>
      </c>
    </row>
    <row r="430" spans="1:12" x14ac:dyDescent="0.25">
      <c r="A430" s="3">
        <v>45704.343495370369</v>
      </c>
      <c r="B430" t="s">
        <v>45</v>
      </c>
      <c r="C430" s="3">
        <v>45704.615914351853</v>
      </c>
      <c r="D430" t="s">
        <v>45</v>
      </c>
      <c r="E430" s="4">
        <v>109.155</v>
      </c>
      <c r="F430" s="4">
        <v>216722.99400000001</v>
      </c>
      <c r="G430" s="4">
        <v>216832.149</v>
      </c>
      <c r="H430" s="5">
        <f>7967 / 86400</f>
        <v>9.2210648148148153E-2</v>
      </c>
      <c r="I430" t="s">
        <v>156</v>
      </c>
      <c r="J430" t="s">
        <v>48</v>
      </c>
      <c r="K430" s="5">
        <f>23537 / 86400</f>
        <v>0.27241898148148147</v>
      </c>
      <c r="L430" s="5">
        <f>174 / 86400</f>
        <v>2.0138888888888888E-3</v>
      </c>
    </row>
    <row r="431" spans="1:12" x14ac:dyDescent="0.25">
      <c r="A431" s="3">
        <v>45704.617928240739</v>
      </c>
      <c r="B431" t="s">
        <v>45</v>
      </c>
      <c r="C431" s="3">
        <v>45704.61819444444</v>
      </c>
      <c r="D431" t="s">
        <v>45</v>
      </c>
      <c r="E431" s="4">
        <v>1E-3</v>
      </c>
      <c r="F431" s="4">
        <v>216832.149</v>
      </c>
      <c r="G431" s="4">
        <v>216832.15</v>
      </c>
      <c r="H431" s="5">
        <f>0 / 86400</f>
        <v>0</v>
      </c>
      <c r="I431" t="s">
        <v>128</v>
      </c>
      <c r="J431" t="s">
        <v>55</v>
      </c>
      <c r="K431" s="5">
        <f>23 / 86400</f>
        <v>2.6620370370370372E-4</v>
      </c>
      <c r="L431" s="5">
        <f>107 / 86400</f>
        <v>1.238425925925926E-3</v>
      </c>
    </row>
    <row r="432" spans="1:12" x14ac:dyDescent="0.25">
      <c r="A432" s="3">
        <v>45704.619432870371</v>
      </c>
      <c r="B432" t="s">
        <v>45</v>
      </c>
      <c r="C432" s="3">
        <v>45704.619571759264</v>
      </c>
      <c r="D432" t="s">
        <v>45</v>
      </c>
      <c r="E432" s="4">
        <v>0</v>
      </c>
      <c r="F432" s="4">
        <v>216832.15</v>
      </c>
      <c r="G432" s="4">
        <v>216832.15</v>
      </c>
      <c r="H432" s="5">
        <f>0 / 86400</f>
        <v>0</v>
      </c>
      <c r="I432" t="s">
        <v>55</v>
      </c>
      <c r="J432" t="s">
        <v>55</v>
      </c>
      <c r="K432" s="5">
        <f>12 / 86400</f>
        <v>1.3888888888888889E-4</v>
      </c>
      <c r="L432" s="5">
        <f>2535 / 86400</f>
        <v>2.9340277777777778E-2</v>
      </c>
    </row>
    <row r="433" spans="1:12" x14ac:dyDescent="0.25">
      <c r="A433" s="3">
        <v>45704.648912037039</v>
      </c>
      <c r="B433" t="s">
        <v>45</v>
      </c>
      <c r="C433" s="3">
        <v>45704.987870370373</v>
      </c>
      <c r="D433" t="s">
        <v>46</v>
      </c>
      <c r="E433" s="4">
        <v>151.91399999999999</v>
      </c>
      <c r="F433" s="4">
        <v>216832.15</v>
      </c>
      <c r="G433" s="4">
        <v>216984.06400000001</v>
      </c>
      <c r="H433" s="5">
        <f>9460 / 86400</f>
        <v>0.10949074074074074</v>
      </c>
      <c r="I433" t="s">
        <v>47</v>
      </c>
      <c r="J433" t="s">
        <v>44</v>
      </c>
      <c r="K433" s="5">
        <f>29285 / 86400</f>
        <v>0.33894675925925927</v>
      </c>
      <c r="L433" s="5">
        <f>1047 / 86400</f>
        <v>1.2118055555555556E-2</v>
      </c>
    </row>
    <row r="434" spans="1:1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</row>
    <row r="435" spans="1:1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</row>
    <row r="436" spans="1:12" s="10" customFormat="1" ht="20.100000000000001" customHeight="1" x14ac:dyDescent="0.35">
      <c r="A436" s="15" t="s">
        <v>390</v>
      </c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</row>
    <row r="438" spans="1:12" ht="30" x14ac:dyDescent="0.25">
      <c r="A438" s="2" t="s">
        <v>6</v>
      </c>
      <c r="B438" s="2" t="s">
        <v>7</v>
      </c>
      <c r="C438" s="2" t="s">
        <v>8</v>
      </c>
      <c r="D438" s="2" t="s">
        <v>9</v>
      </c>
      <c r="E438" s="2" t="s">
        <v>10</v>
      </c>
      <c r="F438" s="2" t="s">
        <v>11</v>
      </c>
      <c r="G438" s="2" t="s">
        <v>12</v>
      </c>
      <c r="H438" s="2" t="s">
        <v>13</v>
      </c>
      <c r="I438" s="2" t="s">
        <v>14</v>
      </c>
      <c r="J438" s="2" t="s">
        <v>15</v>
      </c>
      <c r="K438" s="2" t="s">
        <v>16</v>
      </c>
      <c r="L438" s="2" t="s">
        <v>17</v>
      </c>
    </row>
    <row r="439" spans="1:12" x14ac:dyDescent="0.25">
      <c r="A439" s="3">
        <v>45704.277743055558</v>
      </c>
      <c r="B439" t="s">
        <v>49</v>
      </c>
      <c r="C439" s="3">
        <v>45704.285856481481</v>
      </c>
      <c r="D439" t="s">
        <v>287</v>
      </c>
      <c r="E439" s="4">
        <v>1.5529999999403954</v>
      </c>
      <c r="F439" s="4">
        <v>525712.63800000004</v>
      </c>
      <c r="G439" s="4">
        <v>525714.19099999999</v>
      </c>
      <c r="H439" s="5">
        <f>339 / 86400</f>
        <v>3.9236111111111112E-3</v>
      </c>
      <c r="I439" t="s">
        <v>116</v>
      </c>
      <c r="J439" t="s">
        <v>119</v>
      </c>
      <c r="K439" s="5">
        <f>701 / 86400</f>
        <v>8.1134259259259267E-3</v>
      </c>
      <c r="L439" s="5">
        <f>29023 / 86400</f>
        <v>0.33591435185185187</v>
      </c>
    </row>
    <row r="440" spans="1:12" x14ac:dyDescent="0.25">
      <c r="A440" s="3">
        <v>45704.344027777777</v>
      </c>
      <c r="B440" t="s">
        <v>287</v>
      </c>
      <c r="C440" s="3">
        <v>45704.416967592595</v>
      </c>
      <c r="D440" t="s">
        <v>296</v>
      </c>
      <c r="E440" s="4">
        <v>30.943999999999999</v>
      </c>
      <c r="F440" s="4">
        <v>525714.19099999999</v>
      </c>
      <c r="G440" s="4">
        <v>525745.13500000001</v>
      </c>
      <c r="H440" s="5">
        <f>1580 / 86400</f>
        <v>1.8287037037037036E-2</v>
      </c>
      <c r="I440" t="s">
        <v>241</v>
      </c>
      <c r="J440" t="s">
        <v>51</v>
      </c>
      <c r="K440" s="5">
        <f>6301 / 86400</f>
        <v>7.2928240740740738E-2</v>
      </c>
      <c r="L440" s="5">
        <f>1403 / 86400</f>
        <v>1.6238425925925927E-2</v>
      </c>
    </row>
    <row r="441" spans="1:12" x14ac:dyDescent="0.25">
      <c r="A441" s="3">
        <v>45704.433206018519</v>
      </c>
      <c r="B441" t="s">
        <v>296</v>
      </c>
      <c r="C441" s="3">
        <v>45704.565636574072</v>
      </c>
      <c r="D441" t="s">
        <v>297</v>
      </c>
      <c r="E441" s="4">
        <v>54.307000000059602</v>
      </c>
      <c r="F441" s="4">
        <v>525745.13500000001</v>
      </c>
      <c r="G441" s="4">
        <v>525799.44200000004</v>
      </c>
      <c r="H441" s="5">
        <f>3506 / 86400</f>
        <v>4.0578703703703707E-2</v>
      </c>
      <c r="I441" t="s">
        <v>50</v>
      </c>
      <c r="J441" t="s">
        <v>48</v>
      </c>
      <c r="K441" s="5">
        <f>11442 / 86400</f>
        <v>0.13243055555555555</v>
      </c>
      <c r="L441" s="5">
        <f>3020 / 86400</f>
        <v>3.4953703703703702E-2</v>
      </c>
    </row>
    <row r="442" spans="1:12" x14ac:dyDescent="0.25">
      <c r="A442" s="3">
        <v>45704.600590277776</v>
      </c>
      <c r="B442" t="s">
        <v>297</v>
      </c>
      <c r="C442" s="3">
        <v>45704.603032407409</v>
      </c>
      <c r="D442" t="s">
        <v>73</v>
      </c>
      <c r="E442" s="4">
        <v>0.89200000000000002</v>
      </c>
      <c r="F442" s="4">
        <v>525799.44200000004</v>
      </c>
      <c r="G442" s="4">
        <v>525800.33400000003</v>
      </c>
      <c r="H442" s="5">
        <f>20 / 86400</f>
        <v>2.3148148148148149E-4</v>
      </c>
      <c r="I442" t="s">
        <v>159</v>
      </c>
      <c r="J442" t="s">
        <v>279</v>
      </c>
      <c r="K442" s="5">
        <f>210 / 86400</f>
        <v>2.4305555555555556E-3</v>
      </c>
      <c r="L442" s="5">
        <f>487 / 86400</f>
        <v>5.6365740740740742E-3</v>
      </c>
    </row>
    <row r="443" spans="1:12" x14ac:dyDescent="0.25">
      <c r="A443" s="3">
        <v>45704.608668981484</v>
      </c>
      <c r="B443" t="s">
        <v>73</v>
      </c>
      <c r="C443" s="3">
        <v>45704.611516203702</v>
      </c>
      <c r="D443" t="s">
        <v>140</v>
      </c>
      <c r="E443" s="4">
        <v>0.85599999988079067</v>
      </c>
      <c r="F443" s="4">
        <v>525800.33400000003</v>
      </c>
      <c r="G443" s="4">
        <v>525801.18999999994</v>
      </c>
      <c r="H443" s="5">
        <f>40 / 86400</f>
        <v>4.6296296296296298E-4</v>
      </c>
      <c r="I443" t="s">
        <v>170</v>
      </c>
      <c r="J443" t="s">
        <v>86</v>
      </c>
      <c r="K443" s="5">
        <f>245 / 86400</f>
        <v>2.8356481481481483E-3</v>
      </c>
      <c r="L443" s="5">
        <f>112 / 86400</f>
        <v>1.2962962962962963E-3</v>
      </c>
    </row>
    <row r="444" spans="1:12" x14ac:dyDescent="0.25">
      <c r="A444" s="3">
        <v>45704.612812499996</v>
      </c>
      <c r="B444" t="s">
        <v>140</v>
      </c>
      <c r="C444" s="3">
        <v>45704.613043981481</v>
      </c>
      <c r="D444" t="s">
        <v>141</v>
      </c>
      <c r="E444" s="4">
        <v>1.3000000059604645E-2</v>
      </c>
      <c r="F444" s="4">
        <v>525801.18999999994</v>
      </c>
      <c r="G444" s="4">
        <v>525801.20299999998</v>
      </c>
      <c r="H444" s="5">
        <f>0 / 86400</f>
        <v>0</v>
      </c>
      <c r="I444" t="s">
        <v>127</v>
      </c>
      <c r="J444" t="s">
        <v>129</v>
      </c>
      <c r="K444" s="5">
        <f>20 / 86400</f>
        <v>2.3148148148148149E-4</v>
      </c>
      <c r="L444" s="5">
        <f>102 / 86400</f>
        <v>1.1805555555555556E-3</v>
      </c>
    </row>
    <row r="445" spans="1:12" x14ac:dyDescent="0.25">
      <c r="A445" s="3">
        <v>45704.614224537036</v>
      </c>
      <c r="B445" t="s">
        <v>140</v>
      </c>
      <c r="C445" s="3">
        <v>45704.614699074074</v>
      </c>
      <c r="D445" t="s">
        <v>140</v>
      </c>
      <c r="E445" s="4">
        <v>0.01</v>
      </c>
      <c r="F445" s="4">
        <v>525801.20299999998</v>
      </c>
      <c r="G445" s="4">
        <v>525801.21299999999</v>
      </c>
      <c r="H445" s="5">
        <f>19 / 86400</f>
        <v>2.199074074074074E-4</v>
      </c>
      <c r="I445" t="s">
        <v>127</v>
      </c>
      <c r="J445" t="s">
        <v>128</v>
      </c>
      <c r="K445" s="5">
        <f>40 / 86400</f>
        <v>4.6296296296296298E-4</v>
      </c>
      <c r="L445" s="5">
        <f>172 / 86400</f>
        <v>1.9907407407407408E-3</v>
      </c>
    </row>
    <row r="446" spans="1:12" x14ac:dyDescent="0.25">
      <c r="A446" s="3">
        <v>45704.616689814815</v>
      </c>
      <c r="B446" t="s">
        <v>140</v>
      </c>
      <c r="C446" s="3">
        <v>45704.616875</v>
      </c>
      <c r="D446" t="s">
        <v>140</v>
      </c>
      <c r="E446" s="4">
        <v>3.9999999403953551E-3</v>
      </c>
      <c r="F446" s="4">
        <v>525801.21299999999</v>
      </c>
      <c r="G446" s="4">
        <v>525801.21699999995</v>
      </c>
      <c r="H446" s="5">
        <f>0 / 86400</f>
        <v>0</v>
      </c>
      <c r="I446" t="s">
        <v>55</v>
      </c>
      <c r="J446" t="s">
        <v>128</v>
      </c>
      <c r="K446" s="5">
        <f>15 / 86400</f>
        <v>1.7361111111111112E-4</v>
      </c>
      <c r="L446" s="5">
        <f>328 / 86400</f>
        <v>3.7962962962962963E-3</v>
      </c>
    </row>
    <row r="447" spans="1:12" x14ac:dyDescent="0.25">
      <c r="A447" s="3">
        <v>45704.620671296296</v>
      </c>
      <c r="B447" t="s">
        <v>140</v>
      </c>
      <c r="C447" s="3">
        <v>45704.620821759258</v>
      </c>
      <c r="D447" t="s">
        <v>141</v>
      </c>
      <c r="E447" s="4">
        <v>8.0000000596046443E-3</v>
      </c>
      <c r="F447" s="4">
        <v>525801.21699999995</v>
      </c>
      <c r="G447" s="4">
        <v>525801.22499999998</v>
      </c>
      <c r="H447" s="5">
        <f>0 / 86400</f>
        <v>0</v>
      </c>
      <c r="I447" t="s">
        <v>127</v>
      </c>
      <c r="J447" t="s">
        <v>129</v>
      </c>
      <c r="K447" s="5">
        <f>13 / 86400</f>
        <v>1.5046296296296297E-4</v>
      </c>
      <c r="L447" s="5">
        <f>529 / 86400</f>
        <v>6.122685185185185E-3</v>
      </c>
    </row>
    <row r="448" spans="1:12" x14ac:dyDescent="0.25">
      <c r="A448" s="3">
        <v>45704.626944444448</v>
      </c>
      <c r="B448" t="s">
        <v>141</v>
      </c>
      <c r="C448" s="3">
        <v>45704.728310185186</v>
      </c>
      <c r="D448" t="s">
        <v>296</v>
      </c>
      <c r="E448" s="4">
        <v>51.213999999999999</v>
      </c>
      <c r="F448" s="4">
        <v>525801.22499999998</v>
      </c>
      <c r="G448" s="4">
        <v>525852.43900000001</v>
      </c>
      <c r="H448" s="5">
        <f>1621 / 86400</f>
        <v>1.8761574074074073E-2</v>
      </c>
      <c r="I448" t="s">
        <v>43</v>
      </c>
      <c r="J448" t="s">
        <v>23</v>
      </c>
      <c r="K448" s="5">
        <f>8758 / 86400</f>
        <v>0.10136574074074074</v>
      </c>
      <c r="L448" s="5">
        <f>1344 / 86400</f>
        <v>1.5555555555555555E-2</v>
      </c>
    </row>
    <row r="449" spans="1:12" x14ac:dyDescent="0.25">
      <c r="A449" s="3">
        <v>45704.74386574074</v>
      </c>
      <c r="B449" t="s">
        <v>296</v>
      </c>
      <c r="C449" s="3">
        <v>45704.81868055556</v>
      </c>
      <c r="D449" t="s">
        <v>70</v>
      </c>
      <c r="E449" s="4">
        <v>32.959000000059604</v>
      </c>
      <c r="F449" s="4">
        <v>525852.43900000001</v>
      </c>
      <c r="G449" s="4">
        <v>525885.39800000004</v>
      </c>
      <c r="H449" s="5">
        <f>1800 / 86400</f>
        <v>2.0833333333333332E-2</v>
      </c>
      <c r="I449" t="s">
        <v>75</v>
      </c>
      <c r="J449" t="s">
        <v>51</v>
      </c>
      <c r="K449" s="5">
        <f>6464 / 86400</f>
        <v>7.481481481481482E-2</v>
      </c>
      <c r="L449" s="5">
        <f>534 / 86400</f>
        <v>6.1805555555555555E-3</v>
      </c>
    </row>
    <row r="450" spans="1:12" x14ac:dyDescent="0.25">
      <c r="A450" s="3">
        <v>45704.824861111112</v>
      </c>
      <c r="B450" t="s">
        <v>70</v>
      </c>
      <c r="C450" s="3">
        <v>45704.831388888888</v>
      </c>
      <c r="D450" t="s">
        <v>49</v>
      </c>
      <c r="E450" s="4">
        <v>2.1799999999403954</v>
      </c>
      <c r="F450" s="4">
        <v>525885.39800000004</v>
      </c>
      <c r="G450" s="4">
        <v>525887.57799999998</v>
      </c>
      <c r="H450" s="5">
        <f>59 / 86400</f>
        <v>6.8287037037037036E-4</v>
      </c>
      <c r="I450" t="s">
        <v>237</v>
      </c>
      <c r="J450" t="s">
        <v>158</v>
      </c>
      <c r="K450" s="5">
        <f>564 / 86400</f>
        <v>6.5277777777777782E-3</v>
      </c>
      <c r="L450" s="5">
        <f>14567 / 86400</f>
        <v>0.16859953703703703</v>
      </c>
    </row>
    <row r="451" spans="1:1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</row>
    <row r="452" spans="1:1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</row>
    <row r="453" spans="1:12" s="10" customFormat="1" ht="20.100000000000001" customHeight="1" x14ac:dyDescent="0.35">
      <c r="A453" s="15" t="s">
        <v>391</v>
      </c>
      <c r="B453" s="15"/>
      <c r="C453" s="15"/>
      <c r="D453" s="15"/>
      <c r="E453" s="15"/>
      <c r="F453" s="15"/>
      <c r="G453" s="15"/>
      <c r="H453" s="15"/>
      <c r="I453" s="15"/>
      <c r="J453" s="15"/>
    </row>
    <row r="454" spans="1:1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</row>
    <row r="455" spans="1:12" ht="30" x14ac:dyDescent="0.25">
      <c r="A455" s="2" t="s">
        <v>6</v>
      </c>
      <c r="B455" s="2" t="s">
        <v>7</v>
      </c>
      <c r="C455" s="2" t="s">
        <v>8</v>
      </c>
      <c r="D455" s="2" t="s">
        <v>9</v>
      </c>
      <c r="E455" s="2" t="s">
        <v>10</v>
      </c>
      <c r="F455" s="2" t="s">
        <v>11</v>
      </c>
      <c r="G455" s="2" t="s">
        <v>12</v>
      </c>
      <c r="H455" s="2" t="s">
        <v>13</v>
      </c>
      <c r="I455" s="2" t="s">
        <v>14</v>
      </c>
      <c r="J455" s="2" t="s">
        <v>15</v>
      </c>
      <c r="K455" s="2" t="s">
        <v>16</v>
      </c>
      <c r="L455" s="2" t="s">
        <v>17</v>
      </c>
    </row>
    <row r="456" spans="1:12" x14ac:dyDescent="0.25">
      <c r="A456" s="3">
        <v>45704.261284722219</v>
      </c>
      <c r="B456" t="s">
        <v>52</v>
      </c>
      <c r="C456" s="3">
        <v>45704.264456018514</v>
      </c>
      <c r="D456" t="s">
        <v>121</v>
      </c>
      <c r="E456" s="4">
        <v>0.34599999999999997</v>
      </c>
      <c r="F456" s="4">
        <v>426303.70500000002</v>
      </c>
      <c r="G456" s="4">
        <v>426304.05099999998</v>
      </c>
      <c r="H456" s="5">
        <f>200 / 86400</f>
        <v>2.3148148148148147E-3</v>
      </c>
      <c r="I456" t="s">
        <v>44</v>
      </c>
      <c r="J456" t="s">
        <v>127</v>
      </c>
      <c r="K456" s="5">
        <f>274 / 86400</f>
        <v>3.1712962962962962E-3</v>
      </c>
      <c r="L456" s="5">
        <f>22849 / 86400</f>
        <v>0.26445601851851852</v>
      </c>
    </row>
    <row r="457" spans="1:12" x14ac:dyDescent="0.25">
      <c r="A457" s="3">
        <v>45704.26762731481</v>
      </c>
      <c r="B457" t="s">
        <v>121</v>
      </c>
      <c r="C457" s="3">
        <v>45704.277824074074</v>
      </c>
      <c r="D457" t="s">
        <v>114</v>
      </c>
      <c r="E457" s="4">
        <v>5.9660000000000002</v>
      </c>
      <c r="F457" s="4">
        <v>426304.05099999998</v>
      </c>
      <c r="G457" s="4">
        <v>426310.01699999999</v>
      </c>
      <c r="H457" s="5">
        <f>200 / 86400</f>
        <v>2.3148148148148147E-3</v>
      </c>
      <c r="I457" t="s">
        <v>184</v>
      </c>
      <c r="J457" t="s">
        <v>68</v>
      </c>
      <c r="K457" s="5">
        <f>881 / 86400</f>
        <v>1.019675925925926E-2</v>
      </c>
      <c r="L457" s="5">
        <f>81 / 86400</f>
        <v>9.3749999999999997E-4</v>
      </c>
    </row>
    <row r="458" spans="1:12" x14ac:dyDescent="0.25">
      <c r="A458" s="3">
        <v>45704.278761574074</v>
      </c>
      <c r="B458" t="s">
        <v>228</v>
      </c>
      <c r="C458" s="3">
        <v>45704.280381944445</v>
      </c>
      <c r="D458" t="s">
        <v>228</v>
      </c>
      <c r="E458" s="4">
        <v>1E-3</v>
      </c>
      <c r="F458" s="4">
        <v>426310.01699999999</v>
      </c>
      <c r="G458" s="4">
        <v>426310.01799999998</v>
      </c>
      <c r="H458" s="5">
        <f>119 / 86400</f>
        <v>1.3773148148148147E-3</v>
      </c>
      <c r="I458" t="s">
        <v>55</v>
      </c>
      <c r="J458" t="s">
        <v>55</v>
      </c>
      <c r="K458" s="5">
        <f>139 / 86400</f>
        <v>1.6087962962962963E-3</v>
      </c>
      <c r="L458" s="5">
        <f>83 / 86400</f>
        <v>9.6064814814814819E-4</v>
      </c>
    </row>
    <row r="459" spans="1:12" x14ac:dyDescent="0.25">
      <c r="A459" s="3">
        <v>45704.281342592592</v>
      </c>
      <c r="B459" t="s">
        <v>228</v>
      </c>
      <c r="C459" s="3">
        <v>45704.353645833333</v>
      </c>
      <c r="D459" t="s">
        <v>74</v>
      </c>
      <c r="E459" s="4">
        <v>40.44</v>
      </c>
      <c r="F459" s="4">
        <v>426310.01799999998</v>
      </c>
      <c r="G459" s="4">
        <v>426350.45799999998</v>
      </c>
      <c r="H459" s="5">
        <f>1239 / 86400</f>
        <v>1.4340277777777778E-2</v>
      </c>
      <c r="I459" t="s">
        <v>124</v>
      </c>
      <c r="J459" t="s">
        <v>27</v>
      </c>
      <c r="K459" s="5">
        <f>6246 / 86400</f>
        <v>7.2291666666666671E-2</v>
      </c>
      <c r="L459" s="5">
        <f>1721 / 86400</f>
        <v>1.9918981481481482E-2</v>
      </c>
    </row>
    <row r="460" spans="1:12" x14ac:dyDescent="0.25">
      <c r="A460" s="3">
        <v>45704.373564814814</v>
      </c>
      <c r="B460" t="s">
        <v>74</v>
      </c>
      <c r="C460" s="3">
        <v>45704.378877314812</v>
      </c>
      <c r="D460" t="s">
        <v>115</v>
      </c>
      <c r="E460" s="4">
        <v>1.2689999999999999</v>
      </c>
      <c r="F460" s="4">
        <v>426350.45799999998</v>
      </c>
      <c r="G460" s="4">
        <v>426351.72700000001</v>
      </c>
      <c r="H460" s="5">
        <f>159 / 86400</f>
        <v>1.8402777777777777E-3</v>
      </c>
      <c r="I460" t="s">
        <v>200</v>
      </c>
      <c r="J460" t="s">
        <v>151</v>
      </c>
      <c r="K460" s="5">
        <f>458 / 86400</f>
        <v>5.3009259259259259E-3</v>
      </c>
      <c r="L460" s="5">
        <f>2448 / 86400</f>
        <v>2.8333333333333332E-2</v>
      </c>
    </row>
    <row r="461" spans="1:12" x14ac:dyDescent="0.25">
      <c r="A461" s="3">
        <v>45704.407210648147</v>
      </c>
      <c r="B461" t="s">
        <v>115</v>
      </c>
      <c r="C461" s="3">
        <v>45704.519976851851</v>
      </c>
      <c r="D461" t="s">
        <v>298</v>
      </c>
      <c r="E461" s="4">
        <v>52.475000000000001</v>
      </c>
      <c r="F461" s="4">
        <v>426351.72700000001</v>
      </c>
      <c r="G461" s="4">
        <v>426404.20199999999</v>
      </c>
      <c r="H461" s="5">
        <f>2440 / 86400</f>
        <v>2.824074074074074E-2</v>
      </c>
      <c r="I461" t="s">
        <v>53</v>
      </c>
      <c r="J461" t="s">
        <v>44</v>
      </c>
      <c r="K461" s="5">
        <f>9743 / 86400</f>
        <v>0.1127662037037037</v>
      </c>
      <c r="L461" s="5">
        <f>241 / 86400</f>
        <v>2.7893518518518519E-3</v>
      </c>
    </row>
    <row r="462" spans="1:12" x14ac:dyDescent="0.25">
      <c r="A462" s="3">
        <v>45704.522766203707</v>
      </c>
      <c r="B462" t="s">
        <v>298</v>
      </c>
      <c r="C462" s="3">
        <v>45704.64167824074</v>
      </c>
      <c r="D462" t="s">
        <v>297</v>
      </c>
      <c r="E462" s="4">
        <v>50.658999999999999</v>
      </c>
      <c r="F462" s="4">
        <v>426404.20199999999</v>
      </c>
      <c r="G462" s="4">
        <v>426454.86099999998</v>
      </c>
      <c r="H462" s="5">
        <f>3281 / 86400</f>
        <v>3.7974537037037036E-2</v>
      </c>
      <c r="I462" t="s">
        <v>85</v>
      </c>
      <c r="J462" t="s">
        <v>51</v>
      </c>
      <c r="K462" s="5">
        <f>10274 / 86400</f>
        <v>0.11891203703703704</v>
      </c>
      <c r="L462" s="5">
        <f>2119 / 86400</f>
        <v>2.4525462962962964E-2</v>
      </c>
    </row>
    <row r="463" spans="1:12" x14ac:dyDescent="0.25">
      <c r="A463" s="3">
        <v>45704.666203703702</v>
      </c>
      <c r="B463" t="s">
        <v>297</v>
      </c>
      <c r="C463" s="3">
        <v>45704.669189814813</v>
      </c>
      <c r="D463" t="s">
        <v>73</v>
      </c>
      <c r="E463" s="4">
        <v>1.024</v>
      </c>
      <c r="F463" s="4">
        <v>426454.86099999998</v>
      </c>
      <c r="G463" s="4">
        <v>426455.88500000001</v>
      </c>
      <c r="H463" s="5">
        <f>20 / 86400</f>
        <v>2.3148148148148149E-4</v>
      </c>
      <c r="I463" t="s">
        <v>35</v>
      </c>
      <c r="J463" t="s">
        <v>158</v>
      </c>
      <c r="K463" s="5">
        <f>258 / 86400</f>
        <v>2.9861111111111113E-3</v>
      </c>
      <c r="L463" s="5">
        <f>445 / 86400</f>
        <v>5.1504629629629626E-3</v>
      </c>
    </row>
    <row r="464" spans="1:12" x14ac:dyDescent="0.25">
      <c r="A464" s="3">
        <v>45704.674340277779</v>
      </c>
      <c r="B464" t="s">
        <v>73</v>
      </c>
      <c r="C464" s="3">
        <v>45704.675300925926</v>
      </c>
      <c r="D464" t="s">
        <v>120</v>
      </c>
      <c r="E464" s="4">
        <v>0.25800000000000001</v>
      </c>
      <c r="F464" s="4">
        <v>426455.88500000001</v>
      </c>
      <c r="G464" s="4">
        <v>426456.14299999998</v>
      </c>
      <c r="H464" s="5">
        <f>20 / 86400</f>
        <v>2.3148148148148149E-4</v>
      </c>
      <c r="I464" t="s">
        <v>51</v>
      </c>
      <c r="J464" t="s">
        <v>143</v>
      </c>
      <c r="K464" s="5">
        <f>83 / 86400</f>
        <v>9.6064814814814819E-4</v>
      </c>
      <c r="L464" s="5">
        <f>1382 / 86400</f>
        <v>1.5995370370370372E-2</v>
      </c>
    </row>
    <row r="465" spans="1:12" x14ac:dyDescent="0.25">
      <c r="A465" s="3">
        <v>45704.691296296296</v>
      </c>
      <c r="B465" t="s">
        <v>120</v>
      </c>
      <c r="C465" s="3">
        <v>45704.788217592592</v>
      </c>
      <c r="D465" t="s">
        <v>227</v>
      </c>
      <c r="E465" s="4">
        <v>39.103000000000002</v>
      </c>
      <c r="F465" s="4">
        <v>426456.14299999998</v>
      </c>
      <c r="G465" s="4">
        <v>426495.24599999998</v>
      </c>
      <c r="H465" s="5">
        <f>2560 / 86400</f>
        <v>2.9629629629629631E-2</v>
      </c>
      <c r="I465" t="s">
        <v>152</v>
      </c>
      <c r="J465" t="s">
        <v>48</v>
      </c>
      <c r="K465" s="5">
        <f>8374 / 86400</f>
        <v>9.6921296296296297E-2</v>
      </c>
      <c r="L465" s="5">
        <f>101 / 86400</f>
        <v>1.1689814814814816E-3</v>
      </c>
    </row>
    <row r="466" spans="1:12" x14ac:dyDescent="0.25">
      <c r="A466" s="3">
        <v>45704.789386574077</v>
      </c>
      <c r="B466" t="s">
        <v>299</v>
      </c>
      <c r="C466" s="3">
        <v>45704.815659722226</v>
      </c>
      <c r="D466" t="s">
        <v>300</v>
      </c>
      <c r="E466" s="4">
        <v>9.718</v>
      </c>
      <c r="F466" s="4">
        <v>426495.24599999998</v>
      </c>
      <c r="G466" s="4">
        <v>426504.96399999998</v>
      </c>
      <c r="H466" s="5">
        <f>620 / 86400</f>
        <v>7.1759259259259259E-3</v>
      </c>
      <c r="I466" t="s">
        <v>226</v>
      </c>
      <c r="J466" t="s">
        <v>279</v>
      </c>
      <c r="K466" s="5">
        <f>2269 / 86400</f>
        <v>2.6261574074074073E-2</v>
      </c>
      <c r="L466" s="5">
        <f>384 / 86400</f>
        <v>4.4444444444444444E-3</v>
      </c>
    </row>
    <row r="467" spans="1:12" x14ac:dyDescent="0.25">
      <c r="A467" s="3">
        <v>45704.820104166662</v>
      </c>
      <c r="B467" t="s">
        <v>300</v>
      </c>
      <c r="C467" s="3">
        <v>45704.826111111106</v>
      </c>
      <c r="D467" t="s">
        <v>52</v>
      </c>
      <c r="E467" s="4">
        <v>0.29299999999999998</v>
      </c>
      <c r="F467" s="4">
        <v>426504.96399999998</v>
      </c>
      <c r="G467" s="4">
        <v>426505.25699999998</v>
      </c>
      <c r="H467" s="5">
        <f>379 / 86400</f>
        <v>4.386574074074074E-3</v>
      </c>
      <c r="I467" t="s">
        <v>151</v>
      </c>
      <c r="J467" t="s">
        <v>129</v>
      </c>
      <c r="K467" s="5">
        <f>519 / 86400</f>
        <v>6.0069444444444441E-3</v>
      </c>
      <c r="L467" s="5">
        <f>15023 / 86400</f>
        <v>0.1738773148148148</v>
      </c>
    </row>
    <row r="468" spans="1:1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</row>
    <row r="469" spans="1:1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</row>
    <row r="470" spans="1:12" s="10" customFormat="1" ht="20.100000000000001" customHeight="1" x14ac:dyDescent="0.35">
      <c r="A470" s="15" t="s">
        <v>392</v>
      </c>
      <c r="B470" s="15"/>
      <c r="C470" s="15"/>
      <c r="D470" s="15"/>
      <c r="E470" s="15"/>
      <c r="F470" s="15"/>
      <c r="G470" s="15"/>
      <c r="H470" s="15"/>
      <c r="I470" s="15"/>
      <c r="J470" s="15"/>
    </row>
    <row r="471" spans="1:1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</row>
    <row r="472" spans="1:12" ht="30" x14ac:dyDescent="0.25">
      <c r="A472" s="2" t="s">
        <v>6</v>
      </c>
      <c r="B472" s="2" t="s">
        <v>7</v>
      </c>
      <c r="C472" s="2" t="s">
        <v>8</v>
      </c>
      <c r="D472" s="2" t="s">
        <v>9</v>
      </c>
      <c r="E472" s="2" t="s">
        <v>10</v>
      </c>
      <c r="F472" s="2" t="s">
        <v>11</v>
      </c>
      <c r="G472" s="2" t="s">
        <v>12</v>
      </c>
      <c r="H472" s="2" t="s">
        <v>13</v>
      </c>
      <c r="I472" s="2" t="s">
        <v>14</v>
      </c>
      <c r="J472" s="2" t="s">
        <v>15</v>
      </c>
      <c r="K472" s="2" t="s">
        <v>16</v>
      </c>
      <c r="L472" s="2" t="s">
        <v>17</v>
      </c>
    </row>
    <row r="473" spans="1:12" x14ac:dyDescent="0.25">
      <c r="A473" s="3">
        <v>45704.252939814818</v>
      </c>
      <c r="B473" t="s">
        <v>28</v>
      </c>
      <c r="C473" s="3">
        <v>45704.259189814809</v>
      </c>
      <c r="D473" t="s">
        <v>24</v>
      </c>
      <c r="E473" s="4">
        <v>0.36499999999999999</v>
      </c>
      <c r="F473" s="4">
        <v>13176.481</v>
      </c>
      <c r="G473" s="4">
        <v>13176.846</v>
      </c>
      <c r="H473" s="5">
        <f>439 / 86400</f>
        <v>5.0810185185185186E-3</v>
      </c>
      <c r="I473" t="s">
        <v>51</v>
      </c>
      <c r="J473" t="s">
        <v>129</v>
      </c>
      <c r="K473" s="5">
        <f>540 / 86400</f>
        <v>6.2500000000000003E-3</v>
      </c>
      <c r="L473" s="5">
        <f>22284 / 86400</f>
        <v>0.25791666666666668</v>
      </c>
    </row>
    <row r="474" spans="1:12" x14ac:dyDescent="0.25">
      <c r="A474" s="3">
        <v>45704.264166666668</v>
      </c>
      <c r="B474" t="s">
        <v>24</v>
      </c>
      <c r="C474" s="3">
        <v>45704.323495370365</v>
      </c>
      <c r="D474" t="s">
        <v>301</v>
      </c>
      <c r="E474" s="4">
        <v>27.113</v>
      </c>
      <c r="F474" s="4">
        <v>13176.846</v>
      </c>
      <c r="G474" s="4">
        <v>13203.959000000001</v>
      </c>
      <c r="H474" s="5">
        <f>1440 / 86400</f>
        <v>1.6666666666666666E-2</v>
      </c>
      <c r="I474" t="s">
        <v>47</v>
      </c>
      <c r="J474" t="s">
        <v>44</v>
      </c>
      <c r="K474" s="5">
        <f>5126 / 86400</f>
        <v>5.9328703703703703E-2</v>
      </c>
      <c r="L474" s="5">
        <f>56 / 86400</f>
        <v>6.4814814814814813E-4</v>
      </c>
    </row>
    <row r="475" spans="1:12" x14ac:dyDescent="0.25">
      <c r="A475" s="3">
        <v>45704.324143518519</v>
      </c>
      <c r="B475" t="s">
        <v>254</v>
      </c>
      <c r="C475" s="3">
        <v>45704.339386574073</v>
      </c>
      <c r="D475" t="s">
        <v>302</v>
      </c>
      <c r="E475" s="4">
        <v>5.9130000000000003</v>
      </c>
      <c r="F475" s="4">
        <v>13203.959000000001</v>
      </c>
      <c r="G475" s="4">
        <v>13209.871999999999</v>
      </c>
      <c r="H475" s="5">
        <f>579 / 86400</f>
        <v>6.7013888888888887E-3</v>
      </c>
      <c r="I475" t="s">
        <v>124</v>
      </c>
      <c r="J475" t="s">
        <v>133</v>
      </c>
      <c r="K475" s="5">
        <f>1316 / 86400</f>
        <v>1.5231481481481481E-2</v>
      </c>
      <c r="L475" s="5">
        <f>64 / 86400</f>
        <v>7.407407407407407E-4</v>
      </c>
    </row>
    <row r="476" spans="1:12" x14ac:dyDescent="0.25">
      <c r="A476" s="3">
        <v>45704.340127314819</v>
      </c>
      <c r="B476" t="s">
        <v>302</v>
      </c>
      <c r="C476" s="3">
        <v>45704.451782407406</v>
      </c>
      <c r="D476" t="s">
        <v>73</v>
      </c>
      <c r="E476" s="4">
        <v>49.018000000000001</v>
      </c>
      <c r="F476" s="4">
        <v>13209.871999999999</v>
      </c>
      <c r="G476" s="4">
        <v>13258.89</v>
      </c>
      <c r="H476" s="5">
        <f>3180 / 86400</f>
        <v>3.6805555555555557E-2</v>
      </c>
      <c r="I476" t="s">
        <v>93</v>
      </c>
      <c r="J476" t="s">
        <v>51</v>
      </c>
      <c r="K476" s="5">
        <f>9647 / 86400</f>
        <v>0.1116550925925926</v>
      </c>
      <c r="L476" s="5">
        <f>187 / 86400</f>
        <v>2.1643518518518518E-3</v>
      </c>
    </row>
    <row r="477" spans="1:12" x14ac:dyDescent="0.25">
      <c r="A477" s="3">
        <v>45704.453946759255</v>
      </c>
      <c r="B477" t="s">
        <v>73</v>
      </c>
      <c r="C477" s="3">
        <v>45704.458020833335</v>
      </c>
      <c r="D477" t="s">
        <v>74</v>
      </c>
      <c r="E477" s="4">
        <v>0.20300000000000001</v>
      </c>
      <c r="F477" s="4">
        <v>13258.89</v>
      </c>
      <c r="G477" s="4">
        <v>13259.093000000001</v>
      </c>
      <c r="H477" s="5">
        <f>240 / 86400</f>
        <v>2.7777777777777779E-3</v>
      </c>
      <c r="I477" t="s">
        <v>158</v>
      </c>
      <c r="J477" t="s">
        <v>129</v>
      </c>
      <c r="K477" s="5">
        <f>351 / 86400</f>
        <v>4.0625000000000001E-3</v>
      </c>
      <c r="L477" s="5">
        <f>4 / 86400</f>
        <v>4.6296296296296294E-5</v>
      </c>
    </row>
    <row r="478" spans="1:12" x14ac:dyDescent="0.25">
      <c r="A478" s="3">
        <v>45704.458067129628</v>
      </c>
      <c r="B478" t="s">
        <v>74</v>
      </c>
      <c r="C478" s="3">
        <v>45704.458078703705</v>
      </c>
      <c r="D478" t="s">
        <v>74</v>
      </c>
      <c r="E478" s="4">
        <v>0</v>
      </c>
      <c r="F478" s="4">
        <v>13259.093000000001</v>
      </c>
      <c r="G478" s="4">
        <v>13259.093000000001</v>
      </c>
      <c r="H478" s="5">
        <f>0 / 86400</f>
        <v>0</v>
      </c>
      <c r="I478" t="s">
        <v>55</v>
      </c>
      <c r="J478" t="s">
        <v>55</v>
      </c>
      <c r="K478" s="5">
        <f>1 / 86400</f>
        <v>1.1574074074074073E-5</v>
      </c>
      <c r="L478" s="5">
        <f>2 / 86400</f>
        <v>2.3148148148148147E-5</v>
      </c>
    </row>
    <row r="479" spans="1:12" x14ac:dyDescent="0.25">
      <c r="A479" s="3">
        <v>45704.458101851851</v>
      </c>
      <c r="B479" t="s">
        <v>74</v>
      </c>
      <c r="C479" s="3">
        <v>45704.460416666669</v>
      </c>
      <c r="D479" t="s">
        <v>74</v>
      </c>
      <c r="E479" s="4">
        <v>8.9999999999999993E-3</v>
      </c>
      <c r="F479" s="4">
        <v>13259.093000000001</v>
      </c>
      <c r="G479" s="4">
        <v>13259.102000000001</v>
      </c>
      <c r="H479" s="5">
        <f>126 / 86400</f>
        <v>1.4583333333333334E-3</v>
      </c>
      <c r="I479" t="s">
        <v>119</v>
      </c>
      <c r="J479" t="s">
        <v>55</v>
      </c>
      <c r="K479" s="5">
        <f>200 / 86400</f>
        <v>2.3148148148148147E-3</v>
      </c>
      <c r="L479" s="5">
        <f>13 / 86400</f>
        <v>1.5046296296296297E-4</v>
      </c>
    </row>
    <row r="480" spans="1:12" x14ac:dyDescent="0.25">
      <c r="A480" s="3">
        <v>45704.46056712963</v>
      </c>
      <c r="B480" t="s">
        <v>74</v>
      </c>
      <c r="C480" s="3">
        <v>45704.460613425923</v>
      </c>
      <c r="D480" t="s">
        <v>74</v>
      </c>
      <c r="E480" s="4">
        <v>0</v>
      </c>
      <c r="F480" s="4">
        <v>13259.102000000001</v>
      </c>
      <c r="G480" s="4">
        <v>13259.102000000001</v>
      </c>
      <c r="H480" s="5">
        <f>0 / 86400</f>
        <v>0</v>
      </c>
      <c r="I480" t="s">
        <v>129</v>
      </c>
      <c r="J480" t="s">
        <v>55</v>
      </c>
      <c r="K480" s="5">
        <f>3 / 86400</f>
        <v>3.4722222222222222E-5</v>
      </c>
      <c r="L480" s="5">
        <f>1 / 86400</f>
        <v>1.1574074074074073E-5</v>
      </c>
    </row>
    <row r="481" spans="1:12" x14ac:dyDescent="0.25">
      <c r="A481" s="3">
        <v>45704.460625</v>
      </c>
      <c r="B481" t="s">
        <v>74</v>
      </c>
      <c r="C481" s="3">
        <v>45704.460636574076</v>
      </c>
      <c r="D481" t="s">
        <v>74</v>
      </c>
      <c r="E481" s="4">
        <v>0</v>
      </c>
      <c r="F481" s="4">
        <v>13259.102000000001</v>
      </c>
      <c r="G481" s="4">
        <v>13259.102000000001</v>
      </c>
      <c r="H481" s="5">
        <f>0 / 86400</f>
        <v>0</v>
      </c>
      <c r="I481" t="s">
        <v>55</v>
      </c>
      <c r="J481" t="s">
        <v>55</v>
      </c>
      <c r="K481" s="5">
        <f>1 / 86400</f>
        <v>1.1574074074074073E-5</v>
      </c>
      <c r="L481" s="5">
        <f>7 / 86400</f>
        <v>8.1018518518518516E-5</v>
      </c>
    </row>
    <row r="482" spans="1:12" x14ac:dyDescent="0.25">
      <c r="A482" s="3">
        <v>45704.460717592592</v>
      </c>
      <c r="B482" t="s">
        <v>74</v>
      </c>
      <c r="C482" s="3">
        <v>45704.460763888885</v>
      </c>
      <c r="D482" t="s">
        <v>74</v>
      </c>
      <c r="E482" s="4">
        <v>0</v>
      </c>
      <c r="F482" s="4">
        <v>13259.102000000001</v>
      </c>
      <c r="G482" s="4">
        <v>13259.102000000001</v>
      </c>
      <c r="H482" s="5">
        <f>0 / 86400</f>
        <v>0</v>
      </c>
      <c r="I482" t="s">
        <v>55</v>
      </c>
      <c r="J482" t="s">
        <v>55</v>
      </c>
      <c r="K482" s="5">
        <f>4 / 86400</f>
        <v>4.6296296296296294E-5</v>
      </c>
      <c r="L482" s="5">
        <f>131 / 86400</f>
        <v>1.5162037037037036E-3</v>
      </c>
    </row>
    <row r="483" spans="1:12" x14ac:dyDescent="0.25">
      <c r="A483" s="3">
        <v>45704.462280092594</v>
      </c>
      <c r="B483" t="s">
        <v>74</v>
      </c>
      <c r="C483" s="3">
        <v>45704.46230324074</v>
      </c>
      <c r="D483" t="s">
        <v>74</v>
      </c>
      <c r="E483" s="4">
        <v>0</v>
      </c>
      <c r="F483" s="4">
        <v>13259.102000000001</v>
      </c>
      <c r="G483" s="4">
        <v>13259.102000000001</v>
      </c>
      <c r="H483" s="5">
        <f>0 / 86400</f>
        <v>0</v>
      </c>
      <c r="I483" t="s">
        <v>55</v>
      </c>
      <c r="J483" t="s">
        <v>55</v>
      </c>
      <c r="K483" s="5">
        <f>2 / 86400</f>
        <v>2.3148148148148147E-5</v>
      </c>
      <c r="L483" s="5">
        <f>59 / 86400</f>
        <v>6.8287037037037036E-4</v>
      </c>
    </row>
    <row r="484" spans="1:12" x14ac:dyDescent="0.25">
      <c r="A484" s="3">
        <v>45704.46298611111</v>
      </c>
      <c r="B484" t="s">
        <v>74</v>
      </c>
      <c r="C484" s="3">
        <v>45704.465324074074</v>
      </c>
      <c r="D484" t="s">
        <v>45</v>
      </c>
      <c r="E484" s="4">
        <v>0.85699999999999998</v>
      </c>
      <c r="F484" s="4">
        <v>13259.102000000001</v>
      </c>
      <c r="G484" s="4">
        <v>13259.959000000001</v>
      </c>
      <c r="H484" s="5">
        <f>59 / 86400</f>
        <v>6.8287037037037036E-4</v>
      </c>
      <c r="I484" t="s">
        <v>139</v>
      </c>
      <c r="J484" t="s">
        <v>279</v>
      </c>
      <c r="K484" s="5">
        <f>201 / 86400</f>
        <v>2.3263888888888887E-3</v>
      </c>
      <c r="L484" s="5">
        <f>37 / 86400</f>
        <v>4.2824074074074075E-4</v>
      </c>
    </row>
    <row r="485" spans="1:12" x14ac:dyDescent="0.25">
      <c r="A485" s="3">
        <v>45704.46575231482</v>
      </c>
      <c r="B485" t="s">
        <v>45</v>
      </c>
      <c r="C485" s="3">
        <v>45704.465925925921</v>
      </c>
      <c r="D485" t="s">
        <v>45</v>
      </c>
      <c r="E485" s="4">
        <v>6.0000000000000001E-3</v>
      </c>
      <c r="F485" s="4">
        <v>13259.959000000001</v>
      </c>
      <c r="G485" s="4">
        <v>13259.965</v>
      </c>
      <c r="H485" s="5">
        <f>0 / 86400</f>
        <v>0</v>
      </c>
      <c r="I485" t="s">
        <v>55</v>
      </c>
      <c r="J485" t="s">
        <v>129</v>
      </c>
      <c r="K485" s="5">
        <f>14 / 86400</f>
        <v>1.6203703703703703E-4</v>
      </c>
      <c r="L485" s="5">
        <f>1601 / 86400</f>
        <v>1.8530092592592591E-2</v>
      </c>
    </row>
    <row r="486" spans="1:12" x14ac:dyDescent="0.25">
      <c r="A486" s="3">
        <v>45704.484456018516</v>
      </c>
      <c r="B486" t="s">
        <v>45</v>
      </c>
      <c r="C486" s="3">
        <v>45704.486678240741</v>
      </c>
      <c r="D486" t="s">
        <v>115</v>
      </c>
      <c r="E486" s="4">
        <v>0.78200000000000003</v>
      </c>
      <c r="F486" s="4">
        <v>13259.965</v>
      </c>
      <c r="G486" s="4">
        <v>13260.746999999999</v>
      </c>
      <c r="H486" s="5">
        <f>6 / 86400</f>
        <v>6.9444444444444444E-5</v>
      </c>
      <c r="I486" t="s">
        <v>68</v>
      </c>
      <c r="J486" t="s">
        <v>279</v>
      </c>
      <c r="K486" s="5">
        <f>191 / 86400</f>
        <v>2.2106481481481482E-3</v>
      </c>
      <c r="L486" s="5">
        <f>1204 / 86400</f>
        <v>1.3935185185185186E-2</v>
      </c>
    </row>
    <row r="487" spans="1:12" x14ac:dyDescent="0.25">
      <c r="A487" s="3">
        <v>45704.500613425931</v>
      </c>
      <c r="B487" t="s">
        <v>115</v>
      </c>
      <c r="C487" s="3">
        <v>45704.63616898148</v>
      </c>
      <c r="D487" t="s">
        <v>303</v>
      </c>
      <c r="E487" s="4">
        <v>61.89</v>
      </c>
      <c r="F487" s="4">
        <v>13260.746999999999</v>
      </c>
      <c r="G487" s="4">
        <v>13322.637000000001</v>
      </c>
      <c r="H487" s="5">
        <f>4246 / 86400</f>
        <v>4.9143518518518517E-2</v>
      </c>
      <c r="I487" t="s">
        <v>38</v>
      </c>
      <c r="J487" t="s">
        <v>44</v>
      </c>
      <c r="K487" s="5">
        <f>11711 / 86400</f>
        <v>0.13554398148148147</v>
      </c>
      <c r="L487" s="5">
        <f>32 / 86400</f>
        <v>3.7037037037037035E-4</v>
      </c>
    </row>
    <row r="488" spans="1:12" x14ac:dyDescent="0.25">
      <c r="A488" s="3">
        <v>45704.63653935185</v>
      </c>
      <c r="B488" t="s">
        <v>304</v>
      </c>
      <c r="C488" s="3">
        <v>45704.713240740741</v>
      </c>
      <c r="D488" t="s">
        <v>305</v>
      </c>
      <c r="E488" s="4">
        <v>36.058999999999997</v>
      </c>
      <c r="F488" s="4">
        <v>13322.637000000001</v>
      </c>
      <c r="G488" s="4">
        <v>13358.696</v>
      </c>
      <c r="H488" s="5">
        <f>2101 / 86400</f>
        <v>2.431712962962963E-2</v>
      </c>
      <c r="I488" t="s">
        <v>59</v>
      </c>
      <c r="J488" t="s">
        <v>33</v>
      </c>
      <c r="K488" s="5">
        <f>6626 / 86400</f>
        <v>7.6689814814814808E-2</v>
      </c>
      <c r="L488" s="5">
        <f>306 / 86400</f>
        <v>3.5416666666666665E-3</v>
      </c>
    </row>
    <row r="489" spans="1:12" x14ac:dyDescent="0.25">
      <c r="A489" s="3">
        <v>45704.716782407406</v>
      </c>
      <c r="B489" t="s">
        <v>305</v>
      </c>
      <c r="C489" s="3">
        <v>45704.717245370368</v>
      </c>
      <c r="D489" t="s">
        <v>306</v>
      </c>
      <c r="E489" s="4">
        <v>0.14899999999999999</v>
      </c>
      <c r="F489" s="4">
        <v>13358.696</v>
      </c>
      <c r="G489" s="4">
        <v>13358.844999999999</v>
      </c>
      <c r="H489" s="5">
        <f>0 / 86400</f>
        <v>0</v>
      </c>
      <c r="I489" t="s">
        <v>279</v>
      </c>
      <c r="J489" t="s">
        <v>86</v>
      </c>
      <c r="K489" s="5">
        <f>40 / 86400</f>
        <v>4.6296296296296298E-4</v>
      </c>
      <c r="L489" s="5">
        <f>41 / 86400</f>
        <v>4.7453703703703704E-4</v>
      </c>
    </row>
    <row r="490" spans="1:12" x14ac:dyDescent="0.25">
      <c r="A490" s="3">
        <v>45704.717719907407</v>
      </c>
      <c r="B490" t="s">
        <v>306</v>
      </c>
      <c r="C490" s="3">
        <v>45704.740034722221</v>
      </c>
      <c r="D490" t="s">
        <v>173</v>
      </c>
      <c r="E490" s="4">
        <v>11.808</v>
      </c>
      <c r="F490" s="4">
        <v>13358.844999999999</v>
      </c>
      <c r="G490" s="4">
        <v>13370.653</v>
      </c>
      <c r="H490" s="5">
        <f>420 / 86400</f>
        <v>4.8611111111111112E-3</v>
      </c>
      <c r="I490" t="s">
        <v>54</v>
      </c>
      <c r="J490" t="s">
        <v>20</v>
      </c>
      <c r="K490" s="5">
        <f>1927 / 86400</f>
        <v>2.2303240740740742E-2</v>
      </c>
      <c r="L490" s="5">
        <f>483 / 86400</f>
        <v>5.5902777777777773E-3</v>
      </c>
    </row>
    <row r="491" spans="1:12" x14ac:dyDescent="0.25">
      <c r="A491" s="3">
        <v>45704.745624999996</v>
      </c>
      <c r="B491" t="s">
        <v>173</v>
      </c>
      <c r="C491" s="3">
        <v>45704.746365740742</v>
      </c>
      <c r="D491" t="s">
        <v>173</v>
      </c>
      <c r="E491" s="4">
        <v>0.35799999999999998</v>
      </c>
      <c r="F491" s="4">
        <v>13370.653</v>
      </c>
      <c r="G491" s="4">
        <v>13371.011</v>
      </c>
      <c r="H491" s="5">
        <f>0 / 86400</f>
        <v>0</v>
      </c>
      <c r="I491" t="s">
        <v>29</v>
      </c>
      <c r="J491" t="s">
        <v>33</v>
      </c>
      <c r="K491" s="5">
        <f>63 / 86400</f>
        <v>7.291666666666667E-4</v>
      </c>
      <c r="L491" s="5">
        <f>283 / 86400</f>
        <v>3.2754629629629631E-3</v>
      </c>
    </row>
    <row r="492" spans="1:12" x14ac:dyDescent="0.25">
      <c r="A492" s="3">
        <v>45704.7496412037</v>
      </c>
      <c r="B492" t="s">
        <v>173</v>
      </c>
      <c r="C492" s="3">
        <v>45704.755578703705</v>
      </c>
      <c r="D492" t="s">
        <v>28</v>
      </c>
      <c r="E492" s="4">
        <v>1.272</v>
      </c>
      <c r="F492" s="4">
        <v>13371.011</v>
      </c>
      <c r="G492" s="4">
        <v>13372.282999999999</v>
      </c>
      <c r="H492" s="5">
        <f>140 / 86400</f>
        <v>1.6203703703703703E-3</v>
      </c>
      <c r="I492" t="s">
        <v>33</v>
      </c>
      <c r="J492" t="s">
        <v>30</v>
      </c>
      <c r="K492" s="5">
        <f>512 / 86400</f>
        <v>5.9259259259259256E-3</v>
      </c>
      <c r="L492" s="5">
        <f>379 / 86400</f>
        <v>4.386574074074074E-3</v>
      </c>
    </row>
    <row r="493" spans="1:12" x14ac:dyDescent="0.25">
      <c r="A493" s="3">
        <v>45704.759965277779</v>
      </c>
      <c r="B493" t="s">
        <v>28</v>
      </c>
      <c r="C493" s="3">
        <v>45704.760648148149</v>
      </c>
      <c r="D493" t="s">
        <v>28</v>
      </c>
      <c r="E493" s="4">
        <v>2.5999999999999999E-2</v>
      </c>
      <c r="F493" s="4">
        <v>13372.282999999999</v>
      </c>
      <c r="G493" s="4">
        <v>13372.308999999999</v>
      </c>
      <c r="H493" s="5">
        <f>19 / 86400</f>
        <v>2.199074074074074E-4</v>
      </c>
      <c r="I493" t="s">
        <v>88</v>
      </c>
      <c r="J493" t="s">
        <v>129</v>
      </c>
      <c r="K493" s="5">
        <f>59 / 86400</f>
        <v>6.8287037037037036E-4</v>
      </c>
      <c r="L493" s="5">
        <f>20679 / 86400</f>
        <v>0.23934027777777778</v>
      </c>
    </row>
    <row r="494" spans="1:1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</row>
    <row r="495" spans="1:1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</row>
    <row r="496" spans="1:12" s="10" customFormat="1" ht="20.100000000000001" customHeight="1" x14ac:dyDescent="0.35">
      <c r="A496" s="15" t="s">
        <v>393</v>
      </c>
      <c r="B496" s="15"/>
      <c r="C496" s="15"/>
      <c r="D496" s="15"/>
      <c r="E496" s="15"/>
      <c r="F496" s="15"/>
      <c r="G496" s="15"/>
      <c r="H496" s="15"/>
      <c r="I496" s="15"/>
      <c r="J496" s="15"/>
    </row>
    <row r="497" spans="1:1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</row>
    <row r="498" spans="1:12" ht="30" x14ac:dyDescent="0.25">
      <c r="A498" s="2" t="s">
        <v>6</v>
      </c>
      <c r="B498" s="2" t="s">
        <v>7</v>
      </c>
      <c r="C498" s="2" t="s">
        <v>8</v>
      </c>
      <c r="D498" s="2" t="s">
        <v>9</v>
      </c>
      <c r="E498" s="2" t="s">
        <v>10</v>
      </c>
      <c r="F498" s="2" t="s">
        <v>11</v>
      </c>
      <c r="G498" s="2" t="s">
        <v>12</v>
      </c>
      <c r="H498" s="2" t="s">
        <v>13</v>
      </c>
      <c r="I498" s="2" t="s">
        <v>14</v>
      </c>
      <c r="J498" s="2" t="s">
        <v>15</v>
      </c>
      <c r="K498" s="2" t="s">
        <v>16</v>
      </c>
      <c r="L498" s="2" t="s">
        <v>17</v>
      </c>
    </row>
    <row r="499" spans="1:12" x14ac:dyDescent="0.25">
      <c r="A499" s="3">
        <v>45704.252476851849</v>
      </c>
      <c r="B499" t="s">
        <v>28</v>
      </c>
      <c r="C499" s="3">
        <v>45704.255497685182</v>
      </c>
      <c r="D499" t="s">
        <v>28</v>
      </c>
      <c r="E499" s="4">
        <v>0</v>
      </c>
      <c r="F499" s="4">
        <v>5969.549</v>
      </c>
      <c r="G499" s="4">
        <v>5969.549</v>
      </c>
      <c r="H499" s="5">
        <f>259 / 86400</f>
        <v>2.9976851851851853E-3</v>
      </c>
      <c r="I499" t="s">
        <v>55</v>
      </c>
      <c r="J499" t="s">
        <v>55</v>
      </c>
      <c r="K499" s="5">
        <f>260 / 86400</f>
        <v>3.0092592592592593E-3</v>
      </c>
      <c r="L499" s="5">
        <f>86138 / 86400</f>
        <v>0.9969675925925926</v>
      </c>
    </row>
    <row r="500" spans="1:1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</row>
    <row r="501" spans="1:1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</row>
    <row r="502" spans="1:12" s="10" customFormat="1" ht="20.100000000000001" customHeight="1" x14ac:dyDescent="0.35">
      <c r="A502" s="15" t="s">
        <v>394</v>
      </c>
      <c r="B502" s="15"/>
      <c r="C502" s="15"/>
      <c r="D502" s="15"/>
      <c r="E502" s="15"/>
      <c r="F502" s="15"/>
      <c r="G502" s="15"/>
      <c r="H502" s="15"/>
      <c r="I502" s="15"/>
      <c r="J502" s="15"/>
    </row>
    <row r="503" spans="1:1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</row>
    <row r="504" spans="1:12" ht="30" x14ac:dyDescent="0.25">
      <c r="A504" s="2" t="s">
        <v>6</v>
      </c>
      <c r="B504" s="2" t="s">
        <v>7</v>
      </c>
      <c r="C504" s="2" t="s">
        <v>8</v>
      </c>
      <c r="D504" s="2" t="s">
        <v>9</v>
      </c>
      <c r="E504" s="2" t="s">
        <v>10</v>
      </c>
      <c r="F504" s="2" t="s">
        <v>11</v>
      </c>
      <c r="G504" s="2" t="s">
        <v>12</v>
      </c>
      <c r="H504" s="2" t="s">
        <v>13</v>
      </c>
      <c r="I504" s="2" t="s">
        <v>14</v>
      </c>
      <c r="J504" s="2" t="s">
        <v>15</v>
      </c>
      <c r="K504" s="2" t="s">
        <v>16</v>
      </c>
      <c r="L504" s="2" t="s">
        <v>17</v>
      </c>
    </row>
    <row r="505" spans="1:12" x14ac:dyDescent="0.25">
      <c r="A505" s="3">
        <v>45704.236828703702</v>
      </c>
      <c r="B505" t="s">
        <v>56</v>
      </c>
      <c r="C505" s="3">
        <v>45704.236875000002</v>
      </c>
      <c r="D505" t="s">
        <v>56</v>
      </c>
      <c r="E505" s="4">
        <v>0</v>
      </c>
      <c r="F505" s="4">
        <v>387381.68900000001</v>
      </c>
      <c r="G505" s="4">
        <v>387381.68900000001</v>
      </c>
      <c r="H505" s="5">
        <f>0 / 86400</f>
        <v>0</v>
      </c>
      <c r="I505" t="s">
        <v>55</v>
      </c>
      <c r="J505" t="s">
        <v>55</v>
      </c>
      <c r="K505" s="5">
        <f>4 / 86400</f>
        <v>4.6296296296296294E-5</v>
      </c>
      <c r="L505" s="5">
        <f>20464 / 86400</f>
        <v>0.23685185185185184</v>
      </c>
    </row>
    <row r="506" spans="1:12" x14ac:dyDescent="0.25">
      <c r="A506" s="3">
        <v>45704.236898148149</v>
      </c>
      <c r="B506" t="s">
        <v>56</v>
      </c>
      <c r="C506" s="3">
        <v>45704.236921296295</v>
      </c>
      <c r="D506" t="s">
        <v>56</v>
      </c>
      <c r="E506" s="4">
        <v>0</v>
      </c>
      <c r="F506" s="4">
        <v>387381.68900000001</v>
      </c>
      <c r="G506" s="4">
        <v>387381.68900000001</v>
      </c>
      <c r="H506" s="5">
        <f>0 / 86400</f>
        <v>0</v>
      </c>
      <c r="I506" t="s">
        <v>55</v>
      </c>
      <c r="J506" t="s">
        <v>55</v>
      </c>
      <c r="K506" s="5">
        <f>2 / 86400</f>
        <v>2.3148148148148147E-5</v>
      </c>
      <c r="L506" s="5">
        <f>636 / 86400</f>
        <v>7.3611111111111108E-3</v>
      </c>
    </row>
    <row r="507" spans="1:12" x14ac:dyDescent="0.25">
      <c r="A507" s="3">
        <v>45704.24428240741</v>
      </c>
      <c r="B507" t="s">
        <v>56</v>
      </c>
      <c r="C507" s="3">
        <v>45704.244432870371</v>
      </c>
      <c r="D507" t="s">
        <v>56</v>
      </c>
      <c r="E507" s="4">
        <v>0</v>
      </c>
      <c r="F507" s="4">
        <v>387381.68900000001</v>
      </c>
      <c r="G507" s="4">
        <v>387381.68900000001</v>
      </c>
      <c r="H507" s="5">
        <f>0 / 86400</f>
        <v>0</v>
      </c>
      <c r="I507" t="s">
        <v>55</v>
      </c>
      <c r="J507" t="s">
        <v>55</v>
      </c>
      <c r="K507" s="5">
        <f>12 / 86400</f>
        <v>1.3888888888888889E-4</v>
      </c>
      <c r="L507" s="5">
        <f>3 / 86400</f>
        <v>3.4722222222222222E-5</v>
      </c>
    </row>
    <row r="508" spans="1:12" x14ac:dyDescent="0.25">
      <c r="A508" s="3">
        <v>45704.244467592594</v>
      </c>
      <c r="B508" t="s">
        <v>56</v>
      </c>
      <c r="C508" s="3">
        <v>45704.244479166664</v>
      </c>
      <c r="D508" t="s">
        <v>56</v>
      </c>
      <c r="E508" s="4">
        <v>0</v>
      </c>
      <c r="F508" s="4">
        <v>387381.68900000001</v>
      </c>
      <c r="G508" s="4">
        <v>387381.68900000001</v>
      </c>
      <c r="H508" s="5">
        <f>0 / 86400</f>
        <v>0</v>
      </c>
      <c r="I508" t="s">
        <v>55</v>
      </c>
      <c r="J508" t="s">
        <v>55</v>
      </c>
      <c r="K508" s="5">
        <f>1 / 86400</f>
        <v>1.1574074074074073E-5</v>
      </c>
      <c r="L508" s="5">
        <f>52 / 86400</f>
        <v>6.018518518518519E-4</v>
      </c>
    </row>
    <row r="509" spans="1:12" x14ac:dyDescent="0.25">
      <c r="A509" s="3">
        <v>45704.245081018518</v>
      </c>
      <c r="B509" t="s">
        <v>56</v>
      </c>
      <c r="C509" s="3">
        <v>45704.430810185186</v>
      </c>
      <c r="D509" t="s">
        <v>39</v>
      </c>
      <c r="E509" s="4">
        <v>89.445999999999998</v>
      </c>
      <c r="F509" s="4">
        <v>387381.68900000001</v>
      </c>
      <c r="G509" s="4">
        <v>387471.13500000001</v>
      </c>
      <c r="H509" s="5">
        <f>4816 / 86400</f>
        <v>5.5740740740740743E-2</v>
      </c>
      <c r="I509" t="s">
        <v>57</v>
      </c>
      <c r="J509" t="s">
        <v>33</v>
      </c>
      <c r="K509" s="5">
        <f>16047 / 86400</f>
        <v>0.18572916666666667</v>
      </c>
      <c r="L509" s="5">
        <f>1917 / 86400</f>
        <v>2.2187499999999999E-2</v>
      </c>
    </row>
    <row r="510" spans="1:12" x14ac:dyDescent="0.25">
      <c r="A510" s="3">
        <v>45704.452997685185</v>
      </c>
      <c r="B510" t="s">
        <v>39</v>
      </c>
      <c r="C510" s="3">
        <v>45704.456817129627</v>
      </c>
      <c r="D510" t="s">
        <v>115</v>
      </c>
      <c r="E510" s="4">
        <v>1.153</v>
      </c>
      <c r="F510" s="4">
        <v>387471.13500000001</v>
      </c>
      <c r="G510" s="4">
        <v>387472.288</v>
      </c>
      <c r="H510" s="5">
        <f>40 / 86400</f>
        <v>4.6296296296296298E-4</v>
      </c>
      <c r="I510" t="s">
        <v>68</v>
      </c>
      <c r="J510" t="s">
        <v>86</v>
      </c>
      <c r="K510" s="5">
        <f>329 / 86400</f>
        <v>3.8078703703703703E-3</v>
      </c>
      <c r="L510" s="5">
        <f>850 / 86400</f>
        <v>9.8379629629629633E-3</v>
      </c>
    </row>
    <row r="511" spans="1:12" x14ac:dyDescent="0.25">
      <c r="A511" s="3">
        <v>45704.46665509259</v>
      </c>
      <c r="B511" t="s">
        <v>115</v>
      </c>
      <c r="C511" s="3">
        <v>45704.571203703701</v>
      </c>
      <c r="D511" t="s">
        <v>307</v>
      </c>
      <c r="E511" s="4">
        <v>47.88</v>
      </c>
      <c r="F511" s="4">
        <v>387472.288</v>
      </c>
      <c r="G511" s="4">
        <v>387520.16800000001</v>
      </c>
      <c r="H511" s="5">
        <f>2799 / 86400</f>
        <v>3.2395833333333332E-2</v>
      </c>
      <c r="I511" t="s">
        <v>99</v>
      </c>
      <c r="J511" t="s">
        <v>44</v>
      </c>
      <c r="K511" s="5">
        <f>9033 / 86400</f>
        <v>0.10454861111111111</v>
      </c>
      <c r="L511" s="5">
        <f>56 / 86400</f>
        <v>6.4814814814814813E-4</v>
      </c>
    </row>
    <row r="512" spans="1:12" x14ac:dyDescent="0.25">
      <c r="A512" s="3">
        <v>45704.571851851855</v>
      </c>
      <c r="B512" t="s">
        <v>307</v>
      </c>
      <c r="C512" s="3">
        <v>45704.648726851854</v>
      </c>
      <c r="D512" t="s">
        <v>56</v>
      </c>
      <c r="E512" s="4">
        <v>33.500999999999998</v>
      </c>
      <c r="F512" s="4">
        <v>387520.16800000001</v>
      </c>
      <c r="G512" s="4">
        <v>387553.66899999999</v>
      </c>
      <c r="H512" s="5">
        <f>2080 / 86400</f>
        <v>2.4074074074074074E-2</v>
      </c>
      <c r="I512" t="s">
        <v>152</v>
      </c>
      <c r="J512" t="s">
        <v>51</v>
      </c>
      <c r="K512" s="5">
        <f>6642 / 86400</f>
        <v>7.6874999999999999E-2</v>
      </c>
      <c r="L512" s="5">
        <f>625 / 86400</f>
        <v>7.2337962962962963E-3</v>
      </c>
    </row>
    <row r="513" spans="1:12" x14ac:dyDescent="0.25">
      <c r="A513" s="3">
        <v>45704.655960648146</v>
      </c>
      <c r="B513" t="s">
        <v>56</v>
      </c>
      <c r="C513" s="3">
        <v>45704.664490740739</v>
      </c>
      <c r="D513" t="s">
        <v>56</v>
      </c>
      <c r="E513" s="4">
        <v>1.3939999999999999</v>
      </c>
      <c r="F513" s="4">
        <v>387553.66899999999</v>
      </c>
      <c r="G513" s="4">
        <v>387555.06300000002</v>
      </c>
      <c r="H513" s="5">
        <f>440 / 86400</f>
        <v>5.092592592592593E-3</v>
      </c>
      <c r="I513" t="s">
        <v>154</v>
      </c>
      <c r="J513" t="s">
        <v>136</v>
      </c>
      <c r="K513" s="5">
        <f>737 / 86400</f>
        <v>8.5300925925925926E-3</v>
      </c>
      <c r="L513" s="5">
        <f>2460 / 86400</f>
        <v>2.8472222222222222E-2</v>
      </c>
    </row>
    <row r="514" spans="1:12" x14ac:dyDescent="0.25">
      <c r="A514" s="3">
        <v>45704.692962962959</v>
      </c>
      <c r="B514" t="s">
        <v>56</v>
      </c>
      <c r="C514" s="3">
        <v>45704.693402777775</v>
      </c>
      <c r="D514" t="s">
        <v>56</v>
      </c>
      <c r="E514" s="4">
        <v>0</v>
      </c>
      <c r="F514" s="4">
        <v>387555.06300000002</v>
      </c>
      <c r="G514" s="4">
        <v>387555.06300000002</v>
      </c>
      <c r="H514" s="5">
        <f>19 / 86400</f>
        <v>2.199074074074074E-4</v>
      </c>
      <c r="I514" t="s">
        <v>55</v>
      </c>
      <c r="J514" t="s">
        <v>55</v>
      </c>
      <c r="K514" s="5">
        <f>38 / 86400</f>
        <v>4.3981481481481481E-4</v>
      </c>
      <c r="L514" s="5">
        <f>26489 / 86400</f>
        <v>0.30658564814814815</v>
      </c>
    </row>
    <row r="515" spans="1:1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</row>
    <row r="516" spans="1:1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</row>
    <row r="517" spans="1:12" s="10" customFormat="1" ht="20.100000000000001" customHeight="1" x14ac:dyDescent="0.35">
      <c r="A517" s="15" t="s">
        <v>395</v>
      </c>
      <c r="B517" s="15"/>
      <c r="C517" s="15"/>
      <c r="D517" s="15"/>
      <c r="E517" s="15"/>
      <c r="F517" s="15"/>
      <c r="G517" s="15"/>
      <c r="H517" s="15"/>
      <c r="I517" s="15"/>
      <c r="J517" s="15"/>
    </row>
    <row r="518" spans="1:1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</row>
    <row r="519" spans="1:12" ht="30" x14ac:dyDescent="0.25">
      <c r="A519" s="2" t="s">
        <v>6</v>
      </c>
      <c r="B519" s="2" t="s">
        <v>7</v>
      </c>
      <c r="C519" s="2" t="s">
        <v>8</v>
      </c>
      <c r="D519" s="2" t="s">
        <v>9</v>
      </c>
      <c r="E519" s="2" t="s">
        <v>10</v>
      </c>
      <c r="F519" s="2" t="s">
        <v>11</v>
      </c>
      <c r="G519" s="2" t="s">
        <v>12</v>
      </c>
      <c r="H519" s="2" t="s">
        <v>13</v>
      </c>
      <c r="I519" s="2" t="s">
        <v>14</v>
      </c>
      <c r="J519" s="2" t="s">
        <v>15</v>
      </c>
      <c r="K519" s="2" t="s">
        <v>16</v>
      </c>
      <c r="L519" s="2" t="s">
        <v>17</v>
      </c>
    </row>
    <row r="520" spans="1:12" x14ac:dyDescent="0.25">
      <c r="A520" s="3">
        <v>45704.14780092593</v>
      </c>
      <c r="B520" t="s">
        <v>58</v>
      </c>
      <c r="C520" s="3">
        <v>45704.325821759259</v>
      </c>
      <c r="D520" t="s">
        <v>308</v>
      </c>
      <c r="E520" s="4">
        <v>82.56</v>
      </c>
      <c r="F520" s="4">
        <v>523826.66200000001</v>
      </c>
      <c r="G520" s="4">
        <v>523909.22200000001</v>
      </c>
      <c r="H520" s="5">
        <f>4098 / 86400</f>
        <v>4.7430555555555552E-2</v>
      </c>
      <c r="I520" t="s">
        <v>59</v>
      </c>
      <c r="J520" t="s">
        <v>44</v>
      </c>
      <c r="K520" s="5">
        <f>15381 / 86400</f>
        <v>0.17802083333333332</v>
      </c>
      <c r="L520" s="5">
        <f>14437 / 86400</f>
        <v>0.1670949074074074</v>
      </c>
    </row>
    <row r="521" spans="1:12" x14ac:dyDescent="0.25">
      <c r="A521" s="3">
        <v>45704.34511574074</v>
      </c>
      <c r="B521" t="s">
        <v>308</v>
      </c>
      <c r="C521" s="3">
        <v>45704.578414351854</v>
      </c>
      <c r="D521" t="s">
        <v>309</v>
      </c>
      <c r="E521" s="4">
        <v>116.254</v>
      </c>
      <c r="F521" s="4">
        <v>523909.22200000001</v>
      </c>
      <c r="G521" s="4">
        <v>524025.47600000002</v>
      </c>
      <c r="H521" s="5">
        <f>5841 / 86400</f>
        <v>6.7604166666666674E-2</v>
      </c>
      <c r="I521" t="s">
        <v>53</v>
      </c>
      <c r="J521" t="s">
        <v>23</v>
      </c>
      <c r="K521" s="5">
        <f>20156 / 86400</f>
        <v>0.23328703703703704</v>
      </c>
      <c r="L521" s="5">
        <f>407 / 86400</f>
        <v>4.7106481481481478E-3</v>
      </c>
    </row>
    <row r="522" spans="1:12" x14ac:dyDescent="0.25">
      <c r="A522" s="3">
        <v>45704.583125000005</v>
      </c>
      <c r="B522" t="s">
        <v>309</v>
      </c>
      <c r="C522" s="3">
        <v>45704.583634259259</v>
      </c>
      <c r="D522" t="s">
        <v>309</v>
      </c>
      <c r="E522" s="4">
        <v>0</v>
      </c>
      <c r="F522" s="4">
        <v>524025.47600000002</v>
      </c>
      <c r="G522" s="4">
        <v>524025.47600000002</v>
      </c>
      <c r="H522" s="5">
        <f>39 / 86400</f>
        <v>4.5138888888888887E-4</v>
      </c>
      <c r="I522" t="s">
        <v>55</v>
      </c>
      <c r="J522" t="s">
        <v>55</v>
      </c>
      <c r="K522" s="5">
        <f>43 / 86400</f>
        <v>4.9768518518518521E-4</v>
      </c>
      <c r="L522" s="5">
        <f>39 / 86400</f>
        <v>4.5138888888888887E-4</v>
      </c>
    </row>
    <row r="523" spans="1:12" x14ac:dyDescent="0.25">
      <c r="A523" s="3">
        <v>45704.584085648152</v>
      </c>
      <c r="B523" t="s">
        <v>309</v>
      </c>
      <c r="C523" s="3">
        <v>45704.584120370375</v>
      </c>
      <c r="D523" t="s">
        <v>309</v>
      </c>
      <c r="E523" s="4">
        <v>0</v>
      </c>
      <c r="F523" s="4">
        <v>524025.47600000002</v>
      </c>
      <c r="G523" s="4">
        <v>524025.47600000002</v>
      </c>
      <c r="H523" s="5">
        <f>0 / 86400</f>
        <v>0</v>
      </c>
      <c r="I523" t="s">
        <v>55</v>
      </c>
      <c r="J523" t="s">
        <v>55</v>
      </c>
      <c r="K523" s="5">
        <f>2 / 86400</f>
        <v>2.3148148148148147E-5</v>
      </c>
      <c r="L523" s="5">
        <f>2 / 86400</f>
        <v>2.3148148148148147E-5</v>
      </c>
    </row>
    <row r="524" spans="1:12" x14ac:dyDescent="0.25">
      <c r="A524" s="3">
        <v>45704.584143518514</v>
      </c>
      <c r="B524" t="s">
        <v>309</v>
      </c>
      <c r="C524" s="3">
        <v>45704.584178240737</v>
      </c>
      <c r="D524" t="s">
        <v>309</v>
      </c>
      <c r="E524" s="4">
        <v>0</v>
      </c>
      <c r="F524" s="4">
        <v>524025.47600000002</v>
      </c>
      <c r="G524" s="4">
        <v>524025.47600000002</v>
      </c>
      <c r="H524" s="5">
        <f>0 / 86400</f>
        <v>0</v>
      </c>
      <c r="I524" t="s">
        <v>55</v>
      </c>
      <c r="J524" t="s">
        <v>55</v>
      </c>
      <c r="K524" s="5">
        <f>3 / 86400</f>
        <v>3.4722222222222222E-5</v>
      </c>
      <c r="L524" s="5">
        <f>71 / 86400</f>
        <v>8.2175925925925927E-4</v>
      </c>
    </row>
    <row r="525" spans="1:12" x14ac:dyDescent="0.25">
      <c r="A525" s="3">
        <v>45704.584999999999</v>
      </c>
      <c r="B525" t="s">
        <v>309</v>
      </c>
      <c r="C525" s="3">
        <v>45704.585729166662</v>
      </c>
      <c r="D525" t="s">
        <v>309</v>
      </c>
      <c r="E525" s="4">
        <v>2E-3</v>
      </c>
      <c r="F525" s="4">
        <v>524025.47700000001</v>
      </c>
      <c r="G525" s="4">
        <v>524025.47899999999</v>
      </c>
      <c r="H525" s="5">
        <f>59 / 86400</f>
        <v>6.8287037037037036E-4</v>
      </c>
      <c r="I525" t="s">
        <v>55</v>
      </c>
      <c r="J525" t="s">
        <v>55</v>
      </c>
      <c r="K525" s="5">
        <f>63 / 86400</f>
        <v>7.291666666666667E-4</v>
      </c>
      <c r="L525" s="5">
        <f>99 / 86400</f>
        <v>1.1458333333333333E-3</v>
      </c>
    </row>
    <row r="526" spans="1:12" x14ac:dyDescent="0.25">
      <c r="A526" s="3">
        <v>45704.586875000001</v>
      </c>
      <c r="B526" t="s">
        <v>309</v>
      </c>
      <c r="C526" s="3">
        <v>45704.587696759263</v>
      </c>
      <c r="D526" t="s">
        <v>309</v>
      </c>
      <c r="E526" s="4">
        <v>2.5000000000000001E-2</v>
      </c>
      <c r="F526" s="4">
        <v>524025.47899999999</v>
      </c>
      <c r="G526" s="4">
        <v>524025.50400000002</v>
      </c>
      <c r="H526" s="5">
        <f>40 / 86400</f>
        <v>4.6296296296296298E-4</v>
      </c>
      <c r="I526" t="s">
        <v>136</v>
      </c>
      <c r="J526" t="s">
        <v>128</v>
      </c>
      <c r="K526" s="5">
        <f>71 / 86400</f>
        <v>8.2175925925925927E-4</v>
      </c>
      <c r="L526" s="5">
        <f>4 / 86400</f>
        <v>4.6296296296296294E-5</v>
      </c>
    </row>
    <row r="527" spans="1:12" x14ac:dyDescent="0.25">
      <c r="A527" s="3">
        <v>45704.587743055556</v>
      </c>
      <c r="B527" t="s">
        <v>309</v>
      </c>
      <c r="C527" s="3">
        <v>45704.59170138889</v>
      </c>
      <c r="D527" t="s">
        <v>58</v>
      </c>
      <c r="E527" s="4">
        <v>0.36</v>
      </c>
      <c r="F527" s="4">
        <v>524025.50400000002</v>
      </c>
      <c r="G527" s="4">
        <v>524025.864</v>
      </c>
      <c r="H527" s="5">
        <f>139 / 86400</f>
        <v>1.6087962962962963E-3</v>
      </c>
      <c r="I527" t="s">
        <v>86</v>
      </c>
      <c r="J527" t="s">
        <v>137</v>
      </c>
      <c r="K527" s="5">
        <f>341 / 86400</f>
        <v>3.9467592592592592E-3</v>
      </c>
      <c r="L527" s="5">
        <f>4 / 86400</f>
        <v>4.6296296296296294E-5</v>
      </c>
    </row>
    <row r="528" spans="1:12" x14ac:dyDescent="0.25">
      <c r="A528" s="3">
        <v>45704.59174768519</v>
      </c>
      <c r="B528" t="s">
        <v>58</v>
      </c>
      <c r="C528" s="3">
        <v>45704.593888888892</v>
      </c>
      <c r="D528" t="s">
        <v>58</v>
      </c>
      <c r="E528" s="4">
        <v>1.0999999999999999E-2</v>
      </c>
      <c r="F528" s="4">
        <v>524025.864</v>
      </c>
      <c r="G528" s="4">
        <v>524025.875</v>
      </c>
      <c r="H528" s="5">
        <f>160 / 86400</f>
        <v>1.8518518518518519E-3</v>
      </c>
      <c r="I528" t="s">
        <v>129</v>
      </c>
      <c r="J528" t="s">
        <v>55</v>
      </c>
      <c r="K528" s="5">
        <f>185 / 86400</f>
        <v>2.1412037037037038E-3</v>
      </c>
      <c r="L528" s="5">
        <f>714 / 86400</f>
        <v>8.2638888888888883E-3</v>
      </c>
    </row>
    <row r="529" spans="1:12" x14ac:dyDescent="0.25">
      <c r="A529" s="3">
        <v>45704.602152777778</v>
      </c>
      <c r="B529" t="s">
        <v>58</v>
      </c>
      <c r="C529" s="3">
        <v>45704.602268518516</v>
      </c>
      <c r="D529" t="s">
        <v>58</v>
      </c>
      <c r="E529" s="4">
        <v>0</v>
      </c>
      <c r="F529" s="4">
        <v>524025.875</v>
      </c>
      <c r="G529" s="4">
        <v>524025.875</v>
      </c>
      <c r="H529" s="5">
        <f>4 / 86400</f>
        <v>4.6296296296296294E-5</v>
      </c>
      <c r="I529" t="s">
        <v>55</v>
      </c>
      <c r="J529" t="s">
        <v>55</v>
      </c>
      <c r="K529" s="5">
        <f>10 / 86400</f>
        <v>1.1574074074074075E-4</v>
      </c>
      <c r="L529" s="5">
        <f>3 / 86400</f>
        <v>3.4722222222222222E-5</v>
      </c>
    </row>
    <row r="530" spans="1:12" x14ac:dyDescent="0.25">
      <c r="A530" s="3">
        <v>45704.602303240739</v>
      </c>
      <c r="B530" t="s">
        <v>58</v>
      </c>
      <c r="C530" s="3">
        <v>45704.602384259255</v>
      </c>
      <c r="D530" t="s">
        <v>58</v>
      </c>
      <c r="E530" s="4">
        <v>0</v>
      </c>
      <c r="F530" s="4">
        <v>524025.875</v>
      </c>
      <c r="G530" s="4">
        <v>524025.875</v>
      </c>
      <c r="H530" s="5">
        <f>0 / 86400</f>
        <v>0</v>
      </c>
      <c r="I530" t="s">
        <v>55</v>
      </c>
      <c r="J530" t="s">
        <v>55</v>
      </c>
      <c r="K530" s="5">
        <f>7 / 86400</f>
        <v>8.1018518518518516E-5</v>
      </c>
      <c r="L530" s="5">
        <f>16 / 86400</f>
        <v>1.8518518518518518E-4</v>
      </c>
    </row>
    <row r="531" spans="1:12" x14ac:dyDescent="0.25">
      <c r="A531" s="3">
        <v>45704.60256944444</v>
      </c>
      <c r="B531" t="s">
        <v>58</v>
      </c>
      <c r="C531" s="3">
        <v>45704.602604166663</v>
      </c>
      <c r="D531" t="s">
        <v>58</v>
      </c>
      <c r="E531" s="4">
        <v>0</v>
      </c>
      <c r="F531" s="4">
        <v>524025.875</v>
      </c>
      <c r="G531" s="4">
        <v>524025.875</v>
      </c>
      <c r="H531" s="5">
        <f>0 / 86400</f>
        <v>0</v>
      </c>
      <c r="I531" t="s">
        <v>55</v>
      </c>
      <c r="J531" t="s">
        <v>55</v>
      </c>
      <c r="K531" s="5">
        <f>2 / 86400</f>
        <v>2.3148148148148147E-5</v>
      </c>
      <c r="L531" s="5">
        <f>202 / 86400</f>
        <v>2.3379629629629631E-3</v>
      </c>
    </row>
    <row r="532" spans="1:12" x14ac:dyDescent="0.25">
      <c r="A532" s="3">
        <v>45704.604942129634</v>
      </c>
      <c r="B532" t="s">
        <v>58</v>
      </c>
      <c r="C532" s="3">
        <v>45704.604999999996</v>
      </c>
      <c r="D532" t="s">
        <v>58</v>
      </c>
      <c r="E532" s="4">
        <v>0</v>
      </c>
      <c r="F532" s="4">
        <v>524025.875</v>
      </c>
      <c r="G532" s="4">
        <v>524025.875</v>
      </c>
      <c r="H532" s="5">
        <f>0 / 86400</f>
        <v>0</v>
      </c>
      <c r="I532" t="s">
        <v>55</v>
      </c>
      <c r="J532" t="s">
        <v>55</v>
      </c>
      <c r="K532" s="5">
        <f>5 / 86400</f>
        <v>5.7870370370370373E-5</v>
      </c>
      <c r="L532" s="5">
        <f>12533 / 86400</f>
        <v>0.14505787037037038</v>
      </c>
    </row>
    <row r="533" spans="1:12" x14ac:dyDescent="0.25">
      <c r="A533" s="3">
        <v>45704.750057870369</v>
      </c>
      <c r="B533" t="s">
        <v>58</v>
      </c>
      <c r="C533" s="3">
        <v>45704.750162037039</v>
      </c>
      <c r="D533" t="s">
        <v>58</v>
      </c>
      <c r="E533" s="4">
        <v>0</v>
      </c>
      <c r="F533" s="4">
        <v>524025.875</v>
      </c>
      <c r="G533" s="4">
        <v>524025.875</v>
      </c>
      <c r="H533" s="5">
        <f>0 / 86400</f>
        <v>0</v>
      </c>
      <c r="I533" t="s">
        <v>55</v>
      </c>
      <c r="J533" t="s">
        <v>55</v>
      </c>
      <c r="K533" s="5">
        <f>9 / 86400</f>
        <v>1.0416666666666667E-4</v>
      </c>
      <c r="L533" s="5">
        <f>94 / 86400</f>
        <v>1.0879629629629629E-3</v>
      </c>
    </row>
    <row r="534" spans="1:12" x14ac:dyDescent="0.25">
      <c r="A534" s="3">
        <v>45704.751250000001</v>
      </c>
      <c r="B534" t="s">
        <v>58</v>
      </c>
      <c r="C534" s="3">
        <v>45704.751898148148</v>
      </c>
      <c r="D534" t="s">
        <v>58</v>
      </c>
      <c r="E534" s="4">
        <v>0</v>
      </c>
      <c r="F534" s="4">
        <v>524025.875</v>
      </c>
      <c r="G534" s="4">
        <v>524025.875</v>
      </c>
      <c r="H534" s="5">
        <f>39 / 86400</f>
        <v>4.5138888888888887E-4</v>
      </c>
      <c r="I534" t="s">
        <v>55</v>
      </c>
      <c r="J534" t="s">
        <v>55</v>
      </c>
      <c r="K534" s="5">
        <f>56 / 86400</f>
        <v>6.4814814814814813E-4</v>
      </c>
      <c r="L534" s="5">
        <f>6246 / 86400</f>
        <v>7.2291666666666671E-2</v>
      </c>
    </row>
    <row r="535" spans="1:12" x14ac:dyDescent="0.25">
      <c r="A535" s="3">
        <v>45704.824189814812</v>
      </c>
      <c r="B535" t="s">
        <v>58</v>
      </c>
      <c r="C535" s="3">
        <v>45704.827060185184</v>
      </c>
      <c r="D535" t="s">
        <v>58</v>
      </c>
      <c r="E535" s="4">
        <v>0</v>
      </c>
      <c r="F535" s="4">
        <v>524025.875</v>
      </c>
      <c r="G535" s="4">
        <v>524025.875</v>
      </c>
      <c r="H535" s="5">
        <f>239 / 86400</f>
        <v>2.7662037037037039E-3</v>
      </c>
      <c r="I535" t="s">
        <v>55</v>
      </c>
      <c r="J535" t="s">
        <v>55</v>
      </c>
      <c r="K535" s="5">
        <f>247 / 86400</f>
        <v>2.8587962962962963E-3</v>
      </c>
      <c r="L535" s="5">
        <f>14941 / 86400</f>
        <v>0.17292824074074073</v>
      </c>
    </row>
    <row r="536" spans="1:1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</row>
    <row r="537" spans="1:1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</row>
    <row r="538" spans="1:12" s="10" customFormat="1" ht="20.100000000000001" customHeight="1" x14ac:dyDescent="0.35">
      <c r="A538" s="15" t="s">
        <v>396</v>
      </c>
      <c r="B538" s="15"/>
      <c r="C538" s="15"/>
      <c r="D538" s="15"/>
      <c r="E538" s="15"/>
      <c r="F538" s="15"/>
      <c r="G538" s="15"/>
      <c r="H538" s="15"/>
      <c r="I538" s="15"/>
      <c r="J538" s="15"/>
    </row>
    <row r="539" spans="1:1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</row>
    <row r="540" spans="1:12" ht="30" x14ac:dyDescent="0.25">
      <c r="A540" s="2" t="s">
        <v>6</v>
      </c>
      <c r="B540" s="2" t="s">
        <v>7</v>
      </c>
      <c r="C540" s="2" t="s">
        <v>8</v>
      </c>
      <c r="D540" s="2" t="s">
        <v>9</v>
      </c>
      <c r="E540" s="2" t="s">
        <v>10</v>
      </c>
      <c r="F540" s="2" t="s">
        <v>11</v>
      </c>
      <c r="G540" s="2" t="s">
        <v>12</v>
      </c>
      <c r="H540" s="2" t="s">
        <v>13</v>
      </c>
      <c r="I540" s="2" t="s">
        <v>14</v>
      </c>
      <c r="J540" s="2" t="s">
        <v>15</v>
      </c>
      <c r="K540" s="2" t="s">
        <v>16</v>
      </c>
      <c r="L540" s="2" t="s">
        <v>17</v>
      </c>
    </row>
    <row r="541" spans="1:12" x14ac:dyDescent="0.25">
      <c r="A541" s="3">
        <v>45704</v>
      </c>
      <c r="B541" t="s">
        <v>60</v>
      </c>
      <c r="C541" s="3">
        <v>45704.012187500004</v>
      </c>
      <c r="D541" t="s">
        <v>310</v>
      </c>
      <c r="E541" s="4">
        <v>3.4039999999999999</v>
      </c>
      <c r="F541" s="4">
        <v>412314.44300000003</v>
      </c>
      <c r="G541" s="4">
        <v>412317.84700000001</v>
      </c>
      <c r="H541" s="5">
        <f>380 / 86400</f>
        <v>4.3981481481481484E-3</v>
      </c>
      <c r="I541" t="s">
        <v>139</v>
      </c>
      <c r="J541" t="s">
        <v>165</v>
      </c>
      <c r="K541" s="5">
        <f>1053 / 86400</f>
        <v>1.21875E-2</v>
      </c>
      <c r="L541" s="5">
        <f>354 / 86400</f>
        <v>4.0972222222222226E-3</v>
      </c>
    </row>
    <row r="542" spans="1:12" x14ac:dyDescent="0.25">
      <c r="A542" s="3">
        <v>45704.016284722224</v>
      </c>
      <c r="B542" t="s">
        <v>310</v>
      </c>
      <c r="C542" s="3">
        <v>45704.024571759262</v>
      </c>
      <c r="D542" t="s">
        <v>311</v>
      </c>
      <c r="E542" s="4">
        <v>1.859</v>
      </c>
      <c r="F542" s="4">
        <v>412317.84700000001</v>
      </c>
      <c r="G542" s="4">
        <v>412319.70600000001</v>
      </c>
      <c r="H542" s="5">
        <f>160 / 86400</f>
        <v>1.8518518518518519E-3</v>
      </c>
      <c r="I542" t="s">
        <v>68</v>
      </c>
      <c r="J542" t="s">
        <v>30</v>
      </c>
      <c r="K542" s="5">
        <f>715 / 86400</f>
        <v>8.2754629629629636E-3</v>
      </c>
      <c r="L542" s="5">
        <f>142 / 86400</f>
        <v>1.6435185185185185E-3</v>
      </c>
    </row>
    <row r="543" spans="1:12" x14ac:dyDescent="0.25">
      <c r="A543" s="3">
        <v>45704.02621527778</v>
      </c>
      <c r="B543" t="s">
        <v>311</v>
      </c>
      <c r="C543" s="3">
        <v>45704.027615740742</v>
      </c>
      <c r="D543" t="s">
        <v>312</v>
      </c>
      <c r="E543" s="4">
        <v>4.1000000000000002E-2</v>
      </c>
      <c r="F543" s="4">
        <v>412319.70600000001</v>
      </c>
      <c r="G543" s="4">
        <v>412319.74699999997</v>
      </c>
      <c r="H543" s="5">
        <f>99 / 86400</f>
        <v>1.1458333333333333E-3</v>
      </c>
      <c r="I543" t="s">
        <v>127</v>
      </c>
      <c r="J543" t="s">
        <v>128</v>
      </c>
      <c r="K543" s="5">
        <f>120 / 86400</f>
        <v>1.3888888888888889E-3</v>
      </c>
      <c r="L543" s="5">
        <f>1642 / 86400</f>
        <v>1.9004629629629628E-2</v>
      </c>
    </row>
    <row r="544" spans="1:12" x14ac:dyDescent="0.25">
      <c r="A544" s="3">
        <v>45704.046620370369</v>
      </c>
      <c r="B544" t="s">
        <v>311</v>
      </c>
      <c r="C544" s="3">
        <v>45704.047210648147</v>
      </c>
      <c r="D544" t="s">
        <v>311</v>
      </c>
      <c r="E544" s="4">
        <v>8.0000000000000002E-3</v>
      </c>
      <c r="F544" s="4">
        <v>412319.74699999997</v>
      </c>
      <c r="G544" s="4">
        <v>412319.755</v>
      </c>
      <c r="H544" s="5">
        <f>39 / 86400</f>
        <v>4.5138888888888887E-4</v>
      </c>
      <c r="I544" t="s">
        <v>55</v>
      </c>
      <c r="J544" t="s">
        <v>128</v>
      </c>
      <c r="K544" s="5">
        <f>51 / 86400</f>
        <v>5.9027777777777778E-4</v>
      </c>
      <c r="L544" s="5">
        <f>1141 / 86400</f>
        <v>1.3206018518518518E-2</v>
      </c>
    </row>
    <row r="545" spans="1:12" x14ac:dyDescent="0.25">
      <c r="A545" s="3">
        <v>45704.060416666667</v>
      </c>
      <c r="B545" t="s">
        <v>311</v>
      </c>
      <c r="C545" s="3">
        <v>45704.067500000005</v>
      </c>
      <c r="D545" t="s">
        <v>310</v>
      </c>
      <c r="E545" s="4">
        <v>1.516</v>
      </c>
      <c r="F545" s="4">
        <v>412319.755</v>
      </c>
      <c r="G545" s="4">
        <v>412321.27100000001</v>
      </c>
      <c r="H545" s="5">
        <f>239 / 86400</f>
        <v>2.7662037037037039E-3</v>
      </c>
      <c r="I545" t="s">
        <v>29</v>
      </c>
      <c r="J545" t="s">
        <v>30</v>
      </c>
      <c r="K545" s="5">
        <f>612 / 86400</f>
        <v>7.083333333333333E-3</v>
      </c>
      <c r="L545" s="5">
        <f>16323 / 86400</f>
        <v>0.18892361111111111</v>
      </c>
    </row>
    <row r="546" spans="1:12" x14ac:dyDescent="0.25">
      <c r="A546" s="3">
        <v>45704.256423611107</v>
      </c>
      <c r="B546" t="s">
        <v>46</v>
      </c>
      <c r="C546" s="3">
        <v>45704.256435185191</v>
      </c>
      <c r="D546" t="s">
        <v>46</v>
      </c>
      <c r="E546" s="4">
        <v>0</v>
      </c>
      <c r="F546" s="4">
        <v>412321.27100000001</v>
      </c>
      <c r="G546" s="4">
        <v>412321.27100000001</v>
      </c>
      <c r="H546" s="5">
        <f>0 / 86400</f>
        <v>0</v>
      </c>
      <c r="I546" t="s">
        <v>55</v>
      </c>
      <c r="J546" t="s">
        <v>55</v>
      </c>
      <c r="K546" s="5">
        <f>1 / 86400</f>
        <v>1.1574074074074073E-5</v>
      </c>
      <c r="L546" s="5">
        <f>46 / 86400</f>
        <v>5.3240740740740744E-4</v>
      </c>
    </row>
    <row r="547" spans="1:12" x14ac:dyDescent="0.25">
      <c r="A547" s="3">
        <v>45704.256967592592</v>
      </c>
      <c r="B547" t="s">
        <v>46</v>
      </c>
      <c r="C547" s="3">
        <v>45704.257037037038</v>
      </c>
      <c r="D547" t="s">
        <v>46</v>
      </c>
      <c r="E547" s="4">
        <v>0</v>
      </c>
      <c r="F547" s="4">
        <v>412321.27100000001</v>
      </c>
      <c r="G547" s="4">
        <v>412321.27100000001</v>
      </c>
      <c r="H547" s="5">
        <f>0 / 86400</f>
        <v>0</v>
      </c>
      <c r="I547" t="s">
        <v>55</v>
      </c>
      <c r="J547" t="s">
        <v>55</v>
      </c>
      <c r="K547" s="5">
        <f>6 / 86400</f>
        <v>6.9444444444444444E-5</v>
      </c>
      <c r="L547" s="5">
        <f>5 / 86400</f>
        <v>5.7870370370370373E-5</v>
      </c>
    </row>
    <row r="548" spans="1:12" x14ac:dyDescent="0.25">
      <c r="A548" s="3">
        <v>45704.257094907407</v>
      </c>
      <c r="B548" t="s">
        <v>46</v>
      </c>
      <c r="C548" s="3">
        <v>45704.257118055553</v>
      </c>
      <c r="D548" t="s">
        <v>46</v>
      </c>
      <c r="E548" s="4">
        <v>0</v>
      </c>
      <c r="F548" s="4">
        <v>412321.27100000001</v>
      </c>
      <c r="G548" s="4">
        <v>412321.27100000001</v>
      </c>
      <c r="H548" s="5">
        <f>0 / 86400</f>
        <v>0</v>
      </c>
      <c r="I548" t="s">
        <v>55</v>
      </c>
      <c r="J548" t="s">
        <v>55</v>
      </c>
      <c r="K548" s="5">
        <f>2 / 86400</f>
        <v>2.3148148148148147E-5</v>
      </c>
      <c r="L548" s="5">
        <f>30 / 86400</f>
        <v>3.4722222222222224E-4</v>
      </c>
    </row>
    <row r="549" spans="1:12" x14ac:dyDescent="0.25">
      <c r="A549" s="3">
        <v>45704.257465277777</v>
      </c>
      <c r="B549" t="s">
        <v>46</v>
      </c>
      <c r="C549" s="3">
        <v>45704.260821759264</v>
      </c>
      <c r="D549" t="s">
        <v>313</v>
      </c>
      <c r="E549" s="4">
        <v>0.38500000000000001</v>
      </c>
      <c r="F549" s="4">
        <v>412321.27100000001</v>
      </c>
      <c r="G549" s="4">
        <v>412321.65600000002</v>
      </c>
      <c r="H549" s="5">
        <f>159 / 86400</f>
        <v>1.8402777777777777E-3</v>
      </c>
      <c r="I549" t="s">
        <v>51</v>
      </c>
      <c r="J549" t="s">
        <v>127</v>
      </c>
      <c r="K549" s="5">
        <f>289 / 86400</f>
        <v>3.3449074074074076E-3</v>
      </c>
      <c r="L549" s="5">
        <f>576 / 86400</f>
        <v>6.6666666666666671E-3</v>
      </c>
    </row>
    <row r="550" spans="1:12" x14ac:dyDescent="0.25">
      <c r="A550" s="3">
        <v>45704.267488425925</v>
      </c>
      <c r="B550" t="s">
        <v>313</v>
      </c>
      <c r="C550" s="3">
        <v>45704.387557870374</v>
      </c>
      <c r="D550" t="s">
        <v>73</v>
      </c>
      <c r="E550" s="4">
        <v>50.417999999999999</v>
      </c>
      <c r="F550" s="4">
        <v>412321.65600000002</v>
      </c>
      <c r="G550" s="4">
        <v>412372.07400000002</v>
      </c>
      <c r="H550" s="5">
        <f>3060 / 86400</f>
        <v>3.5416666666666666E-2</v>
      </c>
      <c r="I550" t="s">
        <v>62</v>
      </c>
      <c r="J550" t="s">
        <v>48</v>
      </c>
      <c r="K550" s="5">
        <f>10373 / 86400</f>
        <v>0.12005787037037037</v>
      </c>
      <c r="L550" s="5">
        <f>461 / 86400</f>
        <v>5.3356481481481484E-3</v>
      </c>
    </row>
    <row r="551" spans="1:12" x14ac:dyDescent="0.25">
      <c r="A551" s="3">
        <v>45704.392893518518</v>
      </c>
      <c r="B551" t="s">
        <v>73</v>
      </c>
      <c r="C551" s="3">
        <v>45704.396481481483</v>
      </c>
      <c r="D551" t="s">
        <v>81</v>
      </c>
      <c r="E551" s="4">
        <v>0.36799999999999999</v>
      </c>
      <c r="F551" s="4">
        <v>412372.07400000002</v>
      </c>
      <c r="G551" s="4">
        <v>412372.44199999998</v>
      </c>
      <c r="H551" s="5">
        <f>139 / 86400</f>
        <v>1.6087962962962963E-3</v>
      </c>
      <c r="I551" t="s">
        <v>44</v>
      </c>
      <c r="J551" t="s">
        <v>137</v>
      </c>
      <c r="K551" s="5">
        <f>309 / 86400</f>
        <v>3.5763888888888889E-3</v>
      </c>
      <c r="L551" s="5">
        <f>1149 / 86400</f>
        <v>1.3298611111111112E-2</v>
      </c>
    </row>
    <row r="552" spans="1:12" x14ac:dyDescent="0.25">
      <c r="A552" s="3">
        <v>45704.409780092596</v>
      </c>
      <c r="B552" t="s">
        <v>81</v>
      </c>
      <c r="C552" s="3">
        <v>45704.421446759261</v>
      </c>
      <c r="D552" t="s">
        <v>314</v>
      </c>
      <c r="E552" s="4">
        <v>7.0780000000000003</v>
      </c>
      <c r="F552" s="4">
        <v>412372.44199999998</v>
      </c>
      <c r="G552" s="4">
        <v>412379.52</v>
      </c>
      <c r="H552" s="5">
        <f>100 / 86400</f>
        <v>1.1574074074074073E-3</v>
      </c>
      <c r="I552" t="s">
        <v>237</v>
      </c>
      <c r="J552" t="s">
        <v>122</v>
      </c>
      <c r="K552" s="5">
        <f>1007 / 86400</f>
        <v>1.1655092592592592E-2</v>
      </c>
      <c r="L552" s="5">
        <f>33867 / 86400</f>
        <v>0.39197916666666666</v>
      </c>
    </row>
    <row r="553" spans="1:12" x14ac:dyDescent="0.25">
      <c r="A553" s="3">
        <v>45704.813425925924</v>
      </c>
      <c r="B553" t="s">
        <v>314</v>
      </c>
      <c r="C553" s="3">
        <v>45704.81349537037</v>
      </c>
      <c r="D553" t="s">
        <v>314</v>
      </c>
      <c r="E553" s="4">
        <v>0</v>
      </c>
      <c r="F553" s="4">
        <v>412379.52</v>
      </c>
      <c r="G553" s="4">
        <v>412379.52</v>
      </c>
      <c r="H553" s="5">
        <f>0 / 86400</f>
        <v>0</v>
      </c>
      <c r="I553" t="s">
        <v>55</v>
      </c>
      <c r="J553" t="s">
        <v>55</v>
      </c>
      <c r="K553" s="5">
        <f>6 / 86400</f>
        <v>6.9444444444444444E-5</v>
      </c>
      <c r="L553" s="5">
        <f>19 / 86400</f>
        <v>2.199074074074074E-4</v>
      </c>
    </row>
    <row r="554" spans="1:12" x14ac:dyDescent="0.25">
      <c r="A554" s="3">
        <v>45704.813715277778</v>
      </c>
      <c r="B554" t="s">
        <v>314</v>
      </c>
      <c r="C554" s="3">
        <v>45704.87972222222</v>
      </c>
      <c r="D554" t="s">
        <v>315</v>
      </c>
      <c r="E554" s="4">
        <v>32.052999999999997</v>
      </c>
      <c r="F554" s="4">
        <v>412379.52</v>
      </c>
      <c r="G554" s="4">
        <v>412411.57299999997</v>
      </c>
      <c r="H554" s="5">
        <f>1060 / 86400</f>
        <v>1.2268518518518519E-2</v>
      </c>
      <c r="I554" t="s">
        <v>184</v>
      </c>
      <c r="J554" t="s">
        <v>33</v>
      </c>
      <c r="K554" s="5">
        <f>5703 / 86400</f>
        <v>6.6006944444444438E-2</v>
      </c>
      <c r="L554" s="5">
        <f>64 / 86400</f>
        <v>7.407407407407407E-4</v>
      </c>
    </row>
    <row r="555" spans="1:12" x14ac:dyDescent="0.25">
      <c r="A555" s="3">
        <v>45704.880462962959</v>
      </c>
      <c r="B555" t="s">
        <v>315</v>
      </c>
      <c r="C555" s="3">
        <v>45704.881157407406</v>
      </c>
      <c r="D555" t="s">
        <v>316</v>
      </c>
      <c r="E555" s="4">
        <v>3.4000000000000002E-2</v>
      </c>
      <c r="F555" s="4">
        <v>412411.57299999997</v>
      </c>
      <c r="G555" s="4">
        <v>412411.60700000002</v>
      </c>
      <c r="H555" s="5">
        <f>20 / 86400</f>
        <v>2.3148148148148149E-4</v>
      </c>
      <c r="I555" t="s">
        <v>127</v>
      </c>
      <c r="J555" t="s">
        <v>129</v>
      </c>
      <c r="K555" s="5">
        <f>60 / 86400</f>
        <v>6.9444444444444447E-4</v>
      </c>
      <c r="L555" s="5">
        <f>218 / 86400</f>
        <v>2.5231481481481481E-3</v>
      </c>
    </row>
    <row r="556" spans="1:12" x14ac:dyDescent="0.25">
      <c r="A556" s="3">
        <v>45704.883680555555</v>
      </c>
      <c r="B556" t="s">
        <v>316</v>
      </c>
      <c r="C556" s="3">
        <v>45704.886076388888</v>
      </c>
      <c r="D556" t="s">
        <v>61</v>
      </c>
      <c r="E556" s="4">
        <v>0.32</v>
      </c>
      <c r="F556" s="4">
        <v>412411.60700000002</v>
      </c>
      <c r="G556" s="4">
        <v>412411.92700000003</v>
      </c>
      <c r="H556" s="5">
        <f>60 / 86400</f>
        <v>6.9444444444444447E-4</v>
      </c>
      <c r="I556" t="s">
        <v>133</v>
      </c>
      <c r="J556" t="s">
        <v>88</v>
      </c>
      <c r="K556" s="5">
        <f>206 / 86400</f>
        <v>2.3842592592592591E-3</v>
      </c>
      <c r="L556" s="5">
        <f>9842 / 86400</f>
        <v>0.11391203703703703</v>
      </c>
    </row>
    <row r="557" spans="1:1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</row>
    <row r="558" spans="1:1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</row>
    <row r="559" spans="1:12" s="10" customFormat="1" ht="20.100000000000001" customHeight="1" x14ac:dyDescent="0.35">
      <c r="A559" s="15" t="s">
        <v>397</v>
      </c>
      <c r="B559" s="15"/>
      <c r="C559" s="15"/>
      <c r="D559" s="15"/>
      <c r="E559" s="15"/>
      <c r="F559" s="15"/>
      <c r="G559" s="15"/>
      <c r="H559" s="15"/>
      <c r="I559" s="15"/>
      <c r="J559" s="15"/>
    </row>
    <row r="560" spans="1:1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</row>
    <row r="561" spans="1:12" ht="30" x14ac:dyDescent="0.25">
      <c r="A561" s="2" t="s">
        <v>6</v>
      </c>
      <c r="B561" s="2" t="s">
        <v>7</v>
      </c>
      <c r="C561" s="2" t="s">
        <v>8</v>
      </c>
      <c r="D561" s="2" t="s">
        <v>9</v>
      </c>
      <c r="E561" s="2" t="s">
        <v>10</v>
      </c>
      <c r="F561" s="2" t="s">
        <v>11</v>
      </c>
      <c r="G561" s="2" t="s">
        <v>12</v>
      </c>
      <c r="H561" s="2" t="s">
        <v>13</v>
      </c>
      <c r="I561" s="2" t="s">
        <v>14</v>
      </c>
      <c r="J561" s="2" t="s">
        <v>15</v>
      </c>
      <c r="K561" s="2" t="s">
        <v>16</v>
      </c>
      <c r="L561" s="2" t="s">
        <v>17</v>
      </c>
    </row>
    <row r="562" spans="1:12" x14ac:dyDescent="0.25">
      <c r="A562" s="3">
        <v>45704.324664351851</v>
      </c>
      <c r="B562" t="s">
        <v>63</v>
      </c>
      <c r="C562" s="3">
        <v>45704.329594907409</v>
      </c>
      <c r="D562" t="s">
        <v>169</v>
      </c>
      <c r="E562" s="4">
        <v>1.3029999999999999</v>
      </c>
      <c r="F562" s="4">
        <v>403148.978</v>
      </c>
      <c r="G562" s="4">
        <v>403150.28100000002</v>
      </c>
      <c r="H562" s="5">
        <f>79 / 86400</f>
        <v>9.1435185185185185E-4</v>
      </c>
      <c r="I562" t="s">
        <v>102</v>
      </c>
      <c r="J562" t="s">
        <v>143</v>
      </c>
      <c r="K562" s="5">
        <f>426 / 86400</f>
        <v>4.9305555555555552E-3</v>
      </c>
      <c r="L562" s="5">
        <f>28204 / 86400</f>
        <v>0.32643518518518516</v>
      </c>
    </row>
    <row r="563" spans="1:12" x14ac:dyDescent="0.25">
      <c r="A563" s="3">
        <v>45704.331365740742</v>
      </c>
      <c r="B563" t="s">
        <v>169</v>
      </c>
      <c r="C563" s="3">
        <v>45704.421712962961</v>
      </c>
      <c r="D563" t="s">
        <v>296</v>
      </c>
      <c r="E563" s="4">
        <v>50.216999999999999</v>
      </c>
      <c r="F563" s="4">
        <v>403150.28100000002</v>
      </c>
      <c r="G563" s="4">
        <v>403200.49800000002</v>
      </c>
      <c r="H563" s="5">
        <f>1999 / 86400</f>
        <v>2.3136574074074073E-2</v>
      </c>
      <c r="I563" t="s">
        <v>43</v>
      </c>
      <c r="J563" t="s">
        <v>27</v>
      </c>
      <c r="K563" s="5">
        <f>7805 / 86400</f>
        <v>9.0335648148148151E-2</v>
      </c>
      <c r="L563" s="5">
        <f>295 / 86400</f>
        <v>3.414351851851852E-3</v>
      </c>
    </row>
    <row r="564" spans="1:12" x14ac:dyDescent="0.25">
      <c r="A564" s="3">
        <v>45704.425127314811</v>
      </c>
      <c r="B564" t="s">
        <v>296</v>
      </c>
      <c r="C564" s="3">
        <v>45704.550219907411</v>
      </c>
      <c r="D564" t="s">
        <v>115</v>
      </c>
      <c r="E564" s="4">
        <v>50.581000000000003</v>
      </c>
      <c r="F564" s="4">
        <v>403200.49800000002</v>
      </c>
      <c r="G564" s="4">
        <v>403251.07900000003</v>
      </c>
      <c r="H564" s="5">
        <f>3800 / 86400</f>
        <v>4.3981481481481483E-2</v>
      </c>
      <c r="I564" t="s">
        <v>53</v>
      </c>
      <c r="J564" t="s">
        <v>48</v>
      </c>
      <c r="K564" s="5">
        <f>10807 / 86400</f>
        <v>0.12508101851851852</v>
      </c>
      <c r="L564" s="5">
        <f>581 / 86400</f>
        <v>6.7245370370370367E-3</v>
      </c>
    </row>
    <row r="565" spans="1:12" x14ac:dyDescent="0.25">
      <c r="A565" s="3">
        <v>45704.556944444441</v>
      </c>
      <c r="B565" t="s">
        <v>115</v>
      </c>
      <c r="C565" s="3">
        <v>45704.558437500003</v>
      </c>
      <c r="D565" t="s">
        <v>153</v>
      </c>
      <c r="E565" s="4">
        <v>0.40100000000000002</v>
      </c>
      <c r="F565" s="4">
        <v>403251.07900000003</v>
      </c>
      <c r="G565" s="4">
        <v>403251.48</v>
      </c>
      <c r="H565" s="5">
        <f>39 / 86400</f>
        <v>4.5138888888888887E-4</v>
      </c>
      <c r="I565" t="s">
        <v>94</v>
      </c>
      <c r="J565" t="s">
        <v>143</v>
      </c>
      <c r="K565" s="5">
        <f>129 / 86400</f>
        <v>1.4930555555555556E-3</v>
      </c>
      <c r="L565" s="5">
        <f>1707 / 86400</f>
        <v>1.9756944444444445E-2</v>
      </c>
    </row>
    <row r="566" spans="1:12" x14ac:dyDescent="0.25">
      <c r="A566" s="3">
        <v>45704.578194444446</v>
      </c>
      <c r="B566" t="s">
        <v>153</v>
      </c>
      <c r="C566" s="3">
        <v>45704.68849537037</v>
      </c>
      <c r="D566" t="s">
        <v>296</v>
      </c>
      <c r="E566" s="4">
        <v>50.441000000000003</v>
      </c>
      <c r="F566" s="4">
        <v>403251.48</v>
      </c>
      <c r="G566" s="4">
        <v>403301.92099999997</v>
      </c>
      <c r="H566" s="5">
        <f>3539 / 86400</f>
        <v>4.0960648148148149E-2</v>
      </c>
      <c r="I566" t="s">
        <v>64</v>
      </c>
      <c r="J566" t="s">
        <v>44</v>
      </c>
      <c r="K566" s="5">
        <f>9529 / 86400</f>
        <v>0.11028935185185185</v>
      </c>
      <c r="L566" s="5">
        <f>602 / 86400</f>
        <v>6.9675925925925929E-3</v>
      </c>
    </row>
    <row r="567" spans="1:12" x14ac:dyDescent="0.25">
      <c r="A567" s="3">
        <v>45704.695462962962</v>
      </c>
      <c r="B567" t="s">
        <v>296</v>
      </c>
      <c r="C567" s="3">
        <v>45704.787372685183</v>
      </c>
      <c r="D567" t="s">
        <v>290</v>
      </c>
      <c r="E567" s="4">
        <v>39.506</v>
      </c>
      <c r="F567" s="4">
        <v>403301.92099999997</v>
      </c>
      <c r="G567" s="4">
        <v>403341.42700000003</v>
      </c>
      <c r="H567" s="5">
        <f>2578 / 86400</f>
        <v>2.9837962962962962E-2</v>
      </c>
      <c r="I567" t="s">
        <v>317</v>
      </c>
      <c r="J567" t="s">
        <v>51</v>
      </c>
      <c r="K567" s="5">
        <f>7940 / 86400</f>
        <v>9.1898148148148145E-2</v>
      </c>
      <c r="L567" s="5">
        <f>119 / 86400</f>
        <v>1.3773148148148147E-3</v>
      </c>
    </row>
    <row r="568" spans="1:12" x14ac:dyDescent="0.25">
      <c r="A568" s="3">
        <v>45704.78875</v>
      </c>
      <c r="B568" t="s">
        <v>290</v>
      </c>
      <c r="C568" s="3">
        <v>45704.805347222224</v>
      </c>
      <c r="D568" t="s">
        <v>73</v>
      </c>
      <c r="E568" s="4">
        <v>9.9239999999999995</v>
      </c>
      <c r="F568" s="4">
        <v>403341.42700000003</v>
      </c>
      <c r="G568" s="4">
        <v>403351.35100000002</v>
      </c>
      <c r="H568" s="5">
        <f>240 / 86400</f>
        <v>2.7777777777777779E-3</v>
      </c>
      <c r="I568" t="s">
        <v>183</v>
      </c>
      <c r="J568" t="s">
        <v>122</v>
      </c>
      <c r="K568" s="5">
        <f>1433 / 86400</f>
        <v>1.6585648148148148E-2</v>
      </c>
      <c r="L568" s="5">
        <f>321 / 86400</f>
        <v>3.7152777777777778E-3</v>
      </c>
    </row>
    <row r="569" spans="1:12" x14ac:dyDescent="0.25">
      <c r="A569" s="3">
        <v>45704.809062500004</v>
      </c>
      <c r="B569" t="s">
        <v>73</v>
      </c>
      <c r="C569" s="3">
        <v>45704.811157407406</v>
      </c>
      <c r="D569" t="s">
        <v>294</v>
      </c>
      <c r="E569" s="4">
        <v>0.33100000000000002</v>
      </c>
      <c r="F569" s="4">
        <v>403351.35100000002</v>
      </c>
      <c r="G569" s="4">
        <v>403351.68199999997</v>
      </c>
      <c r="H569" s="5">
        <f>80 / 86400</f>
        <v>9.2592592592592596E-4</v>
      </c>
      <c r="I569" t="s">
        <v>122</v>
      </c>
      <c r="J569" t="s">
        <v>136</v>
      </c>
      <c r="K569" s="5">
        <f>180 / 86400</f>
        <v>2.0833333333333333E-3</v>
      </c>
      <c r="L569" s="5">
        <f>236 / 86400</f>
        <v>2.7314814814814814E-3</v>
      </c>
    </row>
    <row r="570" spans="1:12" x14ac:dyDescent="0.25">
      <c r="A570" s="3">
        <v>45704.813888888893</v>
      </c>
      <c r="B570" t="s">
        <v>294</v>
      </c>
      <c r="C570" s="3">
        <v>45704.814814814818</v>
      </c>
      <c r="D570" t="s">
        <v>318</v>
      </c>
      <c r="E570" s="4">
        <v>0.247</v>
      </c>
      <c r="F570" s="4">
        <v>403351.68199999997</v>
      </c>
      <c r="G570" s="4">
        <v>403351.929</v>
      </c>
      <c r="H570" s="5">
        <f>19 / 86400</f>
        <v>2.199074074074074E-4</v>
      </c>
      <c r="I570" t="s">
        <v>27</v>
      </c>
      <c r="J570" t="s">
        <v>143</v>
      </c>
      <c r="K570" s="5">
        <f>80 / 86400</f>
        <v>9.2592592592592596E-4</v>
      </c>
      <c r="L570" s="5">
        <f>258 / 86400</f>
        <v>2.9861111111111113E-3</v>
      </c>
    </row>
    <row r="571" spans="1:12" x14ac:dyDescent="0.25">
      <c r="A571" s="3">
        <v>45704.817800925928</v>
      </c>
      <c r="B571" t="s">
        <v>80</v>
      </c>
      <c r="C571" s="3">
        <v>45704.820069444446</v>
      </c>
      <c r="D571" t="s">
        <v>319</v>
      </c>
      <c r="E571" s="4">
        <v>0.20699999999999999</v>
      </c>
      <c r="F571" s="4">
        <v>403351.929</v>
      </c>
      <c r="G571" s="4">
        <v>403352.136</v>
      </c>
      <c r="H571" s="5">
        <f>120 / 86400</f>
        <v>1.3888888888888889E-3</v>
      </c>
      <c r="I571" t="s">
        <v>279</v>
      </c>
      <c r="J571" t="s">
        <v>137</v>
      </c>
      <c r="K571" s="5">
        <f>196 / 86400</f>
        <v>2.2685185185185187E-3</v>
      </c>
      <c r="L571" s="5">
        <f>472 / 86400</f>
        <v>5.4629629629629629E-3</v>
      </c>
    </row>
    <row r="572" spans="1:12" x14ac:dyDescent="0.25">
      <c r="A572" s="3">
        <v>45704.825532407413</v>
      </c>
      <c r="B572" t="s">
        <v>319</v>
      </c>
      <c r="C572" s="3">
        <v>45704.825810185182</v>
      </c>
      <c r="D572" t="s">
        <v>63</v>
      </c>
      <c r="E572" s="4">
        <v>2.3E-2</v>
      </c>
      <c r="F572" s="4">
        <v>403352.136</v>
      </c>
      <c r="G572" s="4">
        <v>403352.15899999999</v>
      </c>
      <c r="H572" s="5">
        <f>0 / 86400</f>
        <v>0</v>
      </c>
      <c r="I572" t="s">
        <v>127</v>
      </c>
      <c r="J572" t="s">
        <v>87</v>
      </c>
      <c r="K572" s="5">
        <f>24 / 86400</f>
        <v>2.7777777777777778E-4</v>
      </c>
      <c r="L572" s="5">
        <f>15049 / 86400</f>
        <v>0.17417824074074073</v>
      </c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</row>
    <row r="575" spans="1:12" s="10" customFormat="1" ht="20.100000000000001" customHeight="1" x14ac:dyDescent="0.35">
      <c r="A575" s="15" t="s">
        <v>398</v>
      </c>
      <c r="B575" s="15"/>
      <c r="C575" s="15"/>
      <c r="D575" s="15"/>
      <c r="E575" s="15"/>
      <c r="F575" s="15"/>
      <c r="G575" s="15"/>
      <c r="H575" s="15"/>
      <c r="I575" s="15"/>
      <c r="J575" s="15"/>
    </row>
    <row r="576" spans="1:1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</row>
    <row r="577" spans="1:12" ht="30" x14ac:dyDescent="0.25">
      <c r="A577" s="2" t="s">
        <v>6</v>
      </c>
      <c r="B577" s="2" t="s">
        <v>7</v>
      </c>
      <c r="C577" s="2" t="s">
        <v>8</v>
      </c>
      <c r="D577" s="2" t="s">
        <v>9</v>
      </c>
      <c r="E577" s="2" t="s">
        <v>10</v>
      </c>
      <c r="F577" s="2" t="s">
        <v>11</v>
      </c>
      <c r="G577" s="2" t="s">
        <v>12</v>
      </c>
      <c r="H577" s="2" t="s">
        <v>13</v>
      </c>
      <c r="I577" s="2" t="s">
        <v>14</v>
      </c>
      <c r="J577" s="2" t="s">
        <v>15</v>
      </c>
      <c r="K577" s="2" t="s">
        <v>16</v>
      </c>
      <c r="L577" s="2" t="s">
        <v>17</v>
      </c>
    </row>
    <row r="578" spans="1:12" x14ac:dyDescent="0.25">
      <c r="A578" s="3">
        <v>45704.170381944445</v>
      </c>
      <c r="B578" t="s">
        <v>65</v>
      </c>
      <c r="C578" s="3">
        <v>45704.172083333338</v>
      </c>
      <c r="D578" t="s">
        <v>65</v>
      </c>
      <c r="E578" s="4">
        <v>0</v>
      </c>
      <c r="F578" s="4">
        <v>41470.438999999998</v>
      </c>
      <c r="G578" s="4">
        <v>41470.438999999998</v>
      </c>
      <c r="H578" s="5">
        <f>139 / 86400</f>
        <v>1.6087962962962963E-3</v>
      </c>
      <c r="I578" t="s">
        <v>55</v>
      </c>
      <c r="J578" t="s">
        <v>55</v>
      </c>
      <c r="K578" s="5">
        <f>146 / 86400</f>
        <v>1.6898148148148148E-3</v>
      </c>
      <c r="L578" s="5">
        <f>15314 / 86400</f>
        <v>0.17724537037037036</v>
      </c>
    </row>
    <row r="579" spans="1:12" x14ac:dyDescent="0.25">
      <c r="A579" s="3">
        <v>45704.178946759261</v>
      </c>
      <c r="B579" t="s">
        <v>65</v>
      </c>
      <c r="C579" s="3">
        <v>45704.362233796295</v>
      </c>
      <c r="D579" t="s">
        <v>115</v>
      </c>
      <c r="E579" s="4">
        <v>89.260999999999996</v>
      </c>
      <c r="F579" s="4">
        <v>41470.438999999998</v>
      </c>
      <c r="G579" s="4">
        <v>41559.699999999997</v>
      </c>
      <c r="H579" s="5">
        <f>4538 / 86400</f>
        <v>5.2523148148148145E-2</v>
      </c>
      <c r="I579" t="s">
        <v>43</v>
      </c>
      <c r="J579" t="s">
        <v>33</v>
      </c>
      <c r="K579" s="5">
        <f>15836 / 86400</f>
        <v>0.18328703703703703</v>
      </c>
      <c r="L579" s="5">
        <f>305 / 86400</f>
        <v>3.5300925925925925E-3</v>
      </c>
    </row>
    <row r="580" spans="1:12" x14ac:dyDescent="0.25">
      <c r="A580" s="3">
        <v>45704.365763888884</v>
      </c>
      <c r="B580" t="s">
        <v>115</v>
      </c>
      <c r="C580" s="3">
        <v>45704.368842592594</v>
      </c>
      <c r="D580" t="s">
        <v>74</v>
      </c>
      <c r="E580" s="4">
        <v>1.2669999999999999</v>
      </c>
      <c r="F580" s="4">
        <v>41559.699999999997</v>
      </c>
      <c r="G580" s="4">
        <v>41560.966999999997</v>
      </c>
      <c r="H580" s="5">
        <f>20 / 86400</f>
        <v>2.3148148148148149E-4</v>
      </c>
      <c r="I580" t="s">
        <v>166</v>
      </c>
      <c r="J580" t="s">
        <v>48</v>
      </c>
      <c r="K580" s="5">
        <f>266 / 86400</f>
        <v>3.0787037037037037E-3</v>
      </c>
      <c r="L580" s="5">
        <f>1384 / 86400</f>
        <v>1.6018518518518519E-2</v>
      </c>
    </row>
    <row r="581" spans="1:12" x14ac:dyDescent="0.25">
      <c r="A581" s="3">
        <v>45704.38486111111</v>
      </c>
      <c r="B581" t="s">
        <v>74</v>
      </c>
      <c r="C581" s="3">
        <v>45704.524282407408</v>
      </c>
      <c r="D581" t="s">
        <v>73</v>
      </c>
      <c r="E581" s="4">
        <v>69.582999999999998</v>
      </c>
      <c r="F581" s="4">
        <v>41560.966999999997</v>
      </c>
      <c r="G581" s="4">
        <v>41630.550000000003</v>
      </c>
      <c r="H581" s="5">
        <f>3519 / 86400</f>
        <v>4.0729166666666664E-2</v>
      </c>
      <c r="I581" t="s">
        <v>34</v>
      </c>
      <c r="J581" t="s">
        <v>23</v>
      </c>
      <c r="K581" s="5">
        <f>12045 / 86400</f>
        <v>0.13940972222222223</v>
      </c>
      <c r="L581" s="5">
        <f>240 / 86400</f>
        <v>2.7777777777777779E-3</v>
      </c>
    </row>
    <row r="582" spans="1:12" x14ac:dyDescent="0.25">
      <c r="A582" s="3">
        <v>45704.527060185181</v>
      </c>
      <c r="B582" t="s">
        <v>73</v>
      </c>
      <c r="C582" s="3">
        <v>45704.530046296291</v>
      </c>
      <c r="D582" t="s">
        <v>74</v>
      </c>
      <c r="E582" s="4">
        <v>4.5999999999999999E-2</v>
      </c>
      <c r="F582" s="4">
        <v>41630.550000000003</v>
      </c>
      <c r="G582" s="4">
        <v>41630.595999999998</v>
      </c>
      <c r="H582" s="5">
        <f>220 / 86400</f>
        <v>2.5462962962962965E-3</v>
      </c>
      <c r="I582" t="s">
        <v>151</v>
      </c>
      <c r="J582" t="s">
        <v>128</v>
      </c>
      <c r="K582" s="5">
        <f>257 / 86400</f>
        <v>2.9745370370370373E-3</v>
      </c>
      <c r="L582" s="5">
        <f>177 / 86400</f>
        <v>2.0486111111111113E-3</v>
      </c>
    </row>
    <row r="583" spans="1:12" x14ac:dyDescent="0.25">
      <c r="A583" s="3">
        <v>45704.532094907408</v>
      </c>
      <c r="B583" t="s">
        <v>74</v>
      </c>
      <c r="C583" s="3">
        <v>45704.666689814811</v>
      </c>
      <c r="D583" t="s">
        <v>167</v>
      </c>
      <c r="E583" s="4">
        <v>64.915999999999997</v>
      </c>
      <c r="F583" s="4">
        <v>41630.595999999998</v>
      </c>
      <c r="G583" s="4">
        <v>41695.512000000002</v>
      </c>
      <c r="H583" s="5">
        <f>3739 / 86400</f>
        <v>4.327546296296296E-2</v>
      </c>
      <c r="I583" t="s">
        <v>43</v>
      </c>
      <c r="J583" t="s">
        <v>33</v>
      </c>
      <c r="K583" s="5">
        <f>11628 / 86400</f>
        <v>0.13458333333333333</v>
      </c>
      <c r="L583" s="5">
        <f>903 / 86400</f>
        <v>1.0451388888888889E-2</v>
      </c>
    </row>
    <row r="584" spans="1:12" x14ac:dyDescent="0.25">
      <c r="A584" s="3">
        <v>45704.677141203705</v>
      </c>
      <c r="B584" t="s">
        <v>167</v>
      </c>
      <c r="C584" s="3">
        <v>45704.893634259264</v>
      </c>
      <c r="D584" t="s">
        <v>305</v>
      </c>
      <c r="E584" s="4">
        <v>109.669</v>
      </c>
      <c r="F584" s="4">
        <v>41695.512000000002</v>
      </c>
      <c r="G584" s="4">
        <v>41805.180999999997</v>
      </c>
      <c r="H584" s="5">
        <f>5741 / 86400</f>
        <v>6.6446759259259261E-2</v>
      </c>
      <c r="I584" t="s">
        <v>34</v>
      </c>
      <c r="J584" t="s">
        <v>23</v>
      </c>
      <c r="K584" s="5">
        <f>18705 / 86400</f>
        <v>0.21649305555555556</v>
      </c>
      <c r="L584" s="5">
        <f>951 / 86400</f>
        <v>1.1006944444444444E-2</v>
      </c>
    </row>
    <row r="585" spans="1:12" x14ac:dyDescent="0.25">
      <c r="A585" s="3">
        <v>45704.904641203699</v>
      </c>
      <c r="B585" t="s">
        <v>305</v>
      </c>
      <c r="C585" s="3">
        <v>45704.918437500004</v>
      </c>
      <c r="D585" t="s">
        <v>65</v>
      </c>
      <c r="E585" s="4">
        <v>3.0659999999999998</v>
      </c>
      <c r="F585" s="4">
        <v>41805.180999999997</v>
      </c>
      <c r="G585" s="4">
        <v>41808.247000000003</v>
      </c>
      <c r="H585" s="5">
        <f>519 / 86400</f>
        <v>6.0069444444444441E-3</v>
      </c>
      <c r="I585" t="s">
        <v>154</v>
      </c>
      <c r="J585" t="s">
        <v>30</v>
      </c>
      <c r="K585" s="5">
        <f>1191 / 86400</f>
        <v>1.3784722222222223E-2</v>
      </c>
      <c r="L585" s="5">
        <f>7046 / 86400</f>
        <v>8.1550925925925929E-2</v>
      </c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</row>
    <row r="588" spans="1:12" s="10" customFormat="1" ht="20.100000000000001" customHeight="1" x14ac:dyDescent="0.35">
      <c r="A588" s="15" t="s">
        <v>399</v>
      </c>
      <c r="B588" s="15"/>
      <c r="C588" s="15"/>
      <c r="D588" s="15"/>
      <c r="E588" s="15"/>
      <c r="F588" s="15"/>
      <c r="G588" s="15"/>
      <c r="H588" s="15"/>
      <c r="I588" s="15"/>
      <c r="J588" s="15"/>
    </row>
    <row r="589" spans="1:1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</row>
    <row r="590" spans="1:12" ht="30" x14ac:dyDescent="0.25">
      <c r="A590" s="2" t="s">
        <v>6</v>
      </c>
      <c r="B590" s="2" t="s">
        <v>7</v>
      </c>
      <c r="C590" s="2" t="s">
        <v>8</v>
      </c>
      <c r="D590" s="2" t="s">
        <v>9</v>
      </c>
      <c r="E590" s="2" t="s">
        <v>10</v>
      </c>
      <c r="F590" s="2" t="s">
        <v>11</v>
      </c>
      <c r="G590" s="2" t="s">
        <v>12</v>
      </c>
      <c r="H590" s="2" t="s">
        <v>13</v>
      </c>
      <c r="I590" s="2" t="s">
        <v>14</v>
      </c>
      <c r="J590" s="2" t="s">
        <v>15</v>
      </c>
      <c r="K590" s="2" t="s">
        <v>16</v>
      </c>
      <c r="L590" s="2" t="s">
        <v>17</v>
      </c>
    </row>
    <row r="591" spans="1:12" x14ac:dyDescent="0.25">
      <c r="A591" s="3">
        <v>45704</v>
      </c>
      <c r="B591" t="s">
        <v>66</v>
      </c>
      <c r="C591" s="3">
        <v>45704.032349537039</v>
      </c>
      <c r="D591" t="s">
        <v>320</v>
      </c>
      <c r="E591" s="4">
        <v>41.000999999999998</v>
      </c>
      <c r="F591" s="4">
        <v>47098.813999999998</v>
      </c>
      <c r="G591" s="4">
        <v>47139.815000000002</v>
      </c>
      <c r="H591" s="5">
        <f>240 / 86400</f>
        <v>2.7777777777777779E-3</v>
      </c>
      <c r="I591" t="s">
        <v>101</v>
      </c>
      <c r="J591" t="s">
        <v>226</v>
      </c>
      <c r="K591" s="5">
        <f>2795 / 86400</f>
        <v>3.2349537037037038E-2</v>
      </c>
      <c r="L591" s="5">
        <f>384 / 86400</f>
        <v>4.4444444444444444E-3</v>
      </c>
    </row>
    <row r="592" spans="1:12" x14ac:dyDescent="0.25">
      <c r="A592" s="3">
        <v>45704.036793981482</v>
      </c>
      <c r="B592" t="s">
        <v>320</v>
      </c>
      <c r="C592" s="3">
        <v>45704.040520833332</v>
      </c>
      <c r="D592" t="s">
        <v>320</v>
      </c>
      <c r="E592" s="4">
        <v>0.128</v>
      </c>
      <c r="F592" s="4">
        <v>47139.815000000002</v>
      </c>
      <c r="G592" s="4">
        <v>47139.942999999999</v>
      </c>
      <c r="H592" s="5">
        <f>259 / 86400</f>
        <v>2.9976851851851853E-3</v>
      </c>
      <c r="I592" t="s">
        <v>151</v>
      </c>
      <c r="J592" t="s">
        <v>128</v>
      </c>
      <c r="K592" s="5">
        <f>321 / 86400</f>
        <v>3.7152777777777778E-3</v>
      </c>
      <c r="L592" s="5">
        <f>38350 / 86400</f>
        <v>0.44386574074074076</v>
      </c>
    </row>
    <row r="593" spans="1:12" x14ac:dyDescent="0.25">
      <c r="A593" s="3">
        <v>45704.48438657407</v>
      </c>
      <c r="B593" t="s">
        <v>320</v>
      </c>
      <c r="C593" s="3">
        <v>45704.60869212963</v>
      </c>
      <c r="D593" t="s">
        <v>320</v>
      </c>
      <c r="E593" s="4">
        <v>0</v>
      </c>
      <c r="F593" s="4">
        <v>47139.942999999999</v>
      </c>
      <c r="G593" s="4">
        <v>47139.942999999999</v>
      </c>
      <c r="H593" s="5">
        <f>10719 / 86400</f>
        <v>0.12406250000000001</v>
      </c>
      <c r="I593" t="s">
        <v>55</v>
      </c>
      <c r="J593" t="s">
        <v>55</v>
      </c>
      <c r="K593" s="5">
        <f>10740 / 86400</f>
        <v>0.12430555555555556</v>
      </c>
      <c r="L593" s="5">
        <f>11483 / 86400</f>
        <v>0.13290509259259259</v>
      </c>
    </row>
    <row r="594" spans="1:12" x14ac:dyDescent="0.25">
      <c r="A594" s="3">
        <v>45704.741597222222</v>
      </c>
      <c r="B594" t="s">
        <v>320</v>
      </c>
      <c r="C594" s="3">
        <v>45704.757210648153</v>
      </c>
      <c r="D594" t="s">
        <v>320</v>
      </c>
      <c r="E594" s="4">
        <v>0.11899999999999999</v>
      </c>
      <c r="F594" s="4">
        <v>47139.942999999999</v>
      </c>
      <c r="G594" s="4">
        <v>47140.061999999998</v>
      </c>
      <c r="H594" s="5">
        <f>1299 / 86400</f>
        <v>1.5034722222222222E-2</v>
      </c>
      <c r="I594" t="s">
        <v>87</v>
      </c>
      <c r="J594" t="s">
        <v>55</v>
      </c>
      <c r="K594" s="5">
        <f>1349 / 86400</f>
        <v>1.5613425925925926E-2</v>
      </c>
      <c r="L594" s="5">
        <f>5 / 86400</f>
        <v>5.7870370370370373E-5</v>
      </c>
    </row>
    <row r="595" spans="1:12" x14ac:dyDescent="0.25">
      <c r="A595" s="3">
        <v>45704.757268518515</v>
      </c>
      <c r="B595" t="s">
        <v>320</v>
      </c>
      <c r="C595" s="3">
        <v>45704.917870370366</v>
      </c>
      <c r="D595" t="s">
        <v>160</v>
      </c>
      <c r="E595" s="4">
        <v>154.96700000000001</v>
      </c>
      <c r="F595" s="4">
        <v>47140.061999999998</v>
      </c>
      <c r="G595" s="4">
        <v>47295.029000000002</v>
      </c>
      <c r="H595" s="5">
        <f>1865 / 86400</f>
        <v>2.1585648148148149E-2</v>
      </c>
      <c r="I595" t="s">
        <v>67</v>
      </c>
      <c r="J595" t="s">
        <v>139</v>
      </c>
      <c r="K595" s="5">
        <f>13876 / 86400</f>
        <v>0.16060185185185186</v>
      </c>
      <c r="L595" s="5">
        <f>138 / 86400</f>
        <v>1.5972222222222223E-3</v>
      </c>
    </row>
    <row r="596" spans="1:12" x14ac:dyDescent="0.25">
      <c r="A596" s="3">
        <v>45704.919467592597</v>
      </c>
      <c r="B596" t="s">
        <v>160</v>
      </c>
      <c r="C596" s="3">
        <v>45704.92423611111</v>
      </c>
      <c r="D596" t="s">
        <v>56</v>
      </c>
      <c r="E596" s="4">
        <v>1.006</v>
      </c>
      <c r="F596" s="4">
        <v>47295.029000000002</v>
      </c>
      <c r="G596" s="4">
        <v>47296.035000000003</v>
      </c>
      <c r="H596" s="5">
        <f>99 / 86400</f>
        <v>1.1458333333333333E-3</v>
      </c>
      <c r="I596" t="s">
        <v>29</v>
      </c>
      <c r="J596" t="s">
        <v>30</v>
      </c>
      <c r="K596" s="5">
        <f>411 / 86400</f>
        <v>4.7569444444444447E-3</v>
      </c>
      <c r="L596" s="5">
        <f>6545 / 86400</f>
        <v>7.5752314814814814E-2</v>
      </c>
    </row>
    <row r="597" spans="1:1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</row>
    <row r="598" spans="1:1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</row>
    <row r="599" spans="1:12" s="10" customFormat="1" ht="20.100000000000001" customHeight="1" x14ac:dyDescent="0.35">
      <c r="A599" s="15" t="s">
        <v>400</v>
      </c>
      <c r="B599" s="15"/>
      <c r="C599" s="15"/>
      <c r="D599" s="15"/>
      <c r="E599" s="15"/>
      <c r="F599" s="15"/>
      <c r="G599" s="15"/>
      <c r="H599" s="15"/>
      <c r="I599" s="15"/>
      <c r="J599" s="15"/>
    </row>
    <row r="600" spans="1:1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</row>
    <row r="601" spans="1:12" ht="30" x14ac:dyDescent="0.25">
      <c r="A601" s="2" t="s">
        <v>6</v>
      </c>
      <c r="B601" s="2" t="s">
        <v>7</v>
      </c>
      <c r="C601" s="2" t="s">
        <v>8</v>
      </c>
      <c r="D601" s="2" t="s">
        <v>9</v>
      </c>
      <c r="E601" s="2" t="s">
        <v>10</v>
      </c>
      <c r="F601" s="2" t="s">
        <v>11</v>
      </c>
      <c r="G601" s="2" t="s">
        <v>12</v>
      </c>
      <c r="H601" s="2" t="s">
        <v>13</v>
      </c>
      <c r="I601" s="2" t="s">
        <v>14</v>
      </c>
      <c r="J601" s="2" t="s">
        <v>15</v>
      </c>
      <c r="K601" s="2" t="s">
        <v>16</v>
      </c>
      <c r="L601" s="2" t="s">
        <v>17</v>
      </c>
    </row>
    <row r="602" spans="1:12" x14ac:dyDescent="0.25">
      <c r="A602" s="3">
        <v>45704</v>
      </c>
      <c r="B602" t="s">
        <v>69</v>
      </c>
      <c r="C602" s="3">
        <v>45704.048657407402</v>
      </c>
      <c r="D602" t="s">
        <v>197</v>
      </c>
      <c r="E602" s="4">
        <v>25.028000000059606</v>
      </c>
      <c r="F602" s="4">
        <v>528642.83100000001</v>
      </c>
      <c r="G602" s="4">
        <v>528667.85900000005</v>
      </c>
      <c r="H602" s="5">
        <f>1760 / 86400</f>
        <v>2.0370370370370372E-2</v>
      </c>
      <c r="I602" t="s">
        <v>71</v>
      </c>
      <c r="J602" t="s">
        <v>23</v>
      </c>
      <c r="K602" s="5">
        <f>4204 / 86400</f>
        <v>4.8657407407407406E-2</v>
      </c>
      <c r="L602" s="5">
        <f>45 / 86400</f>
        <v>5.2083333333333333E-4</v>
      </c>
    </row>
    <row r="603" spans="1:12" x14ac:dyDescent="0.25">
      <c r="A603" s="3">
        <v>45704.049178240741</v>
      </c>
      <c r="B603" t="s">
        <v>197</v>
      </c>
      <c r="C603" s="3">
        <v>45704.052291666667</v>
      </c>
      <c r="D603" t="s">
        <v>114</v>
      </c>
      <c r="E603" s="4">
        <v>0.5669999999403954</v>
      </c>
      <c r="F603" s="4">
        <v>528667.85900000005</v>
      </c>
      <c r="G603" s="4">
        <v>528668.42599999998</v>
      </c>
      <c r="H603" s="5">
        <f>159 / 86400</f>
        <v>1.8402777777777777E-3</v>
      </c>
      <c r="I603" t="s">
        <v>175</v>
      </c>
      <c r="J603" t="s">
        <v>119</v>
      </c>
      <c r="K603" s="5">
        <f>268 / 86400</f>
        <v>3.1018518518518517E-3</v>
      </c>
      <c r="L603" s="5">
        <f>90 / 86400</f>
        <v>1.0416666666666667E-3</v>
      </c>
    </row>
    <row r="604" spans="1:12" x14ac:dyDescent="0.25">
      <c r="A604" s="3">
        <v>45704.05333333333</v>
      </c>
      <c r="B604" t="s">
        <v>114</v>
      </c>
      <c r="C604" s="3">
        <v>45704.104814814811</v>
      </c>
      <c r="D604" t="s">
        <v>56</v>
      </c>
      <c r="E604" s="4">
        <v>22.425000000000001</v>
      </c>
      <c r="F604" s="4">
        <v>528668.42599999998</v>
      </c>
      <c r="G604" s="4">
        <v>528690.85100000002</v>
      </c>
      <c r="H604" s="5">
        <f>1501 / 86400</f>
        <v>1.7372685185185185E-2</v>
      </c>
      <c r="I604" t="s">
        <v>99</v>
      </c>
      <c r="J604" t="s">
        <v>51</v>
      </c>
      <c r="K604" s="5">
        <f>4448 / 86400</f>
        <v>5.1481481481481482E-2</v>
      </c>
      <c r="L604" s="5">
        <f>596 / 86400</f>
        <v>6.898148148148148E-3</v>
      </c>
    </row>
    <row r="605" spans="1:12" x14ac:dyDescent="0.25">
      <c r="A605" s="3">
        <v>45704.111712962964</v>
      </c>
      <c r="B605" t="s">
        <v>56</v>
      </c>
      <c r="C605" s="3">
        <v>45704.114375000005</v>
      </c>
      <c r="D605" t="s">
        <v>70</v>
      </c>
      <c r="E605" s="4">
        <v>0.84199999999999997</v>
      </c>
      <c r="F605" s="4">
        <v>528690.85100000002</v>
      </c>
      <c r="G605" s="4">
        <v>528691.69299999997</v>
      </c>
      <c r="H605" s="5">
        <f>60 / 86400</f>
        <v>6.9444444444444447E-4</v>
      </c>
      <c r="I605" t="s">
        <v>122</v>
      </c>
      <c r="J605" t="s">
        <v>86</v>
      </c>
      <c r="K605" s="5">
        <f>230 / 86400</f>
        <v>2.662037037037037E-3</v>
      </c>
      <c r="L605" s="5">
        <f>15343 / 86400</f>
        <v>0.17758101851851851</v>
      </c>
    </row>
    <row r="606" spans="1:12" x14ac:dyDescent="0.25">
      <c r="A606" s="3">
        <v>45704.291956018518</v>
      </c>
      <c r="B606" t="s">
        <v>70</v>
      </c>
      <c r="C606" s="3">
        <v>45704.301435185189</v>
      </c>
      <c r="D606" t="s">
        <v>70</v>
      </c>
      <c r="E606" s="4">
        <v>0.59700000005960463</v>
      </c>
      <c r="F606" s="4">
        <v>528691.69299999997</v>
      </c>
      <c r="G606" s="4">
        <v>528692.29</v>
      </c>
      <c r="H606" s="5">
        <f>539 / 86400</f>
        <v>6.2384259259259259E-3</v>
      </c>
      <c r="I606" t="s">
        <v>143</v>
      </c>
      <c r="J606" t="s">
        <v>87</v>
      </c>
      <c r="K606" s="5">
        <f>819 / 86400</f>
        <v>9.479166666666667E-3</v>
      </c>
      <c r="L606" s="5">
        <f>457 / 86400</f>
        <v>5.2893518518518515E-3</v>
      </c>
    </row>
    <row r="607" spans="1:12" x14ac:dyDescent="0.25">
      <c r="A607" s="3">
        <v>45704.306724537033</v>
      </c>
      <c r="B607" t="s">
        <v>70</v>
      </c>
      <c r="C607" s="3">
        <v>45704.307523148149</v>
      </c>
      <c r="D607" t="s">
        <v>70</v>
      </c>
      <c r="E607" s="4">
        <v>1.8999999940395355E-2</v>
      </c>
      <c r="F607" s="4">
        <v>528692.29</v>
      </c>
      <c r="G607" s="4">
        <v>528692.30900000001</v>
      </c>
      <c r="H607" s="5">
        <f>59 / 86400</f>
        <v>6.8287037037037036E-4</v>
      </c>
      <c r="I607" t="s">
        <v>55</v>
      </c>
      <c r="J607" t="s">
        <v>128</v>
      </c>
      <c r="K607" s="5">
        <f>68 / 86400</f>
        <v>7.8703703703703705E-4</v>
      </c>
      <c r="L607" s="5">
        <f>59829 / 86400</f>
        <v>0.69246527777777778</v>
      </c>
    </row>
    <row r="608" spans="1:1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2" s="10" customFormat="1" ht="20.100000000000001" customHeight="1" x14ac:dyDescent="0.35">
      <c r="A610" s="15" t="s">
        <v>401</v>
      </c>
      <c r="B610" s="15"/>
      <c r="C610" s="15"/>
      <c r="D610" s="15"/>
      <c r="E610" s="15"/>
      <c r="F610" s="15"/>
      <c r="G610" s="15"/>
      <c r="H610" s="15"/>
      <c r="I610" s="15"/>
      <c r="J610" s="15"/>
    </row>
    <row r="611" spans="1:1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2" ht="30" x14ac:dyDescent="0.25">
      <c r="A612" s="2" t="s">
        <v>6</v>
      </c>
      <c r="B612" s="2" t="s">
        <v>7</v>
      </c>
      <c r="C612" s="2" t="s">
        <v>8</v>
      </c>
      <c r="D612" s="2" t="s">
        <v>9</v>
      </c>
      <c r="E612" s="2" t="s">
        <v>10</v>
      </c>
      <c r="F612" s="2" t="s">
        <v>11</v>
      </c>
      <c r="G612" s="2" t="s">
        <v>12</v>
      </c>
      <c r="H612" s="2" t="s">
        <v>13</v>
      </c>
      <c r="I612" s="2" t="s">
        <v>14</v>
      </c>
      <c r="J612" s="2" t="s">
        <v>15</v>
      </c>
      <c r="K612" s="2" t="s">
        <v>16</v>
      </c>
      <c r="L612" s="2" t="s">
        <v>17</v>
      </c>
    </row>
    <row r="613" spans="1:12" x14ac:dyDescent="0.25">
      <c r="A613" s="3">
        <v>45704.323055555556</v>
      </c>
      <c r="B613" t="s">
        <v>28</v>
      </c>
      <c r="C613" s="3">
        <v>45704.324212962965</v>
      </c>
      <c r="D613" t="s">
        <v>28</v>
      </c>
      <c r="E613" s="4">
        <v>3.4000000000000002E-2</v>
      </c>
      <c r="F613" s="4">
        <v>568567.46299999999</v>
      </c>
      <c r="G613" s="4">
        <v>568567.49699999997</v>
      </c>
      <c r="H613" s="5">
        <f>59 / 86400</f>
        <v>6.8287037037037036E-4</v>
      </c>
      <c r="I613" t="s">
        <v>136</v>
      </c>
      <c r="J613" t="s">
        <v>128</v>
      </c>
      <c r="K613" s="5">
        <f>100 / 86400</f>
        <v>1.1574074074074073E-3</v>
      </c>
      <c r="L613" s="5">
        <f>27999 / 86400</f>
        <v>0.32406249999999998</v>
      </c>
    </row>
    <row r="614" spans="1:12" x14ac:dyDescent="0.25">
      <c r="A614" s="3">
        <v>45704.325219907405</v>
      </c>
      <c r="B614" t="s">
        <v>28</v>
      </c>
      <c r="C614" s="3">
        <v>45704.409884259258</v>
      </c>
      <c r="D614" t="s">
        <v>254</v>
      </c>
      <c r="E614" s="4">
        <v>35.417000000000002</v>
      </c>
      <c r="F614" s="4">
        <v>568567.49699999997</v>
      </c>
      <c r="G614" s="4">
        <v>568602.91399999999</v>
      </c>
      <c r="H614" s="5">
        <f>1999 / 86400</f>
        <v>2.3136574074074073E-2</v>
      </c>
      <c r="I614" t="s">
        <v>321</v>
      </c>
      <c r="J614" t="s">
        <v>48</v>
      </c>
      <c r="K614" s="5">
        <f>7315 / 86400</f>
        <v>8.4664351851851852E-2</v>
      </c>
      <c r="L614" s="5">
        <f>76 / 86400</f>
        <v>8.7962962962962962E-4</v>
      </c>
    </row>
    <row r="615" spans="1:12" x14ac:dyDescent="0.25">
      <c r="A615" s="3">
        <v>45704.410763888889</v>
      </c>
      <c r="B615" t="s">
        <v>254</v>
      </c>
      <c r="C615" s="3">
        <v>45704.41101851852</v>
      </c>
      <c r="D615" t="s">
        <v>254</v>
      </c>
      <c r="E615" s="4">
        <v>7.0000000000000001E-3</v>
      </c>
      <c r="F615" s="4">
        <v>568602.91399999999</v>
      </c>
      <c r="G615" s="4">
        <v>568602.92099999997</v>
      </c>
      <c r="H615" s="5">
        <f>19 / 86400</f>
        <v>2.199074074074074E-4</v>
      </c>
      <c r="I615" t="s">
        <v>55</v>
      </c>
      <c r="J615" t="s">
        <v>128</v>
      </c>
      <c r="K615" s="5">
        <f>22 / 86400</f>
        <v>2.5462962962962961E-4</v>
      </c>
      <c r="L615" s="5">
        <f>73 / 86400</f>
        <v>8.4490740740740739E-4</v>
      </c>
    </row>
    <row r="616" spans="1:12" x14ac:dyDescent="0.25">
      <c r="A616" s="3">
        <v>45704.411863425921</v>
      </c>
      <c r="B616" t="s">
        <v>254</v>
      </c>
      <c r="C616" s="3">
        <v>45704.428437499999</v>
      </c>
      <c r="D616" t="s">
        <v>322</v>
      </c>
      <c r="E616" s="4">
        <v>6.1550000000000002</v>
      </c>
      <c r="F616" s="4">
        <v>568602.92099999997</v>
      </c>
      <c r="G616" s="4">
        <v>568609.076</v>
      </c>
      <c r="H616" s="5">
        <f>599 / 86400</f>
        <v>6.9328703703703705E-3</v>
      </c>
      <c r="I616" t="s">
        <v>317</v>
      </c>
      <c r="J616" t="s">
        <v>279</v>
      </c>
      <c r="K616" s="5">
        <f>1432 / 86400</f>
        <v>1.6574074074074074E-2</v>
      </c>
      <c r="L616" s="5">
        <f>702 / 86400</f>
        <v>8.1250000000000003E-3</v>
      </c>
    </row>
    <row r="617" spans="1:12" x14ac:dyDescent="0.25">
      <c r="A617" s="3">
        <v>45704.436562499999</v>
      </c>
      <c r="B617" t="s">
        <v>322</v>
      </c>
      <c r="C617" s="3">
        <v>45704.466446759259</v>
      </c>
      <c r="D617" t="s">
        <v>254</v>
      </c>
      <c r="E617" s="4">
        <v>8.0139999999999993</v>
      </c>
      <c r="F617" s="4">
        <v>568609.076</v>
      </c>
      <c r="G617" s="4">
        <v>568617.09</v>
      </c>
      <c r="H617" s="5">
        <f>1200 / 86400</f>
        <v>1.3888888888888888E-2</v>
      </c>
      <c r="I617" t="s">
        <v>180</v>
      </c>
      <c r="J617" t="s">
        <v>143</v>
      </c>
      <c r="K617" s="5">
        <f>2581 / 86400</f>
        <v>2.9872685185185186E-2</v>
      </c>
      <c r="L617" s="5">
        <f>110 / 86400</f>
        <v>1.2731481481481483E-3</v>
      </c>
    </row>
    <row r="618" spans="1:12" x14ac:dyDescent="0.25">
      <c r="A618" s="3">
        <v>45704.467719907407</v>
      </c>
      <c r="B618" t="s">
        <v>254</v>
      </c>
      <c r="C618" s="3">
        <v>45704.467847222222</v>
      </c>
      <c r="D618" t="s">
        <v>254</v>
      </c>
      <c r="E618" s="4">
        <v>7.0000000000000001E-3</v>
      </c>
      <c r="F618" s="4">
        <v>568617.09</v>
      </c>
      <c r="G618" s="4">
        <v>568617.09699999995</v>
      </c>
      <c r="H618" s="5">
        <f>0 / 86400</f>
        <v>0</v>
      </c>
      <c r="I618" t="s">
        <v>55</v>
      </c>
      <c r="J618" t="s">
        <v>129</v>
      </c>
      <c r="K618" s="5">
        <f>11 / 86400</f>
        <v>1.273148148148148E-4</v>
      </c>
      <c r="L618" s="5">
        <f>30 / 86400</f>
        <v>3.4722222222222224E-4</v>
      </c>
    </row>
    <row r="619" spans="1:12" x14ac:dyDescent="0.25">
      <c r="A619" s="3">
        <v>45704.468194444446</v>
      </c>
      <c r="B619" t="s">
        <v>254</v>
      </c>
      <c r="C619" s="3">
        <v>45704.468344907407</v>
      </c>
      <c r="D619" t="s">
        <v>254</v>
      </c>
      <c r="E619" s="4">
        <v>3.0000000000000001E-3</v>
      </c>
      <c r="F619" s="4">
        <v>568617.09699999995</v>
      </c>
      <c r="G619" s="4">
        <v>568617.1</v>
      </c>
      <c r="H619" s="5">
        <f>0 / 86400</f>
        <v>0</v>
      </c>
      <c r="I619" t="s">
        <v>55</v>
      </c>
      <c r="J619" t="s">
        <v>128</v>
      </c>
      <c r="K619" s="5">
        <f>13 / 86400</f>
        <v>1.5046296296296297E-4</v>
      </c>
      <c r="L619" s="5">
        <f>85 / 86400</f>
        <v>9.837962962962962E-4</v>
      </c>
    </row>
    <row r="620" spans="1:12" x14ac:dyDescent="0.25">
      <c r="A620" s="3">
        <v>45704.469328703708</v>
      </c>
      <c r="B620" t="s">
        <v>254</v>
      </c>
      <c r="C620" s="3">
        <v>45704.63081018519</v>
      </c>
      <c r="D620" t="s">
        <v>147</v>
      </c>
      <c r="E620" s="4">
        <v>62.755000000000003</v>
      </c>
      <c r="F620" s="4">
        <v>568617.1</v>
      </c>
      <c r="G620" s="4">
        <v>568679.85499999998</v>
      </c>
      <c r="H620" s="5">
        <f>5499 / 86400</f>
        <v>6.3645833333333332E-2</v>
      </c>
      <c r="I620" t="s">
        <v>99</v>
      </c>
      <c r="J620" t="s">
        <v>133</v>
      </c>
      <c r="K620" s="5">
        <f>13951 / 86400</f>
        <v>0.16146990740740741</v>
      </c>
      <c r="L620" s="5">
        <f>1308 / 86400</f>
        <v>1.5138888888888889E-2</v>
      </c>
    </row>
    <row r="621" spans="1:12" x14ac:dyDescent="0.25">
      <c r="A621" s="3">
        <v>45704.645949074074</v>
      </c>
      <c r="B621" t="s">
        <v>146</v>
      </c>
      <c r="C621" s="3">
        <v>45704.804039351853</v>
      </c>
      <c r="D621" t="s">
        <v>24</v>
      </c>
      <c r="E621" s="4">
        <v>74.322000000000003</v>
      </c>
      <c r="F621" s="4">
        <v>568679.85499999998</v>
      </c>
      <c r="G621" s="4">
        <v>568754.17700000003</v>
      </c>
      <c r="H621" s="5">
        <f>3858 / 86400</f>
        <v>4.4652777777777777E-2</v>
      </c>
      <c r="I621" t="s">
        <v>53</v>
      </c>
      <c r="J621" t="s">
        <v>33</v>
      </c>
      <c r="K621" s="5">
        <f>13659 / 86400</f>
        <v>0.15809027777777779</v>
      </c>
      <c r="L621" s="5">
        <f>448 / 86400</f>
        <v>5.185185185185185E-3</v>
      </c>
    </row>
    <row r="622" spans="1:12" x14ac:dyDescent="0.25">
      <c r="A622" s="3">
        <v>45704.809224537035</v>
      </c>
      <c r="B622" t="s">
        <v>24</v>
      </c>
      <c r="C622" s="3">
        <v>45704.811828703707</v>
      </c>
      <c r="D622" t="s">
        <v>28</v>
      </c>
      <c r="E622" s="4">
        <v>0.82199999999999995</v>
      </c>
      <c r="F622" s="4">
        <v>568754.17799999996</v>
      </c>
      <c r="G622" s="4">
        <v>568755</v>
      </c>
      <c r="H622" s="5">
        <f>40 / 86400</f>
        <v>4.6296296296296298E-4</v>
      </c>
      <c r="I622" t="s">
        <v>94</v>
      </c>
      <c r="J622" t="s">
        <v>86</v>
      </c>
      <c r="K622" s="5">
        <f>225 / 86400</f>
        <v>2.6041666666666665E-3</v>
      </c>
      <c r="L622" s="5">
        <f>5485 / 86400</f>
        <v>6.3483796296296302E-2</v>
      </c>
    </row>
    <row r="623" spans="1:12" x14ac:dyDescent="0.25">
      <c r="A623" s="3">
        <v>45704.8753125</v>
      </c>
      <c r="B623" t="s">
        <v>28</v>
      </c>
      <c r="C623" s="3">
        <v>45704.876018518524</v>
      </c>
      <c r="D623" t="s">
        <v>28</v>
      </c>
      <c r="E623" s="4">
        <v>2.7E-2</v>
      </c>
      <c r="F623" s="4">
        <v>568755</v>
      </c>
      <c r="G623" s="4">
        <v>568755.027</v>
      </c>
      <c r="H623" s="5">
        <f>39 / 86400</f>
        <v>4.5138888888888887E-4</v>
      </c>
      <c r="I623" t="s">
        <v>88</v>
      </c>
      <c r="J623" t="s">
        <v>129</v>
      </c>
      <c r="K623" s="5">
        <f>60 / 86400</f>
        <v>6.9444444444444447E-4</v>
      </c>
      <c r="L623" s="5">
        <f>10711 / 86400</f>
        <v>0.1239699074074074</v>
      </c>
    </row>
    <row r="624" spans="1:1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</row>
    <row r="625" spans="1:1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</row>
    <row r="626" spans="1:12" s="10" customFormat="1" ht="20.100000000000001" customHeight="1" x14ac:dyDescent="0.35">
      <c r="A626" s="15" t="s">
        <v>402</v>
      </c>
      <c r="B626" s="15"/>
      <c r="C626" s="15"/>
      <c r="D626" s="15"/>
      <c r="E626" s="15"/>
      <c r="F626" s="15"/>
      <c r="G626" s="15"/>
      <c r="H626" s="15"/>
      <c r="I626" s="15"/>
      <c r="J626" s="15"/>
    </row>
    <row r="627" spans="1:1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</row>
    <row r="628" spans="1:12" ht="30" x14ac:dyDescent="0.25">
      <c r="A628" s="2" t="s">
        <v>6</v>
      </c>
      <c r="B628" s="2" t="s">
        <v>7</v>
      </c>
      <c r="C628" s="2" t="s">
        <v>8</v>
      </c>
      <c r="D628" s="2" t="s">
        <v>9</v>
      </c>
      <c r="E628" s="2" t="s">
        <v>10</v>
      </c>
      <c r="F628" s="2" t="s">
        <v>11</v>
      </c>
      <c r="G628" s="2" t="s">
        <v>12</v>
      </c>
      <c r="H628" s="2" t="s">
        <v>13</v>
      </c>
      <c r="I628" s="2" t="s">
        <v>14</v>
      </c>
      <c r="J628" s="2" t="s">
        <v>15</v>
      </c>
      <c r="K628" s="2" t="s">
        <v>16</v>
      </c>
      <c r="L628" s="2" t="s">
        <v>17</v>
      </c>
    </row>
    <row r="629" spans="1:12" x14ac:dyDescent="0.25">
      <c r="A629" s="3">
        <v>45704.014722222222</v>
      </c>
      <c r="B629" t="s">
        <v>72</v>
      </c>
      <c r="C629" s="3">
        <v>45704.015752314815</v>
      </c>
      <c r="D629" t="s">
        <v>72</v>
      </c>
      <c r="E629" s="4">
        <v>0</v>
      </c>
      <c r="F629" s="4">
        <v>435880.17700000003</v>
      </c>
      <c r="G629" s="4">
        <v>435880.17700000003</v>
      </c>
      <c r="H629" s="5">
        <f>79 / 86400</f>
        <v>9.1435185185185185E-4</v>
      </c>
      <c r="I629" t="s">
        <v>55</v>
      </c>
      <c r="J629" t="s">
        <v>55</v>
      </c>
      <c r="K629" s="5">
        <f>88 / 86400</f>
        <v>1.0185185185185184E-3</v>
      </c>
      <c r="L629" s="5">
        <f>86310 / 86400</f>
        <v>0.99895833333333328</v>
      </c>
    </row>
    <row r="630" spans="1:1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</row>
    <row r="631" spans="1:1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</row>
    <row r="632" spans="1:12" s="10" customFormat="1" ht="20.100000000000001" customHeight="1" x14ac:dyDescent="0.35">
      <c r="A632" s="15" t="s">
        <v>403</v>
      </c>
      <c r="B632" s="15"/>
      <c r="C632" s="15"/>
      <c r="D632" s="15"/>
      <c r="E632" s="15"/>
      <c r="F632" s="15"/>
      <c r="G632" s="15"/>
      <c r="H632" s="15"/>
      <c r="I632" s="15"/>
      <c r="J632" s="15"/>
    </row>
    <row r="633" spans="1:1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</row>
    <row r="634" spans="1:12" ht="30" x14ac:dyDescent="0.25">
      <c r="A634" s="2" t="s">
        <v>6</v>
      </c>
      <c r="B634" s="2" t="s">
        <v>7</v>
      </c>
      <c r="C634" s="2" t="s">
        <v>8</v>
      </c>
      <c r="D634" s="2" t="s">
        <v>9</v>
      </c>
      <c r="E634" s="2" t="s">
        <v>10</v>
      </c>
      <c r="F634" s="2" t="s">
        <v>11</v>
      </c>
      <c r="G634" s="2" t="s">
        <v>12</v>
      </c>
      <c r="H634" s="2" t="s">
        <v>13</v>
      </c>
      <c r="I634" s="2" t="s">
        <v>14</v>
      </c>
      <c r="J634" s="2" t="s">
        <v>15</v>
      </c>
      <c r="K634" s="2" t="s">
        <v>16</v>
      </c>
      <c r="L634" s="2" t="s">
        <v>17</v>
      </c>
    </row>
    <row r="635" spans="1:12" x14ac:dyDescent="0.25">
      <c r="A635" s="3">
        <v>45704.270416666666</v>
      </c>
      <c r="B635" t="s">
        <v>73</v>
      </c>
      <c r="C635" s="3">
        <v>45704.270451388889</v>
      </c>
      <c r="D635" t="s">
        <v>73</v>
      </c>
      <c r="E635" s="4">
        <v>0</v>
      </c>
      <c r="F635" s="4">
        <v>516034.625</v>
      </c>
      <c r="G635" s="4">
        <v>516034.625</v>
      </c>
      <c r="H635" s="5">
        <f>1 / 86400</f>
        <v>1.1574074074074073E-5</v>
      </c>
      <c r="I635" t="s">
        <v>55</v>
      </c>
      <c r="J635" t="s">
        <v>55</v>
      </c>
      <c r="K635" s="5">
        <f>3 / 86400</f>
        <v>3.4722222222222222E-5</v>
      </c>
      <c r="L635" s="5">
        <f>23365 / 86400</f>
        <v>0.27042824074074073</v>
      </c>
    </row>
    <row r="636" spans="1:12" x14ac:dyDescent="0.25">
      <c r="A636" s="3">
        <v>45704.270462962959</v>
      </c>
      <c r="B636" t="s">
        <v>73</v>
      </c>
      <c r="C636" s="3">
        <v>45704.274039351847</v>
      </c>
      <c r="D636" t="s">
        <v>169</v>
      </c>
      <c r="E636" s="4">
        <v>0.85399999999999998</v>
      </c>
      <c r="F636" s="4">
        <v>516034.625</v>
      </c>
      <c r="G636" s="4">
        <v>516035.47899999999</v>
      </c>
      <c r="H636" s="5">
        <f>120 / 86400</f>
        <v>1.3888888888888889E-3</v>
      </c>
      <c r="I636" t="s">
        <v>44</v>
      </c>
      <c r="J636" t="s">
        <v>151</v>
      </c>
      <c r="K636" s="5">
        <f>309 / 86400</f>
        <v>3.5763888888888889E-3</v>
      </c>
      <c r="L636" s="5">
        <f>124 / 86400</f>
        <v>1.4351851851851852E-3</v>
      </c>
    </row>
    <row r="637" spans="1:12" x14ac:dyDescent="0.25">
      <c r="A637" s="3">
        <v>45704.275474537033</v>
      </c>
      <c r="B637" t="s">
        <v>169</v>
      </c>
      <c r="C637" s="3">
        <v>45704.278668981482</v>
      </c>
      <c r="D637" t="s">
        <v>115</v>
      </c>
      <c r="E637" s="4">
        <v>0.73299999999999998</v>
      </c>
      <c r="F637" s="4">
        <v>516035.47899999999</v>
      </c>
      <c r="G637" s="4">
        <v>516036.212</v>
      </c>
      <c r="H637" s="5">
        <f>30 / 86400</f>
        <v>3.4722222222222224E-4</v>
      </c>
      <c r="I637" t="s">
        <v>20</v>
      </c>
      <c r="J637" t="s">
        <v>151</v>
      </c>
      <c r="K637" s="5">
        <f>276 / 86400</f>
        <v>3.1944444444444446E-3</v>
      </c>
      <c r="L637" s="5">
        <f>2312 / 86400</f>
        <v>2.675925925925926E-2</v>
      </c>
    </row>
    <row r="638" spans="1:12" x14ac:dyDescent="0.25">
      <c r="A638" s="3">
        <v>45704.305428240739</v>
      </c>
      <c r="B638" t="s">
        <v>115</v>
      </c>
      <c r="C638" s="3">
        <v>45704.311956018515</v>
      </c>
      <c r="D638" t="s">
        <v>141</v>
      </c>
      <c r="E638" s="4">
        <v>0.77300000000000002</v>
      </c>
      <c r="F638" s="4">
        <v>516036.212</v>
      </c>
      <c r="G638" s="4">
        <v>516036.98499999999</v>
      </c>
      <c r="H638" s="5">
        <f>330 / 86400</f>
        <v>3.8194444444444443E-3</v>
      </c>
      <c r="I638" t="s">
        <v>68</v>
      </c>
      <c r="J638" t="s">
        <v>127</v>
      </c>
      <c r="K638" s="5">
        <f>564 / 86400</f>
        <v>6.5277777777777782E-3</v>
      </c>
      <c r="L638" s="5">
        <f>18 / 86400</f>
        <v>2.0833333333333335E-4</v>
      </c>
    </row>
    <row r="639" spans="1:12" x14ac:dyDescent="0.25">
      <c r="A639" s="3">
        <v>45704.312164351853</v>
      </c>
      <c r="B639" t="s">
        <v>141</v>
      </c>
      <c r="C639" s="3">
        <v>45704.313402777778</v>
      </c>
      <c r="D639" t="s">
        <v>140</v>
      </c>
      <c r="E639" s="4">
        <v>2.5999999999999999E-2</v>
      </c>
      <c r="F639" s="4">
        <v>516036.98499999999</v>
      </c>
      <c r="G639" s="4">
        <v>516037.011</v>
      </c>
      <c r="H639" s="5">
        <f>0 / 86400</f>
        <v>0</v>
      </c>
      <c r="I639" t="s">
        <v>127</v>
      </c>
      <c r="J639" t="s">
        <v>128</v>
      </c>
      <c r="K639" s="5">
        <f>107 / 86400</f>
        <v>1.238425925925926E-3</v>
      </c>
      <c r="L639" s="5">
        <f>290 / 86400</f>
        <v>3.3564814814814816E-3</v>
      </c>
    </row>
    <row r="640" spans="1:12" x14ac:dyDescent="0.25">
      <c r="A640" s="3">
        <v>45704.316759259258</v>
      </c>
      <c r="B640" t="s">
        <v>140</v>
      </c>
      <c r="C640" s="3">
        <v>45704.317372685182</v>
      </c>
      <c r="D640" t="s">
        <v>140</v>
      </c>
      <c r="E640" s="4">
        <v>2.7E-2</v>
      </c>
      <c r="F640" s="4">
        <v>516037.011</v>
      </c>
      <c r="G640" s="4">
        <v>516037.038</v>
      </c>
      <c r="H640" s="5">
        <f>1 / 86400</f>
        <v>1.1574074074074073E-5</v>
      </c>
      <c r="I640" t="s">
        <v>30</v>
      </c>
      <c r="J640" t="s">
        <v>129</v>
      </c>
      <c r="K640" s="5">
        <f>53 / 86400</f>
        <v>6.134259259259259E-4</v>
      </c>
      <c r="L640" s="5">
        <f>87 / 86400</f>
        <v>1.0069444444444444E-3</v>
      </c>
    </row>
    <row r="641" spans="1:12" x14ac:dyDescent="0.25">
      <c r="A641" s="3">
        <v>45704.318379629629</v>
      </c>
      <c r="B641" t="s">
        <v>45</v>
      </c>
      <c r="C641" s="3">
        <v>45704.340787037036</v>
      </c>
      <c r="D641" t="s">
        <v>290</v>
      </c>
      <c r="E641" s="4">
        <v>11.09</v>
      </c>
      <c r="F641" s="4">
        <v>516037.038</v>
      </c>
      <c r="G641" s="4">
        <v>516048.12800000003</v>
      </c>
      <c r="H641" s="5">
        <f>554 / 86400</f>
        <v>6.4120370370370373E-3</v>
      </c>
      <c r="I641" t="s">
        <v>93</v>
      </c>
      <c r="J641" t="s">
        <v>23</v>
      </c>
      <c r="K641" s="5">
        <f>1936 / 86400</f>
        <v>2.2407407407407407E-2</v>
      </c>
      <c r="L641" s="5">
        <f>30 / 86400</f>
        <v>3.4722222222222224E-4</v>
      </c>
    </row>
    <row r="642" spans="1:12" x14ac:dyDescent="0.25">
      <c r="A642" s="3">
        <v>45704.341134259259</v>
      </c>
      <c r="B642" t="s">
        <v>290</v>
      </c>
      <c r="C642" s="3">
        <v>45704.343449074076</v>
      </c>
      <c r="D642" t="s">
        <v>323</v>
      </c>
      <c r="E642" s="4">
        <v>1.9590000000000001</v>
      </c>
      <c r="F642" s="4">
        <v>516048.61200000002</v>
      </c>
      <c r="G642" s="4">
        <v>516050.571</v>
      </c>
      <c r="H642" s="5">
        <f>30 / 86400</f>
        <v>3.4722222222222224E-4</v>
      </c>
      <c r="I642" t="s">
        <v>62</v>
      </c>
      <c r="J642" t="s">
        <v>132</v>
      </c>
      <c r="K642" s="5">
        <f>200 / 86400</f>
        <v>2.3148148148148147E-3</v>
      </c>
      <c r="L642" s="5">
        <f>53 / 86400</f>
        <v>6.134259259259259E-4</v>
      </c>
    </row>
    <row r="643" spans="1:12" x14ac:dyDescent="0.25">
      <c r="A643" s="3">
        <v>45704.3440625</v>
      </c>
      <c r="B643" t="s">
        <v>289</v>
      </c>
      <c r="C643" s="3">
        <v>45704.379571759258</v>
      </c>
      <c r="D643" t="s">
        <v>263</v>
      </c>
      <c r="E643" s="4">
        <v>21.231000000000002</v>
      </c>
      <c r="F643" s="4">
        <v>516051.217</v>
      </c>
      <c r="G643" s="4">
        <v>516072.44799999997</v>
      </c>
      <c r="H643" s="5">
        <f>784 / 86400</f>
        <v>9.0740740740740747E-3</v>
      </c>
      <c r="I643" t="s">
        <v>53</v>
      </c>
      <c r="J643" t="s">
        <v>122</v>
      </c>
      <c r="K643" s="5">
        <f>3068 / 86400</f>
        <v>3.5509259259259261E-2</v>
      </c>
      <c r="L643" s="5">
        <f>2 / 86400</f>
        <v>2.3148148148148147E-5</v>
      </c>
    </row>
    <row r="644" spans="1:12" x14ac:dyDescent="0.25">
      <c r="A644" s="3">
        <v>45704.379594907412</v>
      </c>
      <c r="B644" t="s">
        <v>263</v>
      </c>
      <c r="C644" s="3">
        <v>45704.41778935185</v>
      </c>
      <c r="D644" t="s">
        <v>324</v>
      </c>
      <c r="E644" s="4">
        <v>14.167999999999999</v>
      </c>
      <c r="F644" s="4">
        <v>516072.44799999997</v>
      </c>
      <c r="G644" s="4">
        <v>516086.61599999998</v>
      </c>
      <c r="H644" s="5">
        <f>841 / 86400</f>
        <v>9.7337962962962959E-3</v>
      </c>
      <c r="I644" t="s">
        <v>271</v>
      </c>
      <c r="J644" t="s">
        <v>279</v>
      </c>
      <c r="K644" s="5">
        <f>3300 / 86400</f>
        <v>3.8194444444444448E-2</v>
      </c>
      <c r="L644" s="5">
        <f>3 / 86400</f>
        <v>3.4722222222222222E-5</v>
      </c>
    </row>
    <row r="645" spans="1:12" x14ac:dyDescent="0.25">
      <c r="A645" s="3">
        <v>45704.417824074073</v>
      </c>
      <c r="B645" t="s">
        <v>325</v>
      </c>
      <c r="C645" s="3">
        <v>45704.480173611111</v>
      </c>
      <c r="D645" t="s">
        <v>326</v>
      </c>
      <c r="E645" s="4">
        <v>12.875999999999999</v>
      </c>
      <c r="F645" s="4">
        <v>516086.62599999999</v>
      </c>
      <c r="G645" s="4">
        <v>516099.50199999998</v>
      </c>
      <c r="H645" s="5">
        <f>3331 / 86400</f>
        <v>3.8553240740740742E-2</v>
      </c>
      <c r="I645" t="s">
        <v>156</v>
      </c>
      <c r="J645" t="s">
        <v>30</v>
      </c>
      <c r="K645" s="5">
        <f>5387 / 86400</f>
        <v>6.2349537037037037E-2</v>
      </c>
      <c r="L645" s="5">
        <f>6 / 86400</f>
        <v>6.9444444444444444E-5</v>
      </c>
    </row>
    <row r="646" spans="1:12" x14ac:dyDescent="0.25">
      <c r="A646" s="3">
        <v>45704.480243055557</v>
      </c>
      <c r="B646" t="s">
        <v>227</v>
      </c>
      <c r="C646" s="3">
        <v>45704.48474537037</v>
      </c>
      <c r="D646" t="s">
        <v>327</v>
      </c>
      <c r="E646" s="4">
        <v>2.093</v>
      </c>
      <c r="F646" s="4">
        <v>516099.53</v>
      </c>
      <c r="G646" s="4">
        <v>516101.62300000002</v>
      </c>
      <c r="H646" s="5">
        <f>119 / 86400</f>
        <v>1.3773148148148147E-3</v>
      </c>
      <c r="I646" t="s">
        <v>178</v>
      </c>
      <c r="J646" t="s">
        <v>44</v>
      </c>
      <c r="K646" s="5">
        <f>389 / 86400</f>
        <v>4.5023148148148149E-3</v>
      </c>
      <c r="L646" s="5">
        <f>23 / 86400</f>
        <v>2.6620370370370372E-4</v>
      </c>
    </row>
    <row r="647" spans="1:12" x14ac:dyDescent="0.25">
      <c r="A647" s="3">
        <v>45704.48501157407</v>
      </c>
      <c r="B647" t="s">
        <v>327</v>
      </c>
      <c r="C647" s="3">
        <v>45704.486909722225</v>
      </c>
      <c r="D647" t="s">
        <v>327</v>
      </c>
      <c r="E647" s="4">
        <v>0.54600000000000004</v>
      </c>
      <c r="F647" s="4">
        <v>516101.63199999998</v>
      </c>
      <c r="G647" s="4">
        <v>516102.17800000001</v>
      </c>
      <c r="H647" s="5">
        <f>59 / 86400</f>
        <v>6.8287037037037036E-4</v>
      </c>
      <c r="I647" t="s">
        <v>164</v>
      </c>
      <c r="J647" t="s">
        <v>165</v>
      </c>
      <c r="K647" s="5">
        <f>164 / 86400</f>
        <v>1.8981481481481482E-3</v>
      </c>
      <c r="L647" s="5">
        <f>1 / 86400</f>
        <v>1.1574074074074073E-5</v>
      </c>
    </row>
    <row r="648" spans="1:12" x14ac:dyDescent="0.25">
      <c r="A648" s="3">
        <v>45704.486921296295</v>
      </c>
      <c r="B648" t="s">
        <v>327</v>
      </c>
      <c r="C648" s="3">
        <v>45704.530138888891</v>
      </c>
      <c r="D648" t="s">
        <v>289</v>
      </c>
      <c r="E648" s="4">
        <v>23.004000000000001</v>
      </c>
      <c r="F648" s="4">
        <v>516102.185</v>
      </c>
      <c r="G648" s="4">
        <v>516125.18900000001</v>
      </c>
      <c r="H648" s="5">
        <f>1024 / 86400</f>
        <v>1.1851851851851851E-2</v>
      </c>
      <c r="I648" t="s">
        <v>321</v>
      </c>
      <c r="J648" t="s">
        <v>20</v>
      </c>
      <c r="K648" s="5">
        <f>3734 / 86400</f>
        <v>4.3217592592592592E-2</v>
      </c>
      <c r="L648" s="5">
        <f>7 / 86400</f>
        <v>8.1018518518518516E-5</v>
      </c>
    </row>
    <row r="649" spans="1:12" x14ac:dyDescent="0.25">
      <c r="A649" s="3">
        <v>45704.530219907407</v>
      </c>
      <c r="B649" t="s">
        <v>289</v>
      </c>
      <c r="C649" s="3">
        <v>45704.541851851856</v>
      </c>
      <c r="D649" t="s">
        <v>293</v>
      </c>
      <c r="E649" s="4">
        <v>8.5690000000000008</v>
      </c>
      <c r="F649" s="4">
        <v>516125.21299999999</v>
      </c>
      <c r="G649" s="4">
        <v>516133.78200000001</v>
      </c>
      <c r="H649" s="5">
        <f>120 / 86400</f>
        <v>1.3888888888888889E-3</v>
      </c>
      <c r="I649" t="s">
        <v>174</v>
      </c>
      <c r="J649" t="s">
        <v>166</v>
      </c>
      <c r="K649" s="5">
        <f>1005 / 86400</f>
        <v>1.1631944444444445E-2</v>
      </c>
      <c r="L649" s="5">
        <f>30 / 86400</f>
        <v>3.4722222222222224E-4</v>
      </c>
    </row>
    <row r="650" spans="1:12" x14ac:dyDescent="0.25">
      <c r="A650" s="3">
        <v>45704.542199074072</v>
      </c>
      <c r="B650" t="s">
        <v>328</v>
      </c>
      <c r="C650" s="3">
        <v>45704.558055555557</v>
      </c>
      <c r="D650" t="s">
        <v>329</v>
      </c>
      <c r="E650" s="4">
        <v>5.8949999999999996</v>
      </c>
      <c r="F650" s="4">
        <v>516134.01799999998</v>
      </c>
      <c r="G650" s="4">
        <v>516139.913</v>
      </c>
      <c r="H650" s="5">
        <f>390 / 86400</f>
        <v>4.5138888888888885E-3</v>
      </c>
      <c r="I650" t="s">
        <v>126</v>
      </c>
      <c r="J650" t="s">
        <v>279</v>
      </c>
      <c r="K650" s="5">
        <f>1370 / 86400</f>
        <v>1.5856481481481482E-2</v>
      </c>
      <c r="L650" s="5">
        <f>2659 / 86400</f>
        <v>3.0775462962962963E-2</v>
      </c>
    </row>
    <row r="651" spans="1:12" x14ac:dyDescent="0.25">
      <c r="A651" s="3">
        <v>45704.588831018518</v>
      </c>
      <c r="B651" t="s">
        <v>329</v>
      </c>
      <c r="C651" s="3">
        <v>45704.593912037039</v>
      </c>
      <c r="D651" t="s">
        <v>140</v>
      </c>
      <c r="E651" s="4">
        <v>1.071</v>
      </c>
      <c r="F651" s="4">
        <v>516139.913</v>
      </c>
      <c r="G651" s="4">
        <v>516140.984</v>
      </c>
      <c r="H651" s="5">
        <f>151 / 86400</f>
        <v>1.7476851851851852E-3</v>
      </c>
      <c r="I651" t="s">
        <v>27</v>
      </c>
      <c r="J651" t="s">
        <v>30</v>
      </c>
      <c r="K651" s="5">
        <f>439 / 86400</f>
        <v>5.0810185185185186E-3</v>
      </c>
      <c r="L651" s="5">
        <f>95 / 86400</f>
        <v>1.0995370370370371E-3</v>
      </c>
    </row>
    <row r="652" spans="1:12" x14ac:dyDescent="0.25">
      <c r="A652" s="3">
        <v>45704.595011574071</v>
      </c>
      <c r="B652" t="s">
        <v>140</v>
      </c>
      <c r="C652" s="3">
        <v>45704.595370370371</v>
      </c>
      <c r="D652" t="s">
        <v>140</v>
      </c>
      <c r="E652" s="4">
        <v>6.0000000000000001E-3</v>
      </c>
      <c r="F652" s="4">
        <v>516140.984</v>
      </c>
      <c r="G652" s="4">
        <v>516140.99</v>
      </c>
      <c r="H652" s="5">
        <f>1 / 86400</f>
        <v>1.1574074074074073E-5</v>
      </c>
      <c r="I652" t="s">
        <v>127</v>
      </c>
      <c r="J652" t="s">
        <v>128</v>
      </c>
      <c r="K652" s="5">
        <f>31 / 86400</f>
        <v>3.5879629629629629E-4</v>
      </c>
      <c r="L652" s="5">
        <f>132 / 86400</f>
        <v>1.5277777777777779E-3</v>
      </c>
    </row>
    <row r="653" spans="1:12" x14ac:dyDescent="0.25">
      <c r="A653" s="3">
        <v>45704.596898148149</v>
      </c>
      <c r="B653" t="s">
        <v>140</v>
      </c>
      <c r="C653" s="3">
        <v>45704.609814814816</v>
      </c>
      <c r="D653" t="s">
        <v>330</v>
      </c>
      <c r="E653" s="4">
        <v>3.8260000000000001</v>
      </c>
      <c r="F653" s="4">
        <v>516140.99</v>
      </c>
      <c r="G653" s="4">
        <v>516144.81599999999</v>
      </c>
      <c r="H653" s="5">
        <f>540 / 86400</f>
        <v>6.2500000000000003E-3</v>
      </c>
      <c r="I653" t="s">
        <v>226</v>
      </c>
      <c r="J653" t="s">
        <v>165</v>
      </c>
      <c r="K653" s="5">
        <f>1116 / 86400</f>
        <v>1.2916666666666667E-2</v>
      </c>
      <c r="L653" s="5">
        <f>6 / 86400</f>
        <v>6.9444444444444444E-5</v>
      </c>
    </row>
    <row r="654" spans="1:12" x14ac:dyDescent="0.25">
      <c r="A654" s="3">
        <v>45704.609884259262</v>
      </c>
      <c r="B654" t="s">
        <v>330</v>
      </c>
      <c r="C654" s="3">
        <v>45704.610706018517</v>
      </c>
      <c r="D654" t="s">
        <v>331</v>
      </c>
      <c r="E654" s="4">
        <v>0.23899999999999999</v>
      </c>
      <c r="F654" s="4">
        <v>516144.82</v>
      </c>
      <c r="G654" s="4">
        <v>516145.05900000001</v>
      </c>
      <c r="H654" s="5">
        <f>0 / 86400</f>
        <v>0</v>
      </c>
      <c r="I654" t="s">
        <v>33</v>
      </c>
      <c r="J654" t="s">
        <v>165</v>
      </c>
      <c r="K654" s="5">
        <f>71 / 86400</f>
        <v>8.2175925925925927E-4</v>
      </c>
      <c r="L654" s="5">
        <f>4 / 86400</f>
        <v>4.6296296296296294E-5</v>
      </c>
    </row>
    <row r="655" spans="1:12" x14ac:dyDescent="0.25">
      <c r="A655" s="3">
        <v>45704.610752314809</v>
      </c>
      <c r="B655" t="s">
        <v>167</v>
      </c>
      <c r="C655" s="3">
        <v>45704.620659722219</v>
      </c>
      <c r="D655" t="s">
        <v>332</v>
      </c>
      <c r="E655" s="4">
        <v>1.972</v>
      </c>
      <c r="F655" s="4">
        <v>516145.071</v>
      </c>
      <c r="G655" s="4">
        <v>516147.04300000001</v>
      </c>
      <c r="H655" s="5">
        <f>496 / 86400</f>
        <v>5.7407407407407407E-3</v>
      </c>
      <c r="I655" t="s">
        <v>255</v>
      </c>
      <c r="J655" t="s">
        <v>119</v>
      </c>
      <c r="K655" s="5">
        <f>856 / 86400</f>
        <v>9.9074074074074082E-3</v>
      </c>
      <c r="L655" s="5">
        <f>3 / 86400</f>
        <v>3.4722222222222222E-5</v>
      </c>
    </row>
    <row r="656" spans="1:12" x14ac:dyDescent="0.25">
      <c r="A656" s="3">
        <v>45704.620694444442</v>
      </c>
      <c r="B656" t="s">
        <v>332</v>
      </c>
      <c r="C656" s="3">
        <v>45704.621770833328</v>
      </c>
      <c r="D656" t="s">
        <v>293</v>
      </c>
      <c r="E656" s="4">
        <v>0.57499999999999996</v>
      </c>
      <c r="F656" s="4">
        <v>516147.05699999997</v>
      </c>
      <c r="G656" s="4">
        <v>516147.63199999998</v>
      </c>
      <c r="H656" s="5">
        <f>30 / 86400</f>
        <v>3.4722222222222224E-4</v>
      </c>
      <c r="I656" t="s">
        <v>237</v>
      </c>
      <c r="J656" t="s">
        <v>20</v>
      </c>
      <c r="K656" s="5">
        <f>93 / 86400</f>
        <v>1.0763888888888889E-3</v>
      </c>
      <c r="L656" s="5">
        <f>30 / 86400</f>
        <v>3.4722222222222224E-4</v>
      </c>
    </row>
    <row r="657" spans="1:12" x14ac:dyDescent="0.25">
      <c r="A657" s="3">
        <v>45704.622118055559</v>
      </c>
      <c r="B657" t="s">
        <v>333</v>
      </c>
      <c r="C657" s="3">
        <v>45704.629166666666</v>
      </c>
      <c r="D657" t="s">
        <v>289</v>
      </c>
      <c r="E657" s="4">
        <v>6.0039999999999996</v>
      </c>
      <c r="F657" s="4">
        <v>516148.12400000001</v>
      </c>
      <c r="G657" s="4">
        <v>516154.12800000003</v>
      </c>
      <c r="H657" s="5">
        <f>60 / 86400</f>
        <v>6.9444444444444447E-4</v>
      </c>
      <c r="I657" t="s">
        <v>75</v>
      </c>
      <c r="J657" t="s">
        <v>132</v>
      </c>
      <c r="K657" s="5">
        <f>609 / 86400</f>
        <v>7.0486111111111114E-3</v>
      </c>
      <c r="L657" s="5">
        <f>8 / 86400</f>
        <v>9.2592592592592588E-5</v>
      </c>
    </row>
    <row r="658" spans="1:12" x14ac:dyDescent="0.25">
      <c r="A658" s="3">
        <v>45704.629259259258</v>
      </c>
      <c r="B658" t="s">
        <v>334</v>
      </c>
      <c r="C658" s="3">
        <v>45704.661145833335</v>
      </c>
      <c r="D658" t="s">
        <v>236</v>
      </c>
      <c r="E658" s="4">
        <v>18.585000000000001</v>
      </c>
      <c r="F658" s="4">
        <v>516154.21899999998</v>
      </c>
      <c r="G658" s="4">
        <v>516172.804</v>
      </c>
      <c r="H658" s="5">
        <f>780 / 86400</f>
        <v>9.0277777777777769E-3</v>
      </c>
      <c r="I658" t="s">
        <v>124</v>
      </c>
      <c r="J658" t="s">
        <v>68</v>
      </c>
      <c r="K658" s="5">
        <f>2755 / 86400</f>
        <v>3.1886574074074074E-2</v>
      </c>
      <c r="L658" s="5">
        <f>31 / 86400</f>
        <v>3.5879629629629629E-4</v>
      </c>
    </row>
    <row r="659" spans="1:12" x14ac:dyDescent="0.25">
      <c r="A659" s="3">
        <v>45704.661504629628</v>
      </c>
      <c r="B659" t="s">
        <v>335</v>
      </c>
      <c r="C659" s="3">
        <v>45704.693125000005</v>
      </c>
      <c r="D659" t="s">
        <v>203</v>
      </c>
      <c r="E659" s="4">
        <v>11.02</v>
      </c>
      <c r="F659" s="4">
        <v>516172.91499999998</v>
      </c>
      <c r="G659" s="4">
        <v>516183.935</v>
      </c>
      <c r="H659" s="5">
        <f>960 / 86400</f>
        <v>1.1111111111111112E-2</v>
      </c>
      <c r="I659" t="s">
        <v>255</v>
      </c>
      <c r="J659" t="s">
        <v>279</v>
      </c>
      <c r="K659" s="5">
        <f>2732 / 86400</f>
        <v>3.1620370370370368E-2</v>
      </c>
      <c r="L659" s="5">
        <f>9 / 86400</f>
        <v>1.0416666666666667E-4</v>
      </c>
    </row>
    <row r="660" spans="1:12" x14ac:dyDescent="0.25">
      <c r="A660" s="3">
        <v>45704.693229166667</v>
      </c>
      <c r="B660" t="s">
        <v>203</v>
      </c>
      <c r="C660" s="3">
        <v>45704.69326388889</v>
      </c>
      <c r="D660" t="s">
        <v>203</v>
      </c>
      <c r="E660" s="4">
        <v>1.0999999999999999E-2</v>
      </c>
      <c r="F660" s="4">
        <v>516183.94199999998</v>
      </c>
      <c r="G660" s="4">
        <v>516183.95299999998</v>
      </c>
      <c r="H660" s="5">
        <f>0 / 86400</f>
        <v>0</v>
      </c>
      <c r="I660" t="s">
        <v>279</v>
      </c>
      <c r="J660" t="s">
        <v>86</v>
      </c>
      <c r="K660" s="5">
        <f>3 / 86400</f>
        <v>3.4722222222222222E-5</v>
      </c>
      <c r="L660" s="5">
        <f>4 / 86400</f>
        <v>4.6296296296296294E-5</v>
      </c>
    </row>
    <row r="661" spans="1:12" x14ac:dyDescent="0.25">
      <c r="A661" s="3">
        <v>45704.69331018519</v>
      </c>
      <c r="B661" t="s">
        <v>203</v>
      </c>
      <c r="C661" s="3">
        <v>45704.702569444446</v>
      </c>
      <c r="D661" t="s">
        <v>216</v>
      </c>
      <c r="E661" s="4">
        <v>3.4329999999999998</v>
      </c>
      <c r="F661" s="4">
        <v>516183.95400000003</v>
      </c>
      <c r="G661" s="4">
        <v>516187.38699999999</v>
      </c>
      <c r="H661" s="5">
        <f>330 / 86400</f>
        <v>3.8194444444444443E-3</v>
      </c>
      <c r="I661" t="s">
        <v>184</v>
      </c>
      <c r="J661" t="s">
        <v>279</v>
      </c>
      <c r="K661" s="5">
        <f>800 / 86400</f>
        <v>9.2592592592592587E-3</v>
      </c>
      <c r="L661" s="5">
        <f>15 / 86400</f>
        <v>1.7361111111111112E-4</v>
      </c>
    </row>
    <row r="662" spans="1:12" x14ac:dyDescent="0.25">
      <c r="A662" s="3">
        <v>45704.702743055561</v>
      </c>
      <c r="B662" t="s">
        <v>336</v>
      </c>
      <c r="C662" s="3">
        <v>45704.702800925923</v>
      </c>
      <c r="D662" t="s">
        <v>337</v>
      </c>
      <c r="E662" s="4">
        <v>1.0999999999999999E-2</v>
      </c>
      <c r="F662" s="4">
        <v>516187.391</v>
      </c>
      <c r="G662" s="4">
        <v>516187.402</v>
      </c>
      <c r="H662" s="5">
        <f>0 / 86400</f>
        <v>0</v>
      </c>
      <c r="I662" t="s">
        <v>136</v>
      </c>
      <c r="J662" t="s">
        <v>119</v>
      </c>
      <c r="K662" s="5">
        <f>5 / 86400</f>
        <v>5.7870370370370373E-5</v>
      </c>
      <c r="L662" s="5">
        <f>30 / 86400</f>
        <v>3.4722222222222224E-4</v>
      </c>
    </row>
    <row r="663" spans="1:12" x14ac:dyDescent="0.25">
      <c r="A663" s="3">
        <v>45704.703148148154</v>
      </c>
      <c r="B663" t="s">
        <v>212</v>
      </c>
      <c r="C663" s="3">
        <v>45704.723877314813</v>
      </c>
      <c r="D663" t="s">
        <v>338</v>
      </c>
      <c r="E663" s="4">
        <v>5.3449999999999998</v>
      </c>
      <c r="F663" s="4">
        <v>516187.783</v>
      </c>
      <c r="G663" s="4">
        <v>516193.12800000003</v>
      </c>
      <c r="H663" s="5">
        <f>750 / 86400</f>
        <v>8.6805555555555559E-3</v>
      </c>
      <c r="I663" t="s">
        <v>126</v>
      </c>
      <c r="J663" t="s">
        <v>143</v>
      </c>
      <c r="K663" s="5">
        <f>1791 / 86400</f>
        <v>2.0729166666666667E-2</v>
      </c>
      <c r="L663" s="5">
        <f>2 / 86400</f>
        <v>2.3148148148148147E-5</v>
      </c>
    </row>
    <row r="664" spans="1:12" x14ac:dyDescent="0.25">
      <c r="A664" s="3">
        <v>45704.723900462966</v>
      </c>
      <c r="B664" t="s">
        <v>339</v>
      </c>
      <c r="C664" s="3">
        <v>45704.724120370374</v>
      </c>
      <c r="D664" t="s">
        <v>340</v>
      </c>
      <c r="E664" s="4">
        <v>4.8000000000000001E-2</v>
      </c>
      <c r="F664" s="4">
        <v>516193.13400000002</v>
      </c>
      <c r="G664" s="4">
        <v>516193.18199999997</v>
      </c>
      <c r="H664" s="5">
        <f>0 / 86400</f>
        <v>0</v>
      </c>
      <c r="I664" t="s">
        <v>48</v>
      </c>
      <c r="J664" t="s">
        <v>30</v>
      </c>
      <c r="K664" s="5">
        <f>19 / 86400</f>
        <v>2.199074074074074E-4</v>
      </c>
      <c r="L664" s="5">
        <f>4 / 86400</f>
        <v>4.6296296296296294E-5</v>
      </c>
    </row>
    <row r="665" spans="1:12" x14ac:dyDescent="0.25">
      <c r="A665" s="3">
        <v>45704.724166666667</v>
      </c>
      <c r="B665" t="s">
        <v>340</v>
      </c>
      <c r="C665" s="3">
        <v>45704.73164351852</v>
      </c>
      <c r="D665" t="s">
        <v>341</v>
      </c>
      <c r="E665" s="4">
        <v>2.1240000000000001</v>
      </c>
      <c r="F665" s="4">
        <v>516193.19400000002</v>
      </c>
      <c r="G665" s="4">
        <v>516195.31800000003</v>
      </c>
      <c r="H665" s="5">
        <f>252 / 86400</f>
        <v>2.9166666666666668E-3</v>
      </c>
      <c r="I665" t="s">
        <v>232</v>
      </c>
      <c r="J665" t="s">
        <v>165</v>
      </c>
      <c r="K665" s="5">
        <f>646 / 86400</f>
        <v>7.4768518518518517E-3</v>
      </c>
      <c r="L665" s="5">
        <f>3 / 86400</f>
        <v>3.4722222222222222E-5</v>
      </c>
    </row>
    <row r="666" spans="1:12" x14ac:dyDescent="0.25">
      <c r="A666" s="3">
        <v>45704.731678240743</v>
      </c>
      <c r="B666" t="s">
        <v>215</v>
      </c>
      <c r="C666" s="3">
        <v>45704.733136574076</v>
      </c>
      <c r="D666" t="s">
        <v>342</v>
      </c>
      <c r="E666" s="4">
        <v>0.66400000000000003</v>
      </c>
      <c r="F666" s="4">
        <v>516195.35</v>
      </c>
      <c r="G666" s="4">
        <v>516196.01400000002</v>
      </c>
      <c r="H666" s="5">
        <f>15 / 86400</f>
        <v>1.7361111111111112E-4</v>
      </c>
      <c r="I666" t="s">
        <v>174</v>
      </c>
      <c r="J666" t="s">
        <v>44</v>
      </c>
      <c r="K666" s="5">
        <f>126 / 86400</f>
        <v>1.4583333333333334E-3</v>
      </c>
      <c r="L666" s="5">
        <f>2 / 86400</f>
        <v>2.3148148148148147E-5</v>
      </c>
    </row>
    <row r="667" spans="1:12" x14ac:dyDescent="0.25">
      <c r="A667" s="3">
        <v>45704.733159722222</v>
      </c>
      <c r="B667" t="s">
        <v>220</v>
      </c>
      <c r="C667" s="3">
        <v>45704.734236111108</v>
      </c>
      <c r="D667" t="s">
        <v>221</v>
      </c>
      <c r="E667" s="4">
        <v>0.505</v>
      </c>
      <c r="F667" s="4">
        <v>516196.01899999997</v>
      </c>
      <c r="G667" s="4">
        <v>516196.52399999998</v>
      </c>
      <c r="H667" s="5">
        <f>60 / 86400</f>
        <v>6.9444444444444447E-4</v>
      </c>
      <c r="I667" t="s">
        <v>237</v>
      </c>
      <c r="J667" t="s">
        <v>33</v>
      </c>
      <c r="K667" s="5">
        <f>93 / 86400</f>
        <v>1.0763888888888889E-3</v>
      </c>
      <c r="L667" s="5">
        <f>1 / 86400</f>
        <v>1.1574074074074073E-5</v>
      </c>
    </row>
    <row r="668" spans="1:12" x14ac:dyDescent="0.25">
      <c r="A668" s="3">
        <v>45704.734247685185</v>
      </c>
      <c r="B668" t="s">
        <v>221</v>
      </c>
      <c r="C668" s="3">
        <v>45704.739606481482</v>
      </c>
      <c r="D668" t="s">
        <v>201</v>
      </c>
      <c r="E668" s="4">
        <v>1.4970000000000001</v>
      </c>
      <c r="F668" s="4">
        <v>516196.53700000001</v>
      </c>
      <c r="G668" s="4">
        <v>516198.03399999999</v>
      </c>
      <c r="H668" s="5">
        <f>89 / 86400</f>
        <v>1.0300925925925926E-3</v>
      </c>
      <c r="I668" t="s">
        <v>237</v>
      </c>
      <c r="J668" t="s">
        <v>165</v>
      </c>
      <c r="K668" s="5">
        <f>463 / 86400</f>
        <v>5.3587962962962964E-3</v>
      </c>
      <c r="L668" s="5">
        <f>4 / 86400</f>
        <v>4.6296296296296294E-5</v>
      </c>
    </row>
    <row r="669" spans="1:12" x14ac:dyDescent="0.25">
      <c r="A669" s="3">
        <v>45704.739652777775</v>
      </c>
      <c r="B669" t="s">
        <v>201</v>
      </c>
      <c r="C669" s="3">
        <v>45704.755231481482</v>
      </c>
      <c r="D669" t="s">
        <v>343</v>
      </c>
      <c r="E669" s="4">
        <v>7.4080000000000004</v>
      </c>
      <c r="F669" s="4">
        <v>516198.06599999999</v>
      </c>
      <c r="G669" s="4">
        <v>516205.47399999999</v>
      </c>
      <c r="H669" s="5">
        <f>300 / 86400</f>
        <v>3.472222222222222E-3</v>
      </c>
      <c r="I669" t="s">
        <v>209</v>
      </c>
      <c r="J669" t="s">
        <v>33</v>
      </c>
      <c r="K669" s="5">
        <f>1346 / 86400</f>
        <v>1.5578703703703704E-2</v>
      </c>
      <c r="L669" s="5">
        <f>30 / 86400</f>
        <v>3.4722222222222224E-4</v>
      </c>
    </row>
    <row r="670" spans="1:12" x14ac:dyDescent="0.25">
      <c r="A670" s="3">
        <v>45704.755578703705</v>
      </c>
      <c r="B670" t="s">
        <v>344</v>
      </c>
      <c r="C670" s="3">
        <v>45704.783587962964</v>
      </c>
      <c r="D670" t="s">
        <v>89</v>
      </c>
      <c r="E670" s="4">
        <v>9.9629999999999992</v>
      </c>
      <c r="F670" s="4">
        <v>516205.82500000001</v>
      </c>
      <c r="G670" s="4">
        <v>516215.788</v>
      </c>
      <c r="H670" s="5">
        <f>900 / 86400</f>
        <v>1.0416666666666666E-2</v>
      </c>
      <c r="I670" t="s">
        <v>174</v>
      </c>
      <c r="J670" t="s">
        <v>279</v>
      </c>
      <c r="K670" s="5">
        <f>2420 / 86400</f>
        <v>2.8009259259259258E-2</v>
      </c>
      <c r="L670" s="5">
        <f>30 / 86400</f>
        <v>3.4722222222222224E-4</v>
      </c>
    </row>
    <row r="671" spans="1:12" x14ac:dyDescent="0.25">
      <c r="A671" s="3">
        <v>45704.783935185187</v>
      </c>
      <c r="B671" t="s">
        <v>89</v>
      </c>
      <c r="C671" s="3">
        <v>45704.796157407407</v>
      </c>
      <c r="D671" t="s">
        <v>287</v>
      </c>
      <c r="E671" s="4">
        <v>8.1370000000000005</v>
      </c>
      <c r="F671" s="4">
        <v>516216.103</v>
      </c>
      <c r="G671" s="4">
        <v>516224.24</v>
      </c>
      <c r="H671" s="5">
        <f>150 / 86400</f>
        <v>1.736111111111111E-3</v>
      </c>
      <c r="I671" t="s">
        <v>317</v>
      </c>
      <c r="J671" t="s">
        <v>29</v>
      </c>
      <c r="K671" s="5">
        <f>1056 / 86400</f>
        <v>1.2222222222222223E-2</v>
      </c>
      <c r="L671" s="5">
        <f>2 / 86400</f>
        <v>2.3148148148148147E-5</v>
      </c>
    </row>
    <row r="672" spans="1:12" x14ac:dyDescent="0.25">
      <c r="A672" s="3">
        <v>45704.796180555553</v>
      </c>
      <c r="B672" t="s">
        <v>287</v>
      </c>
      <c r="C672" s="3">
        <v>45704.80467592593</v>
      </c>
      <c r="D672" t="s">
        <v>289</v>
      </c>
      <c r="E672" s="4">
        <v>5.1059999999999999</v>
      </c>
      <c r="F672" s="4">
        <v>516224.245</v>
      </c>
      <c r="G672" s="4">
        <v>516229.35100000002</v>
      </c>
      <c r="H672" s="5">
        <f>120 / 86400</f>
        <v>1.3888888888888889E-3</v>
      </c>
      <c r="I672" t="s">
        <v>178</v>
      </c>
      <c r="J672" t="s">
        <v>122</v>
      </c>
      <c r="K672" s="5">
        <f>734 / 86400</f>
        <v>8.4953703703703701E-3</v>
      </c>
      <c r="L672" s="5">
        <f>31 / 86400</f>
        <v>3.5879629629629629E-4</v>
      </c>
    </row>
    <row r="673" spans="1:12" x14ac:dyDescent="0.25">
      <c r="A673" s="3">
        <v>45704.805034722223</v>
      </c>
      <c r="B673" t="s">
        <v>289</v>
      </c>
      <c r="C673" s="3">
        <v>45704.811956018515</v>
      </c>
      <c r="D673" t="s">
        <v>293</v>
      </c>
      <c r="E673" s="4">
        <v>4.984</v>
      </c>
      <c r="F673" s="4">
        <v>516229.69699999999</v>
      </c>
      <c r="G673" s="4">
        <v>516234.68099999998</v>
      </c>
      <c r="H673" s="5">
        <f>120 / 86400</f>
        <v>1.3888888888888889E-3</v>
      </c>
      <c r="I673" t="s">
        <v>184</v>
      </c>
      <c r="J673" t="s">
        <v>35</v>
      </c>
      <c r="K673" s="5">
        <f>598 / 86400</f>
        <v>6.9212962962962961E-3</v>
      </c>
      <c r="L673" s="5">
        <f>9 / 86400</f>
        <v>1.0416666666666667E-4</v>
      </c>
    </row>
    <row r="674" spans="1:12" x14ac:dyDescent="0.25">
      <c r="A674" s="3">
        <v>45704.812060185184</v>
      </c>
      <c r="B674" t="s">
        <v>293</v>
      </c>
      <c r="C674" s="3">
        <v>45704.830289351856</v>
      </c>
      <c r="D674" t="s">
        <v>73</v>
      </c>
      <c r="E674" s="4">
        <v>7.8609999999999998</v>
      </c>
      <c r="F674" s="4">
        <v>516234.766</v>
      </c>
      <c r="G674" s="4">
        <v>516242.62699999998</v>
      </c>
      <c r="H674" s="5">
        <f>570 / 86400</f>
        <v>6.5972222222222222E-3</v>
      </c>
      <c r="I674" t="s">
        <v>172</v>
      </c>
      <c r="J674" t="s">
        <v>51</v>
      </c>
      <c r="K674" s="5">
        <f>1575 / 86400</f>
        <v>1.8229166666666668E-2</v>
      </c>
      <c r="L674" s="5">
        <f>1089 / 86400</f>
        <v>1.2604166666666666E-2</v>
      </c>
    </row>
    <row r="675" spans="1:12" x14ac:dyDescent="0.25">
      <c r="A675" s="3">
        <v>45704.842893518522</v>
      </c>
      <c r="B675" t="s">
        <v>80</v>
      </c>
      <c r="C675" s="3">
        <v>45704.842951388884</v>
      </c>
      <c r="D675" t="s">
        <v>80</v>
      </c>
      <c r="E675" s="4">
        <v>0</v>
      </c>
      <c r="F675" s="4">
        <v>516242.62699999998</v>
      </c>
      <c r="G675" s="4">
        <v>516242.62699999998</v>
      </c>
      <c r="H675" s="5">
        <f>1 / 86400</f>
        <v>1.1574074074074073E-5</v>
      </c>
      <c r="I675" t="s">
        <v>55</v>
      </c>
      <c r="J675" t="s">
        <v>55</v>
      </c>
      <c r="K675" s="5">
        <f>5 / 86400</f>
        <v>5.7870370370370373E-5</v>
      </c>
      <c r="L675" s="5">
        <f>7 / 86400</f>
        <v>8.1018518518518516E-5</v>
      </c>
    </row>
    <row r="676" spans="1:12" x14ac:dyDescent="0.25">
      <c r="A676" s="3">
        <v>45704.843032407407</v>
      </c>
      <c r="B676" t="s">
        <v>80</v>
      </c>
      <c r="C676" s="3">
        <v>45704.844131944439</v>
      </c>
      <c r="D676" t="s">
        <v>74</v>
      </c>
      <c r="E676" s="4">
        <v>0.34200000000000003</v>
      </c>
      <c r="F676" s="4">
        <v>516242.62699999998</v>
      </c>
      <c r="G676" s="4">
        <v>516242.96899999998</v>
      </c>
      <c r="H676" s="5">
        <f>18 / 86400</f>
        <v>2.0833333333333335E-4</v>
      </c>
      <c r="I676" t="s">
        <v>158</v>
      </c>
      <c r="J676" t="s">
        <v>86</v>
      </c>
      <c r="K676" s="5">
        <f>95 / 86400</f>
        <v>1.0995370370370371E-3</v>
      </c>
      <c r="L676" s="5">
        <f>13466 / 86400</f>
        <v>0.15585648148148148</v>
      </c>
    </row>
    <row r="677" spans="1:1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</row>
    <row r="678" spans="1:1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</row>
    <row r="679" spans="1:12" s="10" customFormat="1" ht="20.100000000000001" customHeight="1" x14ac:dyDescent="0.35">
      <c r="A679" s="15" t="s">
        <v>404</v>
      </c>
      <c r="B679" s="15"/>
      <c r="C679" s="15"/>
      <c r="D679" s="15"/>
      <c r="E679" s="15"/>
      <c r="F679" s="15"/>
      <c r="G679" s="15"/>
      <c r="H679" s="15"/>
      <c r="I679" s="15"/>
      <c r="J679" s="15"/>
    </row>
    <row r="680" spans="1:1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</row>
    <row r="681" spans="1:12" ht="30" x14ac:dyDescent="0.25">
      <c r="A681" s="2" t="s">
        <v>6</v>
      </c>
      <c r="B681" s="2" t="s">
        <v>7</v>
      </c>
      <c r="C681" s="2" t="s">
        <v>8</v>
      </c>
      <c r="D681" s="2" t="s">
        <v>9</v>
      </c>
      <c r="E681" s="2" t="s">
        <v>10</v>
      </c>
      <c r="F681" s="2" t="s">
        <v>11</v>
      </c>
      <c r="G681" s="2" t="s">
        <v>12</v>
      </c>
      <c r="H681" s="2" t="s">
        <v>13</v>
      </c>
      <c r="I681" s="2" t="s">
        <v>14</v>
      </c>
      <c r="J681" s="2" t="s">
        <v>15</v>
      </c>
      <c r="K681" s="2" t="s">
        <v>16</v>
      </c>
      <c r="L681" s="2" t="s">
        <v>17</v>
      </c>
    </row>
    <row r="682" spans="1:12" x14ac:dyDescent="0.25">
      <c r="A682" s="3">
        <v>45704.91684027778</v>
      </c>
      <c r="B682" t="s">
        <v>76</v>
      </c>
      <c r="C682" s="3">
        <v>45704.917083333334</v>
      </c>
      <c r="D682" t="s">
        <v>76</v>
      </c>
      <c r="E682" s="4">
        <v>0</v>
      </c>
      <c r="F682" s="4">
        <v>411453.228</v>
      </c>
      <c r="G682" s="4">
        <v>411453.228</v>
      </c>
      <c r="H682" s="5">
        <f>0 / 86400</f>
        <v>0</v>
      </c>
      <c r="I682" t="s">
        <v>55</v>
      </c>
      <c r="J682" t="s">
        <v>55</v>
      </c>
      <c r="K682" s="5">
        <f>20 / 86400</f>
        <v>2.3148148148148149E-4</v>
      </c>
      <c r="L682" s="5">
        <f>86378 / 86400</f>
        <v>0.99974537037037037</v>
      </c>
    </row>
    <row r="683" spans="1:1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s="10" customFormat="1" ht="20.100000000000001" customHeight="1" x14ac:dyDescent="0.35">
      <c r="A685" s="15" t="s">
        <v>405</v>
      </c>
      <c r="B685" s="15"/>
      <c r="C685" s="15"/>
      <c r="D685" s="15"/>
      <c r="E685" s="15"/>
      <c r="F685" s="15"/>
      <c r="G685" s="15"/>
      <c r="H685" s="15"/>
      <c r="I685" s="15"/>
      <c r="J685" s="15"/>
    </row>
    <row r="686" spans="1:1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</row>
    <row r="687" spans="1:12" ht="30" x14ac:dyDescent="0.25">
      <c r="A687" s="2" t="s">
        <v>6</v>
      </c>
      <c r="B687" s="2" t="s">
        <v>7</v>
      </c>
      <c r="C687" s="2" t="s">
        <v>8</v>
      </c>
      <c r="D687" s="2" t="s">
        <v>9</v>
      </c>
      <c r="E687" s="2" t="s">
        <v>10</v>
      </c>
      <c r="F687" s="2" t="s">
        <v>11</v>
      </c>
      <c r="G687" s="2" t="s">
        <v>12</v>
      </c>
      <c r="H687" s="2" t="s">
        <v>13</v>
      </c>
      <c r="I687" s="2" t="s">
        <v>14</v>
      </c>
      <c r="J687" s="2" t="s">
        <v>15</v>
      </c>
      <c r="K687" s="2" t="s">
        <v>16</v>
      </c>
      <c r="L687" s="2" t="s">
        <v>17</v>
      </c>
    </row>
    <row r="688" spans="1:12" x14ac:dyDescent="0.25">
      <c r="A688" s="3">
        <v>45704.677835648152</v>
      </c>
      <c r="B688" t="s">
        <v>77</v>
      </c>
      <c r="C688" s="3">
        <v>45704.900335648148</v>
      </c>
      <c r="D688" t="s">
        <v>296</v>
      </c>
      <c r="E688" s="4">
        <v>119.089</v>
      </c>
      <c r="F688" s="4">
        <v>474386.12400000001</v>
      </c>
      <c r="G688" s="4">
        <v>474505.21299999999</v>
      </c>
      <c r="H688" s="5">
        <f>5438 / 86400</f>
        <v>6.293981481481481E-2</v>
      </c>
      <c r="I688" t="s">
        <v>32</v>
      </c>
      <c r="J688" t="s">
        <v>20</v>
      </c>
      <c r="K688" s="5">
        <f>19223 / 86400</f>
        <v>0.22248842592592594</v>
      </c>
      <c r="L688" s="5">
        <f>58631 / 86400</f>
        <v>0.67859953703703701</v>
      </c>
    </row>
    <row r="689" spans="1:12" x14ac:dyDescent="0.25">
      <c r="A689" s="3">
        <v>45704.901099537034</v>
      </c>
      <c r="B689" t="s">
        <v>296</v>
      </c>
      <c r="C689" s="3">
        <v>45704.901886574073</v>
      </c>
      <c r="D689" t="s">
        <v>345</v>
      </c>
      <c r="E689" s="4">
        <v>0.14099999999999999</v>
      </c>
      <c r="F689" s="4">
        <v>474505.21299999999</v>
      </c>
      <c r="G689" s="4">
        <v>474505.35399999999</v>
      </c>
      <c r="H689" s="5">
        <f>20 / 86400</f>
        <v>2.3148148148148149E-4</v>
      </c>
      <c r="I689" t="s">
        <v>165</v>
      </c>
      <c r="J689" t="s">
        <v>136</v>
      </c>
      <c r="K689" s="5">
        <f>68 / 86400</f>
        <v>7.8703703703703705E-4</v>
      </c>
      <c r="L689" s="5">
        <f>303 / 86400</f>
        <v>3.5069444444444445E-3</v>
      </c>
    </row>
    <row r="690" spans="1:12" x14ac:dyDescent="0.25">
      <c r="A690" s="3">
        <v>45704.905393518522</v>
      </c>
      <c r="B690" t="s">
        <v>345</v>
      </c>
      <c r="C690" s="3">
        <v>45704.994143518517</v>
      </c>
      <c r="D690" t="s">
        <v>78</v>
      </c>
      <c r="E690" s="4">
        <v>48.155000000000001</v>
      </c>
      <c r="F690" s="4">
        <v>474505.35399999999</v>
      </c>
      <c r="G690" s="4">
        <v>474553.50900000002</v>
      </c>
      <c r="H690" s="5">
        <f>1820 / 86400</f>
        <v>2.1064814814814814E-2</v>
      </c>
      <c r="I690" t="s">
        <v>99</v>
      </c>
      <c r="J690" t="s">
        <v>27</v>
      </c>
      <c r="K690" s="5">
        <f>7668 / 86400</f>
        <v>8.8749999999999996E-2</v>
      </c>
      <c r="L690" s="5">
        <f>505 / 86400</f>
        <v>5.8449074074074072E-3</v>
      </c>
    </row>
    <row r="691" spans="1:1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s="10" customFormat="1" ht="20.100000000000001" customHeight="1" x14ac:dyDescent="0.35">
      <c r="A693" s="15" t="s">
        <v>406</v>
      </c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ht="30" x14ac:dyDescent="0.25">
      <c r="A695" s="2" t="s">
        <v>6</v>
      </c>
      <c r="B695" s="2" t="s">
        <v>7</v>
      </c>
      <c r="C695" s="2" t="s">
        <v>8</v>
      </c>
      <c r="D695" s="2" t="s">
        <v>9</v>
      </c>
      <c r="E695" s="2" t="s">
        <v>10</v>
      </c>
      <c r="F695" s="2" t="s">
        <v>11</v>
      </c>
      <c r="G695" s="2" t="s">
        <v>12</v>
      </c>
      <c r="H695" s="2" t="s">
        <v>13</v>
      </c>
      <c r="I695" s="2" t="s">
        <v>14</v>
      </c>
      <c r="J695" s="2" t="s">
        <v>15</v>
      </c>
      <c r="K695" s="2" t="s">
        <v>16</v>
      </c>
      <c r="L695" s="2" t="s">
        <v>17</v>
      </c>
    </row>
    <row r="696" spans="1:12" x14ac:dyDescent="0.25">
      <c r="A696" s="3">
        <v>45704.120462962965</v>
      </c>
      <c r="B696" t="s">
        <v>79</v>
      </c>
      <c r="C696" s="3">
        <v>45704.185937499999</v>
      </c>
      <c r="D696" t="s">
        <v>346</v>
      </c>
      <c r="E696" s="4">
        <v>29.745000000000001</v>
      </c>
      <c r="F696" s="4">
        <v>414460.62099999998</v>
      </c>
      <c r="G696" s="4">
        <v>414490.36599999998</v>
      </c>
      <c r="H696" s="5">
        <f>1738 / 86400</f>
        <v>2.011574074074074E-2</v>
      </c>
      <c r="I696" t="s">
        <v>47</v>
      </c>
      <c r="J696" t="s">
        <v>44</v>
      </c>
      <c r="K696" s="5">
        <f>5656 / 86400</f>
        <v>6.5462962962962959E-2</v>
      </c>
      <c r="L696" s="5">
        <f>10843 / 86400</f>
        <v>0.1254976851851852</v>
      </c>
    </row>
    <row r="697" spans="1:12" x14ac:dyDescent="0.25">
      <c r="A697" s="3">
        <v>45704.190972222219</v>
      </c>
      <c r="B697" t="s">
        <v>346</v>
      </c>
      <c r="C697" s="3">
        <v>45704.191423611112</v>
      </c>
      <c r="D697" t="s">
        <v>346</v>
      </c>
      <c r="E697" s="4">
        <v>0</v>
      </c>
      <c r="F697" s="4">
        <v>414490.36599999998</v>
      </c>
      <c r="G697" s="4">
        <v>414490.36599999998</v>
      </c>
      <c r="H697" s="5">
        <f>20 / 86400</f>
        <v>2.3148148148148149E-4</v>
      </c>
      <c r="I697" t="s">
        <v>55</v>
      </c>
      <c r="J697" t="s">
        <v>55</v>
      </c>
      <c r="K697" s="5">
        <f>39 / 86400</f>
        <v>4.5138888888888887E-4</v>
      </c>
      <c r="L697" s="5">
        <f>153 / 86400</f>
        <v>1.7708333333333332E-3</v>
      </c>
    </row>
    <row r="698" spans="1:12" x14ac:dyDescent="0.25">
      <c r="A698" s="3">
        <v>45704.193194444444</v>
      </c>
      <c r="B698" t="s">
        <v>346</v>
      </c>
      <c r="C698" s="3">
        <v>45704.279768518521</v>
      </c>
      <c r="D698" t="s">
        <v>73</v>
      </c>
      <c r="E698" s="4">
        <v>45.491999999999997</v>
      </c>
      <c r="F698" s="4">
        <v>414490.36599999998</v>
      </c>
      <c r="G698" s="4">
        <v>414535.85800000001</v>
      </c>
      <c r="H698" s="5">
        <f>1741 / 86400</f>
        <v>2.0150462962962964E-2</v>
      </c>
      <c r="I698" t="s">
        <v>321</v>
      </c>
      <c r="J698" t="s">
        <v>20</v>
      </c>
      <c r="K698" s="5">
        <f>7480 / 86400</f>
        <v>8.6574074074074067E-2</v>
      </c>
      <c r="L698" s="5">
        <f>1284 / 86400</f>
        <v>1.4861111111111111E-2</v>
      </c>
    </row>
    <row r="699" spans="1:12" x14ac:dyDescent="0.25">
      <c r="A699" s="3">
        <v>45704.294629629629</v>
      </c>
      <c r="B699" t="s">
        <v>73</v>
      </c>
      <c r="C699" s="3">
        <v>45704.296388888892</v>
      </c>
      <c r="D699" t="s">
        <v>120</v>
      </c>
      <c r="E699" s="4">
        <v>0.21199999999999999</v>
      </c>
      <c r="F699" s="4">
        <v>414535.85800000001</v>
      </c>
      <c r="G699" s="4">
        <v>414536.07</v>
      </c>
      <c r="H699" s="5">
        <f>40 / 86400</f>
        <v>4.6296296296296298E-4</v>
      </c>
      <c r="I699" t="s">
        <v>44</v>
      </c>
      <c r="J699" t="s">
        <v>127</v>
      </c>
      <c r="K699" s="5">
        <f>152 / 86400</f>
        <v>1.7592592592592592E-3</v>
      </c>
      <c r="L699" s="5">
        <f>108 / 86400</f>
        <v>1.25E-3</v>
      </c>
    </row>
    <row r="700" spans="1:12" x14ac:dyDescent="0.25">
      <c r="A700" s="3">
        <v>45704.297638888893</v>
      </c>
      <c r="B700" t="s">
        <v>120</v>
      </c>
      <c r="C700" s="3">
        <v>45704.300138888888</v>
      </c>
      <c r="D700" t="s">
        <v>140</v>
      </c>
      <c r="E700" s="4">
        <v>0.63600000000000001</v>
      </c>
      <c r="F700" s="4">
        <v>414536.07</v>
      </c>
      <c r="G700" s="4">
        <v>414536.70600000001</v>
      </c>
      <c r="H700" s="5">
        <f>80 / 86400</f>
        <v>9.2592592592592596E-4</v>
      </c>
      <c r="I700" t="s">
        <v>175</v>
      </c>
      <c r="J700" t="s">
        <v>143</v>
      </c>
      <c r="K700" s="5">
        <f>216 / 86400</f>
        <v>2.5000000000000001E-3</v>
      </c>
      <c r="L700" s="5">
        <f>161 / 86400</f>
        <v>1.8634259259259259E-3</v>
      </c>
    </row>
    <row r="701" spans="1:12" x14ac:dyDescent="0.25">
      <c r="A701" s="3">
        <v>45704.302002314813</v>
      </c>
      <c r="B701" t="s">
        <v>140</v>
      </c>
      <c r="C701" s="3">
        <v>45704.3044212963</v>
      </c>
      <c r="D701" t="s">
        <v>140</v>
      </c>
      <c r="E701" s="4">
        <v>6.0000000000000001E-3</v>
      </c>
      <c r="F701" s="4">
        <v>414536.70600000001</v>
      </c>
      <c r="G701" s="4">
        <v>414536.712</v>
      </c>
      <c r="H701" s="5">
        <f>180 / 86400</f>
        <v>2.0833333333333333E-3</v>
      </c>
      <c r="I701" t="s">
        <v>137</v>
      </c>
      <c r="J701" t="s">
        <v>55</v>
      </c>
      <c r="K701" s="5">
        <f>209 / 86400</f>
        <v>2.4189814814814816E-3</v>
      </c>
      <c r="L701" s="5">
        <f>189 / 86400</f>
        <v>2.1875000000000002E-3</v>
      </c>
    </row>
    <row r="702" spans="1:12" x14ac:dyDescent="0.25">
      <c r="A702" s="3">
        <v>45704.306608796294</v>
      </c>
      <c r="B702" t="s">
        <v>140</v>
      </c>
      <c r="C702" s="3">
        <v>45704.308356481481</v>
      </c>
      <c r="D702" t="s">
        <v>140</v>
      </c>
      <c r="E702" s="4">
        <v>0</v>
      </c>
      <c r="F702" s="4">
        <v>414536.712</v>
      </c>
      <c r="G702" s="4">
        <v>414536.712</v>
      </c>
      <c r="H702" s="5">
        <f>139 / 86400</f>
        <v>1.6087962962962963E-3</v>
      </c>
      <c r="I702" t="s">
        <v>55</v>
      </c>
      <c r="J702" t="s">
        <v>55</v>
      </c>
      <c r="K702" s="5">
        <f>151 / 86400</f>
        <v>1.7476851851851852E-3</v>
      </c>
      <c r="L702" s="5">
        <f>104 / 86400</f>
        <v>1.2037037037037038E-3</v>
      </c>
    </row>
    <row r="703" spans="1:12" x14ac:dyDescent="0.25">
      <c r="A703" s="3">
        <v>45704.309560185182</v>
      </c>
      <c r="B703" t="s">
        <v>140</v>
      </c>
      <c r="C703" s="3">
        <v>45704.361678240741</v>
      </c>
      <c r="D703" t="s">
        <v>83</v>
      </c>
      <c r="E703" s="4">
        <v>29.302</v>
      </c>
      <c r="F703" s="4">
        <v>414536.712</v>
      </c>
      <c r="G703" s="4">
        <v>414566.01400000002</v>
      </c>
      <c r="H703" s="5">
        <f>1359 / 86400</f>
        <v>1.5729166666666666E-2</v>
      </c>
      <c r="I703" t="s">
        <v>96</v>
      </c>
      <c r="J703" t="s">
        <v>27</v>
      </c>
      <c r="K703" s="5">
        <f>4503 / 86400</f>
        <v>5.2118055555555556E-2</v>
      </c>
      <c r="L703" s="5">
        <f>27 / 86400</f>
        <v>3.1250000000000001E-4</v>
      </c>
    </row>
    <row r="704" spans="1:12" x14ac:dyDescent="0.25">
      <c r="A704" s="3">
        <v>45704.361990740741</v>
      </c>
      <c r="B704" t="s">
        <v>83</v>
      </c>
      <c r="C704" s="3">
        <v>45704.477384259255</v>
      </c>
      <c r="D704" t="s">
        <v>347</v>
      </c>
      <c r="E704" s="4">
        <v>69.998000000000005</v>
      </c>
      <c r="F704" s="4">
        <v>414566.01400000002</v>
      </c>
      <c r="G704" s="4">
        <v>414636.01199999999</v>
      </c>
      <c r="H704" s="5">
        <f>2301 / 86400</f>
        <v>2.6631944444444444E-2</v>
      </c>
      <c r="I704" t="s">
        <v>19</v>
      </c>
      <c r="J704" t="s">
        <v>122</v>
      </c>
      <c r="K704" s="5">
        <f>9969 / 86400</f>
        <v>0.11538194444444444</v>
      </c>
      <c r="L704" s="5">
        <f>42 / 86400</f>
        <v>4.861111111111111E-4</v>
      </c>
    </row>
    <row r="705" spans="1:12" x14ac:dyDescent="0.25">
      <c r="A705" s="3">
        <v>45704.477870370371</v>
      </c>
      <c r="B705" t="s">
        <v>347</v>
      </c>
      <c r="C705" s="3">
        <v>45704.579710648148</v>
      </c>
      <c r="D705" t="s">
        <v>348</v>
      </c>
      <c r="E705" s="4">
        <v>49.124000000000002</v>
      </c>
      <c r="F705" s="4">
        <v>414636.01199999999</v>
      </c>
      <c r="G705" s="4">
        <v>414685.136</v>
      </c>
      <c r="H705" s="5">
        <f>2860 / 86400</f>
        <v>3.3101851851851855E-2</v>
      </c>
      <c r="I705" t="s">
        <v>41</v>
      </c>
      <c r="J705" t="s">
        <v>33</v>
      </c>
      <c r="K705" s="5">
        <f>8798 / 86400</f>
        <v>0.1018287037037037</v>
      </c>
      <c r="L705" s="5">
        <f>3902 / 86400</f>
        <v>4.5162037037037035E-2</v>
      </c>
    </row>
    <row r="706" spans="1:12" x14ac:dyDescent="0.25">
      <c r="A706" s="3">
        <v>45704.624872685185</v>
      </c>
      <c r="B706" t="s">
        <v>348</v>
      </c>
      <c r="C706" s="3">
        <v>45704.63113425926</v>
      </c>
      <c r="D706" t="s">
        <v>73</v>
      </c>
      <c r="E706" s="4">
        <v>1.909</v>
      </c>
      <c r="F706" s="4">
        <v>414685.136</v>
      </c>
      <c r="G706" s="4">
        <v>414687.04499999998</v>
      </c>
      <c r="H706" s="5">
        <f>60 / 86400</f>
        <v>6.9444444444444447E-4</v>
      </c>
      <c r="I706" t="s">
        <v>219</v>
      </c>
      <c r="J706" t="s">
        <v>86</v>
      </c>
      <c r="K706" s="5">
        <f>541 / 86400</f>
        <v>6.2615740740740739E-3</v>
      </c>
      <c r="L706" s="5">
        <f>390 / 86400</f>
        <v>4.5138888888888885E-3</v>
      </c>
    </row>
    <row r="707" spans="1:12" x14ac:dyDescent="0.25">
      <c r="A707" s="3">
        <v>45704.635648148149</v>
      </c>
      <c r="B707" t="s">
        <v>73</v>
      </c>
      <c r="C707" s="3">
        <v>45704.643692129626</v>
      </c>
      <c r="D707" t="s">
        <v>169</v>
      </c>
      <c r="E707" s="4">
        <v>0.47499999999999998</v>
      </c>
      <c r="F707" s="4">
        <v>414687.04499999998</v>
      </c>
      <c r="G707" s="4">
        <v>414687.52</v>
      </c>
      <c r="H707" s="5">
        <f>478 / 86400</f>
        <v>5.5324074074074078E-3</v>
      </c>
      <c r="I707" t="s">
        <v>68</v>
      </c>
      <c r="J707" t="s">
        <v>129</v>
      </c>
      <c r="K707" s="5">
        <f>694 / 86400</f>
        <v>8.0324074074074082E-3</v>
      </c>
      <c r="L707" s="5">
        <f>60 / 86400</f>
        <v>6.9444444444444447E-4</v>
      </c>
    </row>
    <row r="708" spans="1:12" x14ac:dyDescent="0.25">
      <c r="A708" s="3">
        <v>45704.644386574073</v>
      </c>
      <c r="B708" t="s">
        <v>169</v>
      </c>
      <c r="C708" s="3">
        <v>45704.645034722227</v>
      </c>
      <c r="D708" t="s">
        <v>140</v>
      </c>
      <c r="E708" s="4">
        <v>8.0000000000000002E-3</v>
      </c>
      <c r="F708" s="4">
        <v>414687.52</v>
      </c>
      <c r="G708" s="4">
        <v>414687.52799999999</v>
      </c>
      <c r="H708" s="5">
        <f>39 / 86400</f>
        <v>4.5138888888888887E-4</v>
      </c>
      <c r="I708" t="s">
        <v>55</v>
      </c>
      <c r="J708" t="s">
        <v>128</v>
      </c>
      <c r="K708" s="5">
        <f>55 / 86400</f>
        <v>6.3657407407407413E-4</v>
      </c>
      <c r="L708" s="5">
        <f>313 / 86400</f>
        <v>3.6226851851851854E-3</v>
      </c>
    </row>
    <row r="709" spans="1:12" x14ac:dyDescent="0.25">
      <c r="A709" s="3">
        <v>45704.648657407408</v>
      </c>
      <c r="B709" t="s">
        <v>140</v>
      </c>
      <c r="C709" s="3">
        <v>45704.648784722223</v>
      </c>
      <c r="D709" t="s">
        <v>141</v>
      </c>
      <c r="E709" s="4">
        <v>0.01</v>
      </c>
      <c r="F709" s="4">
        <v>414687.52799999999</v>
      </c>
      <c r="G709" s="4">
        <v>414687.538</v>
      </c>
      <c r="H709" s="5">
        <f>0 / 86400</f>
        <v>0</v>
      </c>
      <c r="I709" t="s">
        <v>55</v>
      </c>
      <c r="J709" t="s">
        <v>137</v>
      </c>
      <c r="K709" s="5">
        <f>10 / 86400</f>
        <v>1.1574074074074075E-4</v>
      </c>
      <c r="L709" s="5">
        <f>166 / 86400</f>
        <v>1.9212962962962964E-3</v>
      </c>
    </row>
    <row r="710" spans="1:12" x14ac:dyDescent="0.25">
      <c r="A710" s="3">
        <v>45704.650706018518</v>
      </c>
      <c r="B710" t="s">
        <v>141</v>
      </c>
      <c r="C710" s="3">
        <v>45704.650833333333</v>
      </c>
      <c r="D710" t="s">
        <v>140</v>
      </c>
      <c r="E710" s="4">
        <v>0.01</v>
      </c>
      <c r="F710" s="4">
        <v>414687.538</v>
      </c>
      <c r="G710" s="4">
        <v>414687.54800000001</v>
      </c>
      <c r="H710" s="5">
        <f>0 / 86400</f>
        <v>0</v>
      </c>
      <c r="I710" t="s">
        <v>55</v>
      </c>
      <c r="J710" t="s">
        <v>137</v>
      </c>
      <c r="K710" s="5">
        <f>10 / 86400</f>
        <v>1.1574074074074075E-4</v>
      </c>
      <c r="L710" s="5">
        <f>291 / 86400</f>
        <v>3.3680555555555556E-3</v>
      </c>
    </row>
    <row r="711" spans="1:12" x14ac:dyDescent="0.25">
      <c r="A711" s="3">
        <v>45704.65420138889</v>
      </c>
      <c r="B711" t="s">
        <v>140</v>
      </c>
      <c r="C711" s="3">
        <v>45704.654351851852</v>
      </c>
      <c r="D711" t="s">
        <v>140</v>
      </c>
      <c r="E711" s="4">
        <v>3.0000000000000001E-3</v>
      </c>
      <c r="F711" s="4">
        <v>414687.54800000001</v>
      </c>
      <c r="G711" s="4">
        <v>414687.55099999998</v>
      </c>
      <c r="H711" s="5">
        <f>0 / 86400</f>
        <v>0</v>
      </c>
      <c r="I711" t="s">
        <v>55</v>
      </c>
      <c r="J711" t="s">
        <v>128</v>
      </c>
      <c r="K711" s="5">
        <f>13 / 86400</f>
        <v>1.5046296296296297E-4</v>
      </c>
      <c r="L711" s="5">
        <f>50 / 86400</f>
        <v>5.7870370370370367E-4</v>
      </c>
    </row>
    <row r="712" spans="1:12" x14ac:dyDescent="0.25">
      <c r="A712" s="3">
        <v>45704.654930555553</v>
      </c>
      <c r="B712" t="s">
        <v>140</v>
      </c>
      <c r="C712" s="3">
        <v>45704.655034722222</v>
      </c>
      <c r="D712" t="s">
        <v>140</v>
      </c>
      <c r="E712" s="4">
        <v>2E-3</v>
      </c>
      <c r="F712" s="4">
        <v>414687.55099999998</v>
      </c>
      <c r="G712" s="4">
        <v>414687.55300000001</v>
      </c>
      <c r="H712" s="5">
        <f>0 / 86400</f>
        <v>0</v>
      </c>
      <c r="I712" t="s">
        <v>55</v>
      </c>
      <c r="J712" t="s">
        <v>128</v>
      </c>
      <c r="K712" s="5">
        <f>9 / 86400</f>
        <v>1.0416666666666667E-4</v>
      </c>
      <c r="L712" s="5">
        <f>376 / 86400</f>
        <v>4.3518518518518515E-3</v>
      </c>
    </row>
    <row r="713" spans="1:12" x14ac:dyDescent="0.25">
      <c r="A713" s="3">
        <v>45704.659386574072</v>
      </c>
      <c r="B713" t="s">
        <v>140</v>
      </c>
      <c r="C713" s="3">
        <v>45704.659629629634</v>
      </c>
      <c r="D713" t="s">
        <v>140</v>
      </c>
      <c r="E713" s="4">
        <v>6.0000000000000001E-3</v>
      </c>
      <c r="F713" s="4">
        <v>414687.55300000001</v>
      </c>
      <c r="G713" s="4">
        <v>414687.55900000001</v>
      </c>
      <c r="H713" s="5">
        <f>19 / 86400</f>
        <v>2.199074074074074E-4</v>
      </c>
      <c r="I713" t="s">
        <v>55</v>
      </c>
      <c r="J713" t="s">
        <v>128</v>
      </c>
      <c r="K713" s="5">
        <f>21 / 86400</f>
        <v>2.4305555555555555E-4</v>
      </c>
      <c r="L713" s="5">
        <f>315 / 86400</f>
        <v>3.6458333333333334E-3</v>
      </c>
    </row>
    <row r="714" spans="1:12" x14ac:dyDescent="0.25">
      <c r="A714" s="3">
        <v>45704.663275462968</v>
      </c>
      <c r="B714" t="s">
        <v>140</v>
      </c>
      <c r="C714" s="3">
        <v>45704.848159722227</v>
      </c>
      <c r="D714" t="s">
        <v>299</v>
      </c>
      <c r="E714" s="4">
        <v>108.883</v>
      </c>
      <c r="F714" s="4">
        <v>414687.55900000001</v>
      </c>
      <c r="G714" s="4">
        <v>414796.44199999998</v>
      </c>
      <c r="H714" s="5">
        <f>4181 / 86400</f>
        <v>4.8391203703703707E-2</v>
      </c>
      <c r="I714" t="s">
        <v>26</v>
      </c>
      <c r="J714" t="s">
        <v>122</v>
      </c>
      <c r="K714" s="5">
        <f>15973 / 86400</f>
        <v>0.18487268518518518</v>
      </c>
      <c r="L714" s="5">
        <f>62 / 86400</f>
        <v>7.1759259259259259E-4</v>
      </c>
    </row>
    <row r="715" spans="1:12" x14ac:dyDescent="0.25">
      <c r="A715" s="3">
        <v>45704.848877314813</v>
      </c>
      <c r="B715" t="s">
        <v>299</v>
      </c>
      <c r="C715" s="3">
        <v>45704.891527777778</v>
      </c>
      <c r="D715" t="s">
        <v>95</v>
      </c>
      <c r="E715" s="4">
        <v>21.655999999999999</v>
      </c>
      <c r="F715" s="4">
        <v>414796.44199999998</v>
      </c>
      <c r="G715" s="4">
        <v>414818.098</v>
      </c>
      <c r="H715" s="5">
        <f>1140 / 86400</f>
        <v>1.3194444444444444E-2</v>
      </c>
      <c r="I715" t="s">
        <v>38</v>
      </c>
      <c r="J715" t="s">
        <v>23</v>
      </c>
      <c r="K715" s="5">
        <f>3685 / 86400</f>
        <v>4.2650462962962966E-2</v>
      </c>
      <c r="L715" s="5">
        <f>597 / 86400</f>
        <v>6.9097222222222225E-3</v>
      </c>
    </row>
    <row r="716" spans="1:12" x14ac:dyDescent="0.25">
      <c r="A716" s="3">
        <v>45704.8984375</v>
      </c>
      <c r="B716" t="s">
        <v>95</v>
      </c>
      <c r="C716" s="3">
        <v>45704.901342592595</v>
      </c>
      <c r="D716" t="s">
        <v>349</v>
      </c>
      <c r="E716" s="4">
        <v>1.331</v>
      </c>
      <c r="F716" s="4">
        <v>414818.098</v>
      </c>
      <c r="G716" s="4">
        <v>414819.429</v>
      </c>
      <c r="H716" s="5">
        <f>40 / 86400</f>
        <v>4.6296296296296298E-4</v>
      </c>
      <c r="I716" t="s">
        <v>226</v>
      </c>
      <c r="J716" t="s">
        <v>44</v>
      </c>
      <c r="K716" s="5">
        <f>251 / 86400</f>
        <v>2.9050925925925928E-3</v>
      </c>
      <c r="L716" s="5">
        <f>125 / 86400</f>
        <v>1.4467592592592592E-3</v>
      </c>
    </row>
    <row r="717" spans="1:12" x14ac:dyDescent="0.25">
      <c r="A717" s="3">
        <v>45704.902789351851</v>
      </c>
      <c r="B717" t="s">
        <v>349</v>
      </c>
      <c r="C717" s="3">
        <v>45704.903935185182</v>
      </c>
      <c r="D717" t="s">
        <v>349</v>
      </c>
      <c r="E717" s="4">
        <v>0.40200000000000002</v>
      </c>
      <c r="F717" s="4">
        <v>414819.429</v>
      </c>
      <c r="G717" s="4">
        <v>414819.83100000001</v>
      </c>
      <c r="H717" s="5">
        <f>0 / 86400</f>
        <v>0</v>
      </c>
      <c r="I717" t="s">
        <v>68</v>
      </c>
      <c r="J717" t="s">
        <v>279</v>
      </c>
      <c r="K717" s="5">
        <f>99 / 86400</f>
        <v>1.1458333333333333E-3</v>
      </c>
      <c r="L717" s="5">
        <f>542 / 86400</f>
        <v>6.2731481481481484E-3</v>
      </c>
    </row>
    <row r="718" spans="1:12" x14ac:dyDescent="0.25">
      <c r="A718" s="3">
        <v>45704.910208333335</v>
      </c>
      <c r="B718" t="s">
        <v>349</v>
      </c>
      <c r="C718" s="3">
        <v>45704.914224537039</v>
      </c>
      <c r="D718" t="s">
        <v>350</v>
      </c>
      <c r="E718" s="4">
        <v>1.7210000000000001</v>
      </c>
      <c r="F718" s="4">
        <v>414819.83100000001</v>
      </c>
      <c r="G718" s="4">
        <v>414821.55200000003</v>
      </c>
      <c r="H718" s="5">
        <f>199 / 86400</f>
        <v>2.3032407407407407E-3</v>
      </c>
      <c r="I718" t="s">
        <v>85</v>
      </c>
      <c r="J718" t="s">
        <v>51</v>
      </c>
      <c r="K718" s="5">
        <f>347 / 86400</f>
        <v>4.0162037037037041E-3</v>
      </c>
      <c r="L718" s="5">
        <f>404 / 86400</f>
        <v>4.6759259259259263E-3</v>
      </c>
    </row>
    <row r="719" spans="1:12" x14ac:dyDescent="0.25">
      <c r="A719" s="3">
        <v>45704.918900462959</v>
      </c>
      <c r="B719" t="s">
        <v>350</v>
      </c>
      <c r="C719" s="3">
        <v>45704.92387731481</v>
      </c>
      <c r="D719" t="s">
        <v>79</v>
      </c>
      <c r="E719" s="4">
        <v>0.77600000000000002</v>
      </c>
      <c r="F719" s="4">
        <v>414821.55200000003</v>
      </c>
      <c r="G719" s="4">
        <v>414822.32799999998</v>
      </c>
      <c r="H719" s="5">
        <f>179 / 86400</f>
        <v>2.0717592592592593E-3</v>
      </c>
      <c r="I719" t="s">
        <v>35</v>
      </c>
      <c r="J719" t="s">
        <v>88</v>
      </c>
      <c r="K719" s="5">
        <f>430 / 86400</f>
        <v>4.9768518518518521E-3</v>
      </c>
      <c r="L719" s="5">
        <f>6576 / 86400</f>
        <v>7.6111111111111115E-2</v>
      </c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s="10" customFormat="1" ht="20.100000000000001" customHeight="1" x14ac:dyDescent="0.35">
      <c r="A722" s="15" t="s">
        <v>407</v>
      </c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2" ht="30" x14ac:dyDescent="0.25">
      <c r="A724" s="2" t="s">
        <v>6</v>
      </c>
      <c r="B724" s="2" t="s">
        <v>7</v>
      </c>
      <c r="C724" s="2" t="s">
        <v>8</v>
      </c>
      <c r="D724" s="2" t="s">
        <v>9</v>
      </c>
      <c r="E724" s="2" t="s">
        <v>10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 t="s">
        <v>15</v>
      </c>
      <c r="K724" s="2" t="s">
        <v>16</v>
      </c>
      <c r="L724" s="2" t="s">
        <v>17</v>
      </c>
    </row>
    <row r="725" spans="1:12" x14ac:dyDescent="0.25">
      <c r="A725" s="3">
        <v>45704</v>
      </c>
      <c r="B725" t="s">
        <v>24</v>
      </c>
      <c r="C725" s="3">
        <v>45704.000254629631</v>
      </c>
      <c r="D725" t="s">
        <v>24</v>
      </c>
      <c r="E725" s="4">
        <v>0</v>
      </c>
      <c r="F725" s="4">
        <v>328589.57199999999</v>
      </c>
      <c r="G725" s="4">
        <v>328589.57199999999</v>
      </c>
      <c r="H725" s="5">
        <f>0 / 86400</f>
        <v>0</v>
      </c>
      <c r="I725" t="s">
        <v>55</v>
      </c>
      <c r="J725" t="s">
        <v>55</v>
      </c>
      <c r="K725" s="5">
        <f>22 / 86400</f>
        <v>2.5462962962962961E-4</v>
      </c>
      <c r="L725" s="5">
        <f>630 / 86400</f>
        <v>7.2916666666666668E-3</v>
      </c>
    </row>
    <row r="726" spans="1:12" x14ac:dyDescent="0.25">
      <c r="A726" s="3">
        <v>45704.0075462963</v>
      </c>
      <c r="B726" t="s">
        <v>24</v>
      </c>
      <c r="C726" s="3">
        <v>45704.008958333332</v>
      </c>
      <c r="D726" t="s">
        <v>24</v>
      </c>
      <c r="E726" s="4">
        <v>0.108</v>
      </c>
      <c r="F726" s="4">
        <v>328589.57199999999</v>
      </c>
      <c r="G726" s="4">
        <v>328589.68</v>
      </c>
      <c r="H726" s="5">
        <f>99 / 86400</f>
        <v>1.1458333333333333E-3</v>
      </c>
      <c r="I726" t="s">
        <v>33</v>
      </c>
      <c r="J726" t="s">
        <v>87</v>
      </c>
      <c r="K726" s="5">
        <f>122 / 86400</f>
        <v>1.4120370370370369E-3</v>
      </c>
      <c r="L726" s="5">
        <f>525 / 86400</f>
        <v>6.076388888888889E-3</v>
      </c>
    </row>
    <row r="727" spans="1:12" x14ac:dyDescent="0.25">
      <c r="A727" s="3">
        <v>45704.015034722222</v>
      </c>
      <c r="B727" t="s">
        <v>24</v>
      </c>
      <c r="C727" s="3">
        <v>45704.017118055555</v>
      </c>
      <c r="D727" t="s">
        <v>28</v>
      </c>
      <c r="E727" s="4">
        <v>0.40300000000000002</v>
      </c>
      <c r="F727" s="4">
        <v>328589.68</v>
      </c>
      <c r="G727" s="4">
        <v>328590.08299999998</v>
      </c>
      <c r="H727" s="5">
        <f>60 / 86400</f>
        <v>6.9444444444444447E-4</v>
      </c>
      <c r="I727" t="s">
        <v>20</v>
      </c>
      <c r="J727" t="s">
        <v>119</v>
      </c>
      <c r="K727" s="5">
        <f>179 / 86400</f>
        <v>2.0717592592592593E-3</v>
      </c>
      <c r="L727" s="5">
        <f>25403 / 86400</f>
        <v>0.29401620370370368</v>
      </c>
    </row>
    <row r="728" spans="1:12" x14ac:dyDescent="0.25">
      <c r="A728" s="3">
        <v>45704.31113425926</v>
      </c>
      <c r="B728" t="s">
        <v>28</v>
      </c>
      <c r="C728" s="3">
        <v>45704.311724537038</v>
      </c>
      <c r="D728" t="s">
        <v>28</v>
      </c>
      <c r="E728" s="4">
        <v>2.8000000000000001E-2</v>
      </c>
      <c r="F728" s="4">
        <v>328590.08299999998</v>
      </c>
      <c r="G728" s="4">
        <v>328590.11099999998</v>
      </c>
      <c r="H728" s="5">
        <f>20 / 86400</f>
        <v>2.3148148148148149E-4</v>
      </c>
      <c r="I728" t="s">
        <v>136</v>
      </c>
      <c r="J728" t="s">
        <v>129</v>
      </c>
      <c r="K728" s="5">
        <f>50 / 86400</f>
        <v>5.7870370370370367E-4</v>
      </c>
      <c r="L728" s="5">
        <f>223 / 86400</f>
        <v>2.5810185185185185E-3</v>
      </c>
    </row>
    <row r="729" spans="1:12" x14ac:dyDescent="0.25">
      <c r="A729" s="3">
        <v>45704.314305555556</v>
      </c>
      <c r="B729" t="s">
        <v>28</v>
      </c>
      <c r="C729" s="3">
        <v>45704.31521990741</v>
      </c>
      <c r="D729" t="s">
        <v>28</v>
      </c>
      <c r="E729" s="4">
        <v>5.7000000000000002E-2</v>
      </c>
      <c r="F729" s="4">
        <v>328590.11099999998</v>
      </c>
      <c r="G729" s="4">
        <v>328590.16800000001</v>
      </c>
      <c r="H729" s="5">
        <f>40 / 86400</f>
        <v>4.6296296296296298E-4</v>
      </c>
      <c r="I729" t="s">
        <v>88</v>
      </c>
      <c r="J729" t="s">
        <v>87</v>
      </c>
      <c r="K729" s="5">
        <f>78 / 86400</f>
        <v>9.0277777777777774E-4</v>
      </c>
      <c r="L729" s="5">
        <f>2274 / 86400</f>
        <v>2.6319444444444444E-2</v>
      </c>
    </row>
    <row r="730" spans="1:12" x14ac:dyDescent="0.25">
      <c r="A730" s="3">
        <v>45704.341539351852</v>
      </c>
      <c r="B730" t="s">
        <v>28</v>
      </c>
      <c r="C730" s="3">
        <v>45704.342268518521</v>
      </c>
      <c r="D730" t="s">
        <v>28</v>
      </c>
      <c r="E730" s="4">
        <v>1.2E-2</v>
      </c>
      <c r="F730" s="4">
        <v>328590.16800000001</v>
      </c>
      <c r="G730" s="4">
        <v>328590.18</v>
      </c>
      <c r="H730" s="5">
        <f>59 / 86400</f>
        <v>6.8287037037037036E-4</v>
      </c>
      <c r="I730" t="s">
        <v>55</v>
      </c>
      <c r="J730" t="s">
        <v>128</v>
      </c>
      <c r="K730" s="5">
        <f>62 / 86400</f>
        <v>7.1759259259259259E-4</v>
      </c>
      <c r="L730" s="5">
        <f>7484 / 86400</f>
        <v>8.6620370370370375E-2</v>
      </c>
    </row>
    <row r="731" spans="1:12" x14ac:dyDescent="0.25">
      <c r="A731" s="3">
        <v>45704.428888888884</v>
      </c>
      <c r="B731" t="s">
        <v>28</v>
      </c>
      <c r="C731" s="3">
        <v>45704.438090277778</v>
      </c>
      <c r="D731" t="s">
        <v>351</v>
      </c>
      <c r="E731" s="4">
        <v>2.1890000000000001</v>
      </c>
      <c r="F731" s="4">
        <v>328590.18</v>
      </c>
      <c r="G731" s="4">
        <v>328592.36900000001</v>
      </c>
      <c r="H731" s="5">
        <f>559 / 86400</f>
        <v>6.4699074074074077E-3</v>
      </c>
      <c r="I731" t="s">
        <v>241</v>
      </c>
      <c r="J731" t="s">
        <v>151</v>
      </c>
      <c r="K731" s="5">
        <f>794 / 86400</f>
        <v>9.1898148148148156E-3</v>
      </c>
      <c r="L731" s="5">
        <f>208 / 86400</f>
        <v>2.4074074074074076E-3</v>
      </c>
    </row>
    <row r="732" spans="1:12" x14ac:dyDescent="0.25">
      <c r="A732" s="3">
        <v>45704.44049768518</v>
      </c>
      <c r="B732" t="s">
        <v>352</v>
      </c>
      <c r="C732" s="3">
        <v>45704.651631944449</v>
      </c>
      <c r="D732" t="s">
        <v>353</v>
      </c>
      <c r="E732" s="4">
        <v>108.41800000000001</v>
      </c>
      <c r="F732" s="4">
        <v>328592.36900000001</v>
      </c>
      <c r="G732" s="4">
        <v>328700.78700000001</v>
      </c>
      <c r="H732" s="5">
        <f>5681 / 86400</f>
        <v>6.5752314814814819E-2</v>
      </c>
      <c r="I732" t="s">
        <v>19</v>
      </c>
      <c r="J732" t="s">
        <v>23</v>
      </c>
      <c r="K732" s="5">
        <f>18242 / 86400</f>
        <v>0.21113425925925927</v>
      </c>
      <c r="L732" s="5">
        <f>30 / 86400</f>
        <v>3.4722222222222224E-4</v>
      </c>
    </row>
    <row r="733" spans="1:12" x14ac:dyDescent="0.25">
      <c r="A733" s="3">
        <v>45704.651979166665</v>
      </c>
      <c r="B733" t="s">
        <v>353</v>
      </c>
      <c r="C733" s="3">
        <v>45704.871435185181</v>
      </c>
      <c r="D733" t="s">
        <v>24</v>
      </c>
      <c r="E733" s="4">
        <v>108.51900000000001</v>
      </c>
      <c r="F733" s="4">
        <v>328700.78700000001</v>
      </c>
      <c r="G733" s="4">
        <v>328809.30599999998</v>
      </c>
      <c r="H733" s="5">
        <f>6177 / 86400</f>
        <v>7.149305555555556E-2</v>
      </c>
      <c r="I733" t="s">
        <v>96</v>
      </c>
      <c r="J733" t="s">
        <v>23</v>
      </c>
      <c r="K733" s="5">
        <f>18960 / 86400</f>
        <v>0.21944444444444444</v>
      </c>
      <c r="L733" s="5">
        <f>201 / 86400</f>
        <v>2.3263888888888887E-3</v>
      </c>
    </row>
    <row r="734" spans="1:12" x14ac:dyDescent="0.25">
      <c r="A734" s="3">
        <v>45704.873761574076</v>
      </c>
      <c r="B734" t="s">
        <v>24</v>
      </c>
      <c r="C734" s="3">
        <v>45704.874745370369</v>
      </c>
      <c r="D734" t="s">
        <v>24</v>
      </c>
      <c r="E734" s="4">
        <v>0.127</v>
      </c>
      <c r="F734" s="4">
        <v>328809.30599999998</v>
      </c>
      <c r="G734" s="4">
        <v>328809.43300000002</v>
      </c>
      <c r="H734" s="5">
        <f>19 / 86400</f>
        <v>2.199074074074074E-4</v>
      </c>
      <c r="I734" t="s">
        <v>44</v>
      </c>
      <c r="J734" t="s">
        <v>127</v>
      </c>
      <c r="K734" s="5">
        <f>84 / 86400</f>
        <v>9.7222222222222219E-4</v>
      </c>
      <c r="L734" s="5">
        <f>470 / 86400</f>
        <v>5.4398148148148149E-3</v>
      </c>
    </row>
    <row r="735" spans="1:12" x14ac:dyDescent="0.25">
      <c r="A735" s="3">
        <v>45704.880185185189</v>
      </c>
      <c r="B735" t="s">
        <v>24</v>
      </c>
      <c r="C735" s="3">
        <v>45704.882118055553</v>
      </c>
      <c r="D735" t="s">
        <v>28</v>
      </c>
      <c r="E735" s="4">
        <v>0.41799999999999998</v>
      </c>
      <c r="F735" s="4">
        <v>328809.43300000002</v>
      </c>
      <c r="G735" s="4">
        <v>328809.85100000002</v>
      </c>
      <c r="H735" s="5">
        <f>20 / 86400</f>
        <v>2.3148148148148149E-4</v>
      </c>
      <c r="I735" t="s">
        <v>33</v>
      </c>
      <c r="J735" t="s">
        <v>30</v>
      </c>
      <c r="K735" s="5">
        <f>166 / 86400</f>
        <v>1.9212962962962964E-3</v>
      </c>
      <c r="L735" s="5">
        <f>983 / 86400</f>
        <v>1.1377314814814814E-2</v>
      </c>
    </row>
    <row r="736" spans="1:12" x14ac:dyDescent="0.25">
      <c r="A736" s="3">
        <v>45704.893495370372</v>
      </c>
      <c r="B736" t="s">
        <v>28</v>
      </c>
      <c r="C736" s="3">
        <v>45704.894733796296</v>
      </c>
      <c r="D736" t="s">
        <v>28</v>
      </c>
      <c r="E736" s="4">
        <v>5.3999999999999999E-2</v>
      </c>
      <c r="F736" s="4">
        <v>328809.85100000002</v>
      </c>
      <c r="G736" s="4">
        <v>328809.90500000003</v>
      </c>
      <c r="H736" s="5">
        <f>59 / 86400</f>
        <v>6.8287037037037036E-4</v>
      </c>
      <c r="I736" t="s">
        <v>127</v>
      </c>
      <c r="J736" t="s">
        <v>129</v>
      </c>
      <c r="K736" s="5">
        <f>107 / 86400</f>
        <v>1.238425925925926E-3</v>
      </c>
      <c r="L736" s="5">
        <f>9094 / 86400</f>
        <v>0.10525462962962963</v>
      </c>
    </row>
    <row r="737" spans="1:1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2" s="10" customFormat="1" ht="20.100000000000001" customHeight="1" x14ac:dyDescent="0.35">
      <c r="A739" s="15" t="s">
        <v>408</v>
      </c>
      <c r="B739" s="15"/>
      <c r="C739" s="15"/>
      <c r="D739" s="15"/>
      <c r="E739" s="15"/>
      <c r="F739" s="15"/>
      <c r="G739" s="15"/>
      <c r="H739" s="15"/>
      <c r="I739" s="15"/>
      <c r="J739" s="15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ht="30" x14ac:dyDescent="0.25">
      <c r="A741" s="2" t="s">
        <v>6</v>
      </c>
      <c r="B741" s="2" t="s">
        <v>7</v>
      </c>
      <c r="C741" s="2" t="s">
        <v>8</v>
      </c>
      <c r="D741" s="2" t="s">
        <v>9</v>
      </c>
      <c r="E741" s="2" t="s">
        <v>10</v>
      </c>
      <c r="F741" s="2" t="s">
        <v>11</v>
      </c>
      <c r="G741" s="2" t="s">
        <v>12</v>
      </c>
      <c r="H741" s="2" t="s">
        <v>13</v>
      </c>
      <c r="I741" s="2" t="s">
        <v>14</v>
      </c>
      <c r="J741" s="2" t="s">
        <v>15</v>
      </c>
      <c r="K741" s="2" t="s">
        <v>16</v>
      </c>
      <c r="L741" s="2" t="s">
        <v>17</v>
      </c>
    </row>
    <row r="742" spans="1:12" x14ac:dyDescent="0.25">
      <c r="A742" s="3">
        <v>45704.330162037033</v>
      </c>
      <c r="B742" t="s">
        <v>28</v>
      </c>
      <c r="C742" s="3">
        <v>45704.441238425927</v>
      </c>
      <c r="D742" t="s">
        <v>296</v>
      </c>
      <c r="E742" s="4">
        <v>32.14</v>
      </c>
      <c r="F742" s="4">
        <v>360695.87300000002</v>
      </c>
      <c r="G742" s="4">
        <v>360728.01299999998</v>
      </c>
      <c r="H742" s="5">
        <f>4639 / 86400</f>
        <v>5.3692129629629631E-2</v>
      </c>
      <c r="I742" t="s">
        <v>99</v>
      </c>
      <c r="J742" t="s">
        <v>165</v>
      </c>
      <c r="K742" s="5">
        <f>9597 / 86400</f>
        <v>0.11107638888888889</v>
      </c>
      <c r="L742" s="5">
        <f>29000 / 86400</f>
        <v>0.33564814814814814</v>
      </c>
    </row>
    <row r="743" spans="1:12" x14ac:dyDescent="0.25">
      <c r="A743" s="3">
        <v>45704.446724537032</v>
      </c>
      <c r="B743" t="s">
        <v>296</v>
      </c>
      <c r="C743" s="3">
        <v>45704.559513888889</v>
      </c>
      <c r="D743" t="s">
        <v>115</v>
      </c>
      <c r="E743" s="4">
        <v>50.570999999999998</v>
      </c>
      <c r="F743" s="4">
        <v>360728.01299999998</v>
      </c>
      <c r="G743" s="4">
        <v>360778.58399999997</v>
      </c>
      <c r="H743" s="5">
        <f>2639 / 86400</f>
        <v>3.0543981481481481E-2</v>
      </c>
      <c r="I743" t="s">
        <v>255</v>
      </c>
      <c r="J743" t="s">
        <v>44</v>
      </c>
      <c r="K743" s="5">
        <f>9744 / 86400</f>
        <v>0.11277777777777778</v>
      </c>
      <c r="L743" s="5">
        <f>623 / 86400</f>
        <v>7.2106481481481483E-3</v>
      </c>
    </row>
    <row r="744" spans="1:12" x14ac:dyDescent="0.25">
      <c r="A744" s="3">
        <v>45704.566724537042</v>
      </c>
      <c r="B744" t="s">
        <v>115</v>
      </c>
      <c r="C744" s="3">
        <v>45704.570127314815</v>
      </c>
      <c r="D744" t="s">
        <v>354</v>
      </c>
      <c r="E744" s="4">
        <v>0.96499999999999997</v>
      </c>
      <c r="F744" s="4">
        <v>360778.58399999997</v>
      </c>
      <c r="G744" s="4">
        <v>360779.549</v>
      </c>
      <c r="H744" s="5">
        <f>80 / 86400</f>
        <v>9.2592592592592596E-4</v>
      </c>
      <c r="I744" t="s">
        <v>23</v>
      </c>
      <c r="J744" t="s">
        <v>165</v>
      </c>
      <c r="K744" s="5">
        <f>294 / 86400</f>
        <v>3.4027777777777776E-3</v>
      </c>
      <c r="L744" s="5">
        <f>2786 / 86400</f>
        <v>3.2245370370370369E-2</v>
      </c>
    </row>
    <row r="745" spans="1:12" x14ac:dyDescent="0.25">
      <c r="A745" s="3">
        <v>45704.602372685185</v>
      </c>
      <c r="B745" t="s">
        <v>354</v>
      </c>
      <c r="C745" s="3">
        <v>45704.60560185185</v>
      </c>
      <c r="D745" t="s">
        <v>73</v>
      </c>
      <c r="E745" s="4">
        <v>0.98</v>
      </c>
      <c r="F745" s="4">
        <v>360779.549</v>
      </c>
      <c r="G745" s="4">
        <v>360780.52899999998</v>
      </c>
      <c r="H745" s="5">
        <f>19 / 86400</f>
        <v>2.199074074074074E-4</v>
      </c>
      <c r="I745" t="s">
        <v>159</v>
      </c>
      <c r="J745" t="s">
        <v>86</v>
      </c>
      <c r="K745" s="5">
        <f>278 / 86400</f>
        <v>3.2175925925925926E-3</v>
      </c>
      <c r="L745" s="5">
        <f>182 / 86400</f>
        <v>2.1064814814814813E-3</v>
      </c>
    </row>
    <row r="746" spans="1:12" x14ac:dyDescent="0.25">
      <c r="A746" s="3">
        <v>45704.607708333337</v>
      </c>
      <c r="B746" t="s">
        <v>73</v>
      </c>
      <c r="C746" s="3">
        <v>45704.608217592591</v>
      </c>
      <c r="D746" t="s">
        <v>74</v>
      </c>
      <c r="E746" s="4">
        <v>6.7000000000000004E-2</v>
      </c>
      <c r="F746" s="4">
        <v>360780.52899999998</v>
      </c>
      <c r="G746" s="4">
        <v>360780.59600000002</v>
      </c>
      <c r="H746" s="5">
        <f>0 / 86400</f>
        <v>0</v>
      </c>
      <c r="I746" t="s">
        <v>136</v>
      </c>
      <c r="J746" t="s">
        <v>88</v>
      </c>
      <c r="K746" s="5">
        <f>43 / 86400</f>
        <v>4.9768518518518521E-4</v>
      </c>
      <c r="L746" s="5">
        <f>280 / 86400</f>
        <v>3.2407407407407406E-3</v>
      </c>
    </row>
    <row r="747" spans="1:12" x14ac:dyDescent="0.25">
      <c r="A747" s="3">
        <v>45704.611458333333</v>
      </c>
      <c r="B747" t="s">
        <v>74</v>
      </c>
      <c r="C747" s="3">
        <v>45704.620624999996</v>
      </c>
      <c r="D747" t="s">
        <v>74</v>
      </c>
      <c r="E747" s="4">
        <v>0</v>
      </c>
      <c r="F747" s="4">
        <v>360780.59600000002</v>
      </c>
      <c r="G747" s="4">
        <v>360780.59600000002</v>
      </c>
      <c r="H747" s="5">
        <f>779 / 86400</f>
        <v>9.0162037037037034E-3</v>
      </c>
      <c r="I747" t="s">
        <v>55</v>
      </c>
      <c r="J747" t="s">
        <v>55</v>
      </c>
      <c r="K747" s="5">
        <f>791 / 86400</f>
        <v>9.1550925925925931E-3</v>
      </c>
      <c r="L747" s="5">
        <f>136 / 86400</f>
        <v>1.5740740740740741E-3</v>
      </c>
    </row>
    <row r="748" spans="1:12" x14ac:dyDescent="0.25">
      <c r="A748" s="3">
        <v>45704.622199074074</v>
      </c>
      <c r="B748" t="s">
        <v>74</v>
      </c>
      <c r="C748" s="3">
        <v>45704.622962962967</v>
      </c>
      <c r="D748" t="s">
        <v>73</v>
      </c>
      <c r="E748" s="4">
        <v>7.0999999999999994E-2</v>
      </c>
      <c r="F748" s="4">
        <v>360780.59600000002</v>
      </c>
      <c r="G748" s="4">
        <v>360780.66700000002</v>
      </c>
      <c r="H748" s="5">
        <f>19 / 86400</f>
        <v>2.199074074074074E-4</v>
      </c>
      <c r="I748" t="s">
        <v>158</v>
      </c>
      <c r="J748" t="s">
        <v>137</v>
      </c>
      <c r="K748" s="5">
        <f>65 / 86400</f>
        <v>7.5231481481481482E-4</v>
      </c>
      <c r="L748" s="5">
        <f>312 / 86400</f>
        <v>3.6111111111111109E-3</v>
      </c>
    </row>
    <row r="749" spans="1:12" x14ac:dyDescent="0.25">
      <c r="A749" s="3">
        <v>45704.626574074078</v>
      </c>
      <c r="B749" t="s">
        <v>73</v>
      </c>
      <c r="C749" s="3">
        <v>45704.780532407407</v>
      </c>
      <c r="D749" t="s">
        <v>173</v>
      </c>
      <c r="E749" s="4">
        <v>74.010999999999996</v>
      </c>
      <c r="F749" s="4">
        <v>360780.66700000002</v>
      </c>
      <c r="G749" s="4">
        <v>360854.67800000001</v>
      </c>
      <c r="H749" s="5">
        <f>4258 / 86400</f>
        <v>4.9282407407407407E-2</v>
      </c>
      <c r="I749" t="s">
        <v>26</v>
      </c>
      <c r="J749" t="s">
        <v>33</v>
      </c>
      <c r="K749" s="5">
        <f>13301 / 86400</f>
        <v>0.15394675925925927</v>
      </c>
      <c r="L749" s="5">
        <f>400 / 86400</f>
        <v>4.6296296296296294E-3</v>
      </c>
    </row>
    <row r="750" spans="1:12" x14ac:dyDescent="0.25">
      <c r="A750" s="3">
        <v>45704.785162037035</v>
      </c>
      <c r="B750" t="s">
        <v>173</v>
      </c>
      <c r="C750" s="3">
        <v>45704.787407407406</v>
      </c>
      <c r="D750" t="s">
        <v>28</v>
      </c>
      <c r="E750" s="4">
        <v>0.68600000000000005</v>
      </c>
      <c r="F750" s="4">
        <v>360854.67800000001</v>
      </c>
      <c r="G750" s="4">
        <v>360855.364</v>
      </c>
      <c r="H750" s="5">
        <f>0 / 86400</f>
        <v>0</v>
      </c>
      <c r="I750" t="s">
        <v>20</v>
      </c>
      <c r="J750" t="s">
        <v>86</v>
      </c>
      <c r="K750" s="5">
        <f>194 / 86400</f>
        <v>2.2453703703703702E-3</v>
      </c>
      <c r="L750" s="5">
        <f>18367 / 86400</f>
        <v>0.21258101851851852</v>
      </c>
    </row>
    <row r="751" spans="1:1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s="10" customFormat="1" ht="20.100000000000001" customHeight="1" x14ac:dyDescent="0.35">
      <c r="A753" s="15" t="s">
        <v>409</v>
      </c>
      <c r="B753" s="15"/>
      <c r="C753" s="15"/>
      <c r="D753" s="15"/>
      <c r="E753" s="15"/>
      <c r="F753" s="15"/>
      <c r="G753" s="15"/>
      <c r="H753" s="15"/>
      <c r="I753" s="15"/>
      <c r="J753" s="15"/>
    </row>
    <row r="754" spans="1:1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</row>
    <row r="755" spans="1:12" ht="30" x14ac:dyDescent="0.25">
      <c r="A755" s="2" t="s">
        <v>6</v>
      </c>
      <c r="B755" s="2" t="s">
        <v>7</v>
      </c>
      <c r="C755" s="2" t="s">
        <v>8</v>
      </c>
      <c r="D755" s="2" t="s">
        <v>9</v>
      </c>
      <c r="E755" s="2" t="s">
        <v>10</v>
      </c>
      <c r="F755" s="2" t="s">
        <v>11</v>
      </c>
      <c r="G755" s="2" t="s">
        <v>12</v>
      </c>
      <c r="H755" s="2" t="s">
        <v>13</v>
      </c>
      <c r="I755" s="2" t="s">
        <v>14</v>
      </c>
      <c r="J755" s="2" t="s">
        <v>15</v>
      </c>
      <c r="K755" s="2" t="s">
        <v>16</v>
      </c>
      <c r="L755" s="2" t="s">
        <v>17</v>
      </c>
    </row>
    <row r="756" spans="1:12" x14ac:dyDescent="0.25">
      <c r="A756" s="3">
        <v>45704.308877314819</v>
      </c>
      <c r="B756" t="s">
        <v>80</v>
      </c>
      <c r="C756" s="3">
        <v>45704.311006944445</v>
      </c>
      <c r="D756" t="s">
        <v>80</v>
      </c>
      <c r="E756" s="4">
        <v>0.10299999999999999</v>
      </c>
      <c r="F756" s="4">
        <v>81917.180999999997</v>
      </c>
      <c r="G756" s="4">
        <v>81917.284</v>
      </c>
      <c r="H756" s="5">
        <f>119 / 86400</f>
        <v>1.3773148148148147E-3</v>
      </c>
      <c r="I756" t="s">
        <v>30</v>
      </c>
      <c r="J756" t="s">
        <v>129</v>
      </c>
      <c r="K756" s="5">
        <f>183 / 86400</f>
        <v>2.1180555555555558E-3</v>
      </c>
      <c r="L756" s="5">
        <f>74339 / 86400</f>
        <v>0.86040509259259257</v>
      </c>
    </row>
    <row r="757" spans="1:12" x14ac:dyDescent="0.25">
      <c r="A757" s="3">
        <v>45704.862534722226</v>
      </c>
      <c r="B757" t="s">
        <v>80</v>
      </c>
      <c r="C757" s="3">
        <v>45704.882314814815</v>
      </c>
      <c r="D757" t="s">
        <v>80</v>
      </c>
      <c r="E757" s="4">
        <v>0.159</v>
      </c>
      <c r="F757" s="4">
        <v>81917.284</v>
      </c>
      <c r="G757" s="4">
        <v>81917.442999999999</v>
      </c>
      <c r="H757" s="5">
        <f>1599 / 86400</f>
        <v>1.8506944444444444E-2</v>
      </c>
      <c r="I757" t="s">
        <v>30</v>
      </c>
      <c r="J757" t="s">
        <v>55</v>
      </c>
      <c r="K757" s="5">
        <f>1709 / 86400</f>
        <v>1.9780092592592592E-2</v>
      </c>
      <c r="L757" s="5">
        <f>10167 / 86400</f>
        <v>0.11767361111111112</v>
      </c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s="10" customFormat="1" ht="20.100000000000001" customHeight="1" x14ac:dyDescent="0.35">
      <c r="A760" s="15" t="s">
        <v>410</v>
      </c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2" ht="30" x14ac:dyDescent="0.25">
      <c r="A762" s="2" t="s">
        <v>6</v>
      </c>
      <c r="B762" s="2" t="s">
        <v>7</v>
      </c>
      <c r="C762" s="2" t="s">
        <v>8</v>
      </c>
      <c r="D762" s="2" t="s">
        <v>9</v>
      </c>
      <c r="E762" s="2" t="s">
        <v>10</v>
      </c>
      <c r="F762" s="2" t="s">
        <v>11</v>
      </c>
      <c r="G762" s="2" t="s">
        <v>12</v>
      </c>
      <c r="H762" s="2" t="s">
        <v>13</v>
      </c>
      <c r="I762" s="2" t="s">
        <v>14</v>
      </c>
      <c r="J762" s="2" t="s">
        <v>15</v>
      </c>
      <c r="K762" s="2" t="s">
        <v>16</v>
      </c>
      <c r="L762" s="2" t="s">
        <v>17</v>
      </c>
    </row>
    <row r="763" spans="1:12" x14ac:dyDescent="0.25">
      <c r="A763" s="3">
        <v>45704</v>
      </c>
      <c r="B763" t="s">
        <v>81</v>
      </c>
      <c r="C763" s="3">
        <v>45704.001562500001</v>
      </c>
      <c r="D763" t="s">
        <v>120</v>
      </c>
      <c r="E763" s="4">
        <v>0.58899999999999997</v>
      </c>
      <c r="F763" s="4">
        <v>470293.45600000001</v>
      </c>
      <c r="G763" s="4">
        <v>470294.04499999998</v>
      </c>
      <c r="H763" s="5">
        <f>20 / 86400</f>
        <v>2.3148148148148149E-4</v>
      </c>
      <c r="I763" t="s">
        <v>102</v>
      </c>
      <c r="J763" t="s">
        <v>133</v>
      </c>
      <c r="K763" s="5">
        <f>135 / 86400</f>
        <v>1.5625000000000001E-3</v>
      </c>
      <c r="L763" s="5">
        <f>388 / 86400</f>
        <v>4.4907407407407405E-3</v>
      </c>
    </row>
    <row r="764" spans="1:12" x14ac:dyDescent="0.25">
      <c r="A764" s="3">
        <v>45704.006053240737</v>
      </c>
      <c r="B764" t="s">
        <v>120</v>
      </c>
      <c r="C764" s="3">
        <v>45704.007164351853</v>
      </c>
      <c r="D764" t="s">
        <v>169</v>
      </c>
      <c r="E764" s="4">
        <v>0.35199999999999998</v>
      </c>
      <c r="F764" s="4">
        <v>470294.04499999998</v>
      </c>
      <c r="G764" s="4">
        <v>470294.397</v>
      </c>
      <c r="H764" s="5">
        <f>0 / 86400</f>
        <v>0</v>
      </c>
      <c r="I764" t="s">
        <v>102</v>
      </c>
      <c r="J764" t="s">
        <v>86</v>
      </c>
      <c r="K764" s="5">
        <f>95 / 86400</f>
        <v>1.0995370370370371E-3</v>
      </c>
      <c r="L764" s="5">
        <f>183 / 86400</f>
        <v>2.1180555555555558E-3</v>
      </c>
    </row>
    <row r="765" spans="1:12" x14ac:dyDescent="0.25">
      <c r="A765" s="3">
        <v>45704.009282407409</v>
      </c>
      <c r="B765" t="s">
        <v>169</v>
      </c>
      <c r="C765" s="3">
        <v>45704.012789351851</v>
      </c>
      <c r="D765" t="s">
        <v>39</v>
      </c>
      <c r="E765" s="4">
        <v>0.50800000000000001</v>
      </c>
      <c r="F765" s="4">
        <v>470294.397</v>
      </c>
      <c r="G765" s="4">
        <v>470294.90500000003</v>
      </c>
      <c r="H765" s="5">
        <f>160 / 86400</f>
        <v>1.8518518518518519E-3</v>
      </c>
      <c r="I765" t="s">
        <v>132</v>
      </c>
      <c r="J765" t="s">
        <v>88</v>
      </c>
      <c r="K765" s="5">
        <f>302 / 86400</f>
        <v>3.4953703703703705E-3</v>
      </c>
      <c r="L765" s="5">
        <f>20648 / 86400</f>
        <v>0.23898148148148149</v>
      </c>
    </row>
    <row r="766" spans="1:12" x14ac:dyDescent="0.25">
      <c r="A766" s="3">
        <v>45704.251770833333</v>
      </c>
      <c r="B766" t="s">
        <v>82</v>
      </c>
      <c r="C766" s="3">
        <v>45704.258750000001</v>
      </c>
      <c r="D766" t="s">
        <v>82</v>
      </c>
      <c r="E766" s="4">
        <v>3.7999999999999999E-2</v>
      </c>
      <c r="F766" s="4">
        <v>470294.90500000003</v>
      </c>
      <c r="G766" s="4">
        <v>470294.94300000003</v>
      </c>
      <c r="H766" s="5">
        <f>559 / 86400</f>
        <v>6.4699074074074077E-3</v>
      </c>
      <c r="I766" t="s">
        <v>88</v>
      </c>
      <c r="J766" t="s">
        <v>55</v>
      </c>
      <c r="K766" s="5">
        <f>603 / 86400</f>
        <v>6.9791666666666665E-3</v>
      </c>
      <c r="L766" s="5">
        <f>3 / 86400</f>
        <v>3.4722222222222222E-5</v>
      </c>
    </row>
    <row r="767" spans="1:12" x14ac:dyDescent="0.25">
      <c r="A767" s="3">
        <v>45704.258784722224</v>
      </c>
      <c r="B767" t="s">
        <v>82</v>
      </c>
      <c r="C767" s="3">
        <v>45704.259583333333</v>
      </c>
      <c r="D767" t="s">
        <v>82</v>
      </c>
      <c r="E767" s="4">
        <v>6.0000000000000001E-3</v>
      </c>
      <c r="F767" s="4">
        <v>470294.94300000003</v>
      </c>
      <c r="G767" s="4">
        <v>470294.94900000002</v>
      </c>
      <c r="H767" s="5">
        <f>64 / 86400</f>
        <v>7.407407407407407E-4</v>
      </c>
      <c r="I767" t="s">
        <v>55</v>
      </c>
      <c r="J767" t="s">
        <v>55</v>
      </c>
      <c r="K767" s="5">
        <f>69 / 86400</f>
        <v>7.9861111111111116E-4</v>
      </c>
      <c r="L767" s="5">
        <f>68 / 86400</f>
        <v>7.8703703703703705E-4</v>
      </c>
    </row>
    <row r="768" spans="1:12" x14ac:dyDescent="0.25">
      <c r="A768" s="3">
        <v>45704.260370370372</v>
      </c>
      <c r="B768" t="s">
        <v>82</v>
      </c>
      <c r="C768" s="3">
        <v>45704.263935185183</v>
      </c>
      <c r="D768" t="s">
        <v>140</v>
      </c>
      <c r="E768" s="4">
        <v>0.83099999999999996</v>
      </c>
      <c r="F768" s="4">
        <v>470294.94900000002</v>
      </c>
      <c r="G768" s="4">
        <v>470295.78</v>
      </c>
      <c r="H768" s="5">
        <f>120 / 86400</f>
        <v>1.3888888888888889E-3</v>
      </c>
      <c r="I768" t="s">
        <v>166</v>
      </c>
      <c r="J768" t="s">
        <v>151</v>
      </c>
      <c r="K768" s="5">
        <f>307 / 86400</f>
        <v>3.5532407407407409E-3</v>
      </c>
      <c r="L768" s="5">
        <f>184 / 86400</f>
        <v>2.1296296296296298E-3</v>
      </c>
    </row>
    <row r="769" spans="1:12" x14ac:dyDescent="0.25">
      <c r="A769" s="3">
        <v>45704.266064814816</v>
      </c>
      <c r="B769" t="s">
        <v>140</v>
      </c>
      <c r="C769" s="3">
        <v>45704.266342592593</v>
      </c>
      <c r="D769" t="s">
        <v>140</v>
      </c>
      <c r="E769" s="4">
        <v>8.9999999999999993E-3</v>
      </c>
      <c r="F769" s="4">
        <v>470295.78</v>
      </c>
      <c r="G769" s="4">
        <v>470295.78899999999</v>
      </c>
      <c r="H769" s="5">
        <f>0 / 86400</f>
        <v>0</v>
      </c>
      <c r="I769" t="s">
        <v>127</v>
      </c>
      <c r="J769" t="s">
        <v>128</v>
      </c>
      <c r="K769" s="5">
        <f>24 / 86400</f>
        <v>2.7777777777777778E-4</v>
      </c>
      <c r="L769" s="5">
        <f>124 / 86400</f>
        <v>1.4351851851851852E-3</v>
      </c>
    </row>
    <row r="770" spans="1:12" x14ac:dyDescent="0.25">
      <c r="A770" s="3">
        <v>45704.267777777779</v>
      </c>
      <c r="B770" t="s">
        <v>140</v>
      </c>
      <c r="C770" s="3">
        <v>45704.267962962964</v>
      </c>
      <c r="D770" t="s">
        <v>140</v>
      </c>
      <c r="E770" s="4">
        <v>4.0000000000000001E-3</v>
      </c>
      <c r="F770" s="4">
        <v>470295.78899999999</v>
      </c>
      <c r="G770" s="4">
        <v>470295.79300000001</v>
      </c>
      <c r="H770" s="5">
        <f>0 / 86400</f>
        <v>0</v>
      </c>
      <c r="I770" t="s">
        <v>55</v>
      </c>
      <c r="J770" t="s">
        <v>128</v>
      </c>
      <c r="K770" s="5">
        <f>16 / 86400</f>
        <v>1.8518518518518518E-4</v>
      </c>
      <c r="L770" s="5">
        <f>44 / 86400</f>
        <v>5.0925925925925921E-4</v>
      </c>
    </row>
    <row r="771" spans="1:12" x14ac:dyDescent="0.25">
      <c r="A771" s="3">
        <v>45704.268472222218</v>
      </c>
      <c r="B771" t="s">
        <v>140</v>
      </c>
      <c r="C771" s="3">
        <v>45704.268657407403</v>
      </c>
      <c r="D771" t="s">
        <v>140</v>
      </c>
      <c r="E771" s="4">
        <v>4.0000000000000001E-3</v>
      </c>
      <c r="F771" s="4">
        <v>470295.79300000001</v>
      </c>
      <c r="G771" s="4">
        <v>470295.79700000002</v>
      </c>
      <c r="H771" s="5">
        <f>0 / 86400</f>
        <v>0</v>
      </c>
      <c r="I771" t="s">
        <v>55</v>
      </c>
      <c r="J771" t="s">
        <v>128</v>
      </c>
      <c r="K771" s="5">
        <f>16 / 86400</f>
        <v>1.8518518518518518E-4</v>
      </c>
      <c r="L771" s="5">
        <f>413 / 86400</f>
        <v>4.7800925925925927E-3</v>
      </c>
    </row>
    <row r="772" spans="1:12" x14ac:dyDescent="0.25">
      <c r="A772" s="3">
        <v>45704.2734375</v>
      </c>
      <c r="B772" t="s">
        <v>140</v>
      </c>
      <c r="C772" s="3">
        <v>45704.2737037037</v>
      </c>
      <c r="D772" t="s">
        <v>140</v>
      </c>
      <c r="E772" s="4">
        <v>7.0000000000000001E-3</v>
      </c>
      <c r="F772" s="4">
        <v>470295.79700000002</v>
      </c>
      <c r="G772" s="4">
        <v>470295.804</v>
      </c>
      <c r="H772" s="5">
        <f>19 / 86400</f>
        <v>2.199074074074074E-4</v>
      </c>
      <c r="I772" t="s">
        <v>55</v>
      </c>
      <c r="J772" t="s">
        <v>128</v>
      </c>
      <c r="K772" s="5">
        <f>23 / 86400</f>
        <v>2.6620370370370372E-4</v>
      </c>
      <c r="L772" s="5">
        <f>209 / 86400</f>
        <v>2.4189814814814816E-3</v>
      </c>
    </row>
    <row r="773" spans="1:12" x14ac:dyDescent="0.25">
      <c r="A773" s="3">
        <v>45704.276122685187</v>
      </c>
      <c r="B773" t="s">
        <v>140</v>
      </c>
      <c r="C773" s="3">
        <v>45704.497048611112</v>
      </c>
      <c r="D773" t="s">
        <v>297</v>
      </c>
      <c r="E773" s="4">
        <v>100.529</v>
      </c>
      <c r="F773" s="4">
        <v>470295.804</v>
      </c>
      <c r="G773" s="4">
        <v>470396.33299999998</v>
      </c>
      <c r="H773" s="5">
        <f>6339 / 86400</f>
        <v>7.3368055555555561E-2</v>
      </c>
      <c r="I773" t="s">
        <v>36</v>
      </c>
      <c r="J773" t="s">
        <v>44</v>
      </c>
      <c r="K773" s="5">
        <f>19087 / 86400</f>
        <v>0.22091435185185185</v>
      </c>
      <c r="L773" s="5">
        <f>2449 / 86400</f>
        <v>2.8344907407407409E-2</v>
      </c>
    </row>
    <row r="774" spans="1:12" x14ac:dyDescent="0.25">
      <c r="A774" s="3">
        <v>45704.525393518517</v>
      </c>
      <c r="B774" t="s">
        <v>297</v>
      </c>
      <c r="C774" s="3">
        <v>45704.530509259261</v>
      </c>
      <c r="D774" t="s">
        <v>115</v>
      </c>
      <c r="E774" s="4">
        <v>1.179</v>
      </c>
      <c r="F774" s="4">
        <v>470396.33299999998</v>
      </c>
      <c r="G774" s="4">
        <v>470397.51199999999</v>
      </c>
      <c r="H774" s="5">
        <f>100 / 86400</f>
        <v>1.1574074074074073E-3</v>
      </c>
      <c r="I774" t="s">
        <v>48</v>
      </c>
      <c r="J774" t="s">
        <v>151</v>
      </c>
      <c r="K774" s="5">
        <f>442 / 86400</f>
        <v>5.115740740740741E-3</v>
      </c>
      <c r="L774" s="5">
        <f>1882 / 86400</f>
        <v>2.1782407407407407E-2</v>
      </c>
    </row>
    <row r="775" spans="1:12" x14ac:dyDescent="0.25">
      <c r="A775" s="3">
        <v>45704.552291666667</v>
      </c>
      <c r="B775" t="s">
        <v>115</v>
      </c>
      <c r="C775" s="3">
        <v>45704.555509259255</v>
      </c>
      <c r="D775" t="s">
        <v>140</v>
      </c>
      <c r="E775" s="4">
        <v>0.77500000000000002</v>
      </c>
      <c r="F775" s="4">
        <v>470397.51199999999</v>
      </c>
      <c r="G775" s="4">
        <v>470398.28700000001</v>
      </c>
      <c r="H775" s="5">
        <f>80 / 86400</f>
        <v>9.2592592592592596E-4</v>
      </c>
      <c r="I775" t="s">
        <v>23</v>
      </c>
      <c r="J775" t="s">
        <v>151</v>
      </c>
      <c r="K775" s="5">
        <f>277 / 86400</f>
        <v>3.2060185185185186E-3</v>
      </c>
      <c r="L775" s="5">
        <f>217 / 86400</f>
        <v>2.5115740740740741E-3</v>
      </c>
    </row>
    <row r="776" spans="1:12" x14ac:dyDescent="0.25">
      <c r="A776" s="3">
        <v>45704.558020833334</v>
      </c>
      <c r="B776" t="s">
        <v>140</v>
      </c>
      <c r="C776" s="3">
        <v>45704.558206018519</v>
      </c>
      <c r="D776" t="s">
        <v>140</v>
      </c>
      <c r="E776" s="4">
        <v>8.0000000000000002E-3</v>
      </c>
      <c r="F776" s="4">
        <v>470398.28700000001</v>
      </c>
      <c r="G776" s="4">
        <v>470398.29499999998</v>
      </c>
      <c r="H776" s="5">
        <f>0 / 86400</f>
        <v>0</v>
      </c>
      <c r="I776" t="s">
        <v>55</v>
      </c>
      <c r="J776" t="s">
        <v>129</v>
      </c>
      <c r="K776" s="5">
        <f>15 / 86400</f>
        <v>1.7361111111111112E-4</v>
      </c>
      <c r="L776" s="5">
        <f>327 / 86400</f>
        <v>3.7847222222222223E-3</v>
      </c>
    </row>
    <row r="777" spans="1:12" x14ac:dyDescent="0.25">
      <c r="A777" s="3">
        <v>45704.561990740738</v>
      </c>
      <c r="B777" t="s">
        <v>140</v>
      </c>
      <c r="C777" s="3">
        <v>45704.5621412037</v>
      </c>
      <c r="D777" t="s">
        <v>140</v>
      </c>
      <c r="E777" s="4">
        <v>6.0000000000000001E-3</v>
      </c>
      <c r="F777" s="4">
        <v>470398.29499999998</v>
      </c>
      <c r="G777" s="4">
        <v>470398.30099999998</v>
      </c>
      <c r="H777" s="5">
        <f>0 / 86400</f>
        <v>0</v>
      </c>
      <c r="I777" t="s">
        <v>55</v>
      </c>
      <c r="J777" t="s">
        <v>129</v>
      </c>
      <c r="K777" s="5">
        <f>12 / 86400</f>
        <v>1.3888888888888889E-4</v>
      </c>
      <c r="L777" s="5">
        <f>480 / 86400</f>
        <v>5.5555555555555558E-3</v>
      </c>
    </row>
    <row r="778" spans="1:12" x14ac:dyDescent="0.25">
      <c r="A778" s="3">
        <v>45704.567696759259</v>
      </c>
      <c r="B778" t="s">
        <v>140</v>
      </c>
      <c r="C778" s="3">
        <v>45704.783182870371</v>
      </c>
      <c r="D778" t="s">
        <v>73</v>
      </c>
      <c r="E778" s="4">
        <v>100.325</v>
      </c>
      <c r="F778" s="4">
        <v>470398.30099999998</v>
      </c>
      <c r="G778" s="4">
        <v>470498.62599999999</v>
      </c>
      <c r="H778" s="5">
        <f>6001 / 86400</f>
        <v>6.9456018518518514E-2</v>
      </c>
      <c r="I778" t="s">
        <v>103</v>
      </c>
      <c r="J778" t="s">
        <v>44</v>
      </c>
      <c r="K778" s="5">
        <f>18618 / 86400</f>
        <v>0.2154861111111111</v>
      </c>
      <c r="L778" s="5">
        <f>1155 / 86400</f>
        <v>1.3368055555555555E-2</v>
      </c>
    </row>
    <row r="779" spans="1:12" x14ac:dyDescent="0.25">
      <c r="A779" s="3">
        <v>45704.796550925923</v>
      </c>
      <c r="B779" t="s">
        <v>73</v>
      </c>
      <c r="C779" s="3">
        <v>45704.801168981481</v>
      </c>
      <c r="D779" t="s">
        <v>82</v>
      </c>
      <c r="E779" s="4">
        <v>1.0569999999999999</v>
      </c>
      <c r="F779" s="4">
        <v>470498.62599999999</v>
      </c>
      <c r="G779" s="4">
        <v>470499.68300000002</v>
      </c>
      <c r="H779" s="5">
        <f>120 / 86400</f>
        <v>1.3888888888888889E-3</v>
      </c>
      <c r="I779" t="s">
        <v>166</v>
      </c>
      <c r="J779" t="s">
        <v>151</v>
      </c>
      <c r="K779" s="5">
        <f>399 / 86400</f>
        <v>4.6180555555555558E-3</v>
      </c>
      <c r="L779" s="5">
        <f>17178 / 86400</f>
        <v>0.19881944444444444</v>
      </c>
    </row>
    <row r="780" spans="1:1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</row>
    <row r="781" spans="1:1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</row>
    <row r="782" spans="1:12" s="10" customFormat="1" ht="20.100000000000001" customHeight="1" x14ac:dyDescent="0.35">
      <c r="A782" s="15" t="s">
        <v>411</v>
      </c>
      <c r="B782" s="15"/>
      <c r="C782" s="15"/>
      <c r="D782" s="15"/>
      <c r="E782" s="15"/>
      <c r="F782" s="15"/>
      <c r="G782" s="15"/>
      <c r="H782" s="15"/>
      <c r="I782" s="15"/>
      <c r="J782" s="15"/>
    </row>
    <row r="783" spans="1:1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 spans="1:12" ht="30" x14ac:dyDescent="0.25">
      <c r="A784" s="2" t="s">
        <v>6</v>
      </c>
      <c r="B784" s="2" t="s">
        <v>7</v>
      </c>
      <c r="C784" s="2" t="s">
        <v>8</v>
      </c>
      <c r="D784" s="2" t="s">
        <v>9</v>
      </c>
      <c r="E784" s="2" t="s">
        <v>10</v>
      </c>
      <c r="F784" s="2" t="s">
        <v>11</v>
      </c>
      <c r="G784" s="2" t="s">
        <v>12</v>
      </c>
      <c r="H784" s="2" t="s">
        <v>13</v>
      </c>
      <c r="I784" s="2" t="s">
        <v>14</v>
      </c>
      <c r="J784" s="2" t="s">
        <v>15</v>
      </c>
      <c r="K784" s="2" t="s">
        <v>16</v>
      </c>
      <c r="L784" s="2" t="s">
        <v>17</v>
      </c>
    </row>
    <row r="785" spans="1:12" x14ac:dyDescent="0.25">
      <c r="A785" s="3">
        <v>45704.00880787037</v>
      </c>
      <c r="B785" t="s">
        <v>83</v>
      </c>
      <c r="C785" s="3">
        <v>45704.011504629627</v>
      </c>
      <c r="D785" t="s">
        <v>83</v>
      </c>
      <c r="E785" s="4">
        <v>0</v>
      </c>
      <c r="F785" s="4">
        <v>428213.33600000001</v>
      </c>
      <c r="G785" s="4">
        <v>428213.33600000001</v>
      </c>
      <c r="H785" s="5">
        <f>219 / 86400</f>
        <v>2.5347222222222221E-3</v>
      </c>
      <c r="I785" t="s">
        <v>55</v>
      </c>
      <c r="J785" t="s">
        <v>55</v>
      </c>
      <c r="K785" s="5">
        <f>232 / 86400</f>
        <v>2.685185185185185E-3</v>
      </c>
      <c r="L785" s="5">
        <f>957 / 86400</f>
        <v>1.1076388888888889E-2</v>
      </c>
    </row>
    <row r="786" spans="1:12" x14ac:dyDescent="0.25">
      <c r="A786" s="3">
        <v>45704.013773148152</v>
      </c>
      <c r="B786" t="s">
        <v>83</v>
      </c>
      <c r="C786" s="3">
        <v>45704.020451388889</v>
      </c>
      <c r="D786" t="s">
        <v>83</v>
      </c>
      <c r="E786" s="4">
        <v>0</v>
      </c>
      <c r="F786" s="4">
        <v>428213.33600000001</v>
      </c>
      <c r="G786" s="4">
        <v>428213.33600000001</v>
      </c>
      <c r="H786" s="5">
        <f>559 / 86400</f>
        <v>6.4699074074074077E-3</v>
      </c>
      <c r="I786" t="s">
        <v>55</v>
      </c>
      <c r="J786" t="s">
        <v>55</v>
      </c>
      <c r="K786" s="5">
        <f>577 / 86400</f>
        <v>6.6782407407407407E-3</v>
      </c>
      <c r="L786" s="5">
        <f>19427 / 86400</f>
        <v>0.22484953703703703</v>
      </c>
    </row>
    <row r="787" spans="1:12" x14ac:dyDescent="0.25">
      <c r="A787" s="3">
        <v>45704.245300925926</v>
      </c>
      <c r="B787" t="s">
        <v>83</v>
      </c>
      <c r="C787" s="3">
        <v>45704.262037037042</v>
      </c>
      <c r="D787" t="s">
        <v>83</v>
      </c>
      <c r="E787" s="4">
        <v>0</v>
      </c>
      <c r="F787" s="4">
        <v>428213.33600000001</v>
      </c>
      <c r="G787" s="4">
        <v>428213.33600000001</v>
      </c>
      <c r="H787" s="5">
        <f>1439 / 86400</f>
        <v>1.6655092592592593E-2</v>
      </c>
      <c r="I787" t="s">
        <v>55</v>
      </c>
      <c r="J787" t="s">
        <v>55</v>
      </c>
      <c r="K787" s="5">
        <f>1445 / 86400</f>
        <v>1.6724537037037038E-2</v>
      </c>
      <c r="L787" s="5">
        <f>430 / 86400</f>
        <v>4.9768518518518521E-3</v>
      </c>
    </row>
    <row r="788" spans="1:12" x14ac:dyDescent="0.25">
      <c r="A788" s="3">
        <v>45704.267013888893</v>
      </c>
      <c r="B788" t="s">
        <v>83</v>
      </c>
      <c r="C788" s="3">
        <v>45704.267800925925</v>
      </c>
      <c r="D788" t="s">
        <v>83</v>
      </c>
      <c r="E788" s="4">
        <v>0</v>
      </c>
      <c r="F788" s="4">
        <v>428213.33600000001</v>
      </c>
      <c r="G788" s="4">
        <v>428213.33600000001</v>
      </c>
      <c r="H788" s="5">
        <f>59 / 86400</f>
        <v>6.8287037037037036E-4</v>
      </c>
      <c r="I788" t="s">
        <v>55</v>
      </c>
      <c r="J788" t="s">
        <v>55</v>
      </c>
      <c r="K788" s="5">
        <f>67 / 86400</f>
        <v>7.7546296296296293E-4</v>
      </c>
      <c r="L788" s="5">
        <f>185 / 86400</f>
        <v>2.1412037037037038E-3</v>
      </c>
    </row>
    <row r="789" spans="1:12" x14ac:dyDescent="0.25">
      <c r="A789" s="3">
        <v>45704.269942129627</v>
      </c>
      <c r="B789" t="s">
        <v>83</v>
      </c>
      <c r="C789" s="3">
        <v>45704.274930555555</v>
      </c>
      <c r="D789" t="s">
        <v>83</v>
      </c>
      <c r="E789" s="4">
        <v>0</v>
      </c>
      <c r="F789" s="4">
        <v>428213.33600000001</v>
      </c>
      <c r="G789" s="4">
        <v>428213.33600000001</v>
      </c>
      <c r="H789" s="5">
        <f>419 / 86400</f>
        <v>4.8495370370370368E-3</v>
      </c>
      <c r="I789" t="s">
        <v>55</v>
      </c>
      <c r="J789" t="s">
        <v>55</v>
      </c>
      <c r="K789" s="5">
        <f>430 / 86400</f>
        <v>4.9768518518518521E-3</v>
      </c>
      <c r="L789" s="5">
        <f>234 / 86400</f>
        <v>2.7083333333333334E-3</v>
      </c>
    </row>
    <row r="790" spans="1:12" x14ac:dyDescent="0.25">
      <c r="A790" s="3">
        <v>45704.277638888889</v>
      </c>
      <c r="B790" t="s">
        <v>83</v>
      </c>
      <c r="C790" s="3">
        <v>45704.392534722225</v>
      </c>
      <c r="D790" t="s">
        <v>83</v>
      </c>
      <c r="E790" s="4">
        <v>0</v>
      </c>
      <c r="F790" s="4">
        <v>428213.33600000001</v>
      </c>
      <c r="G790" s="4">
        <v>428213.33600000001</v>
      </c>
      <c r="H790" s="5">
        <f>9909 / 86400</f>
        <v>0.1146875</v>
      </c>
      <c r="I790" t="s">
        <v>55</v>
      </c>
      <c r="J790" t="s">
        <v>55</v>
      </c>
      <c r="K790" s="5">
        <f>9927 / 86400</f>
        <v>0.11489583333333334</v>
      </c>
      <c r="L790" s="5">
        <f>27381 / 86400</f>
        <v>0.31690972222222225</v>
      </c>
    </row>
    <row r="791" spans="1:12" x14ac:dyDescent="0.25">
      <c r="A791" s="3">
        <v>45704.709444444445</v>
      </c>
      <c r="B791" t="s">
        <v>83</v>
      </c>
      <c r="C791" s="3">
        <v>45704.739340277782</v>
      </c>
      <c r="D791" t="s">
        <v>83</v>
      </c>
      <c r="E791" s="4">
        <v>0</v>
      </c>
      <c r="F791" s="4">
        <v>428213.33600000001</v>
      </c>
      <c r="G791" s="4">
        <v>428213.33600000001</v>
      </c>
      <c r="H791" s="5">
        <f>2569 / 86400</f>
        <v>2.9733796296296296E-2</v>
      </c>
      <c r="I791" t="s">
        <v>55</v>
      </c>
      <c r="J791" t="s">
        <v>55</v>
      </c>
      <c r="K791" s="5">
        <f>2583 / 86400</f>
        <v>2.9895833333333333E-2</v>
      </c>
      <c r="L791" s="5">
        <f>1540 / 86400</f>
        <v>1.7824074074074076E-2</v>
      </c>
    </row>
    <row r="792" spans="1:12" x14ac:dyDescent="0.25">
      <c r="A792" s="3">
        <v>45704.757164351853</v>
      </c>
      <c r="B792" t="s">
        <v>83</v>
      </c>
      <c r="C792" s="3">
        <v>45704.757569444446</v>
      </c>
      <c r="D792" t="s">
        <v>83</v>
      </c>
      <c r="E792" s="4">
        <v>0</v>
      </c>
      <c r="F792" s="4">
        <v>428213.33600000001</v>
      </c>
      <c r="G792" s="4">
        <v>428213.33600000001</v>
      </c>
      <c r="H792" s="5">
        <f>19 / 86400</f>
        <v>2.199074074074074E-4</v>
      </c>
      <c r="I792" t="s">
        <v>55</v>
      </c>
      <c r="J792" t="s">
        <v>55</v>
      </c>
      <c r="K792" s="5">
        <f>35 / 86400</f>
        <v>4.0509259259259258E-4</v>
      </c>
      <c r="L792" s="5">
        <f>318 / 86400</f>
        <v>3.6805555555555554E-3</v>
      </c>
    </row>
    <row r="793" spans="1:12" x14ac:dyDescent="0.25">
      <c r="A793" s="3">
        <v>45704.761249999996</v>
      </c>
      <c r="B793" t="s">
        <v>83</v>
      </c>
      <c r="C793" s="3">
        <v>45704.843472222223</v>
      </c>
      <c r="D793" t="s">
        <v>83</v>
      </c>
      <c r="E793" s="4">
        <v>0</v>
      </c>
      <c r="F793" s="4">
        <v>428213.33600000001</v>
      </c>
      <c r="G793" s="4">
        <v>428213.33600000001</v>
      </c>
      <c r="H793" s="5">
        <f>7099 / 86400</f>
        <v>8.216435185185185E-2</v>
      </c>
      <c r="I793" t="s">
        <v>55</v>
      </c>
      <c r="J793" t="s">
        <v>55</v>
      </c>
      <c r="K793" s="5">
        <f>7103 / 86400</f>
        <v>8.2210648148148144E-2</v>
      </c>
      <c r="L793" s="5">
        <f>76 / 86400</f>
        <v>8.7962962962962962E-4</v>
      </c>
    </row>
    <row r="794" spans="1:12" x14ac:dyDescent="0.25">
      <c r="A794" s="3">
        <v>45704.844351851847</v>
      </c>
      <c r="B794" t="s">
        <v>83</v>
      </c>
      <c r="C794" s="3">
        <v>45704.861863425926</v>
      </c>
      <c r="D794" t="s">
        <v>83</v>
      </c>
      <c r="E794" s="4">
        <v>0</v>
      </c>
      <c r="F794" s="4">
        <v>428213.33600000001</v>
      </c>
      <c r="G794" s="4">
        <v>428213.33600000001</v>
      </c>
      <c r="H794" s="5">
        <f>1499 / 86400</f>
        <v>1.7349537037037038E-2</v>
      </c>
      <c r="I794" t="s">
        <v>55</v>
      </c>
      <c r="J794" t="s">
        <v>55</v>
      </c>
      <c r="K794" s="5">
        <f>1512 / 86400</f>
        <v>1.7500000000000002E-2</v>
      </c>
      <c r="L794" s="5">
        <f>43 / 86400</f>
        <v>4.9768518518518521E-4</v>
      </c>
    </row>
    <row r="795" spans="1:12" x14ac:dyDescent="0.25">
      <c r="A795" s="3">
        <v>45704.862361111111</v>
      </c>
      <c r="B795" t="s">
        <v>83</v>
      </c>
      <c r="C795" s="3">
        <v>45704.862696759257</v>
      </c>
      <c r="D795" t="s">
        <v>83</v>
      </c>
      <c r="E795" s="4">
        <v>0</v>
      </c>
      <c r="F795" s="4">
        <v>428213.33600000001</v>
      </c>
      <c r="G795" s="4">
        <v>428213.33600000001</v>
      </c>
      <c r="H795" s="5">
        <f>19 / 86400</f>
        <v>2.199074074074074E-4</v>
      </c>
      <c r="I795" t="s">
        <v>55</v>
      </c>
      <c r="J795" t="s">
        <v>55</v>
      </c>
      <c r="K795" s="5">
        <f>28 / 86400</f>
        <v>3.2407407407407406E-4</v>
      </c>
      <c r="L795" s="5">
        <f>41 / 86400</f>
        <v>4.7453703703703704E-4</v>
      </c>
    </row>
    <row r="796" spans="1:12" x14ac:dyDescent="0.25">
      <c r="A796" s="3">
        <v>45704.863171296296</v>
      </c>
      <c r="B796" t="s">
        <v>83</v>
      </c>
      <c r="C796" s="3">
        <v>45704.866689814815</v>
      </c>
      <c r="D796" t="s">
        <v>83</v>
      </c>
      <c r="E796" s="4">
        <v>0</v>
      </c>
      <c r="F796" s="4">
        <v>428213.33600000001</v>
      </c>
      <c r="G796" s="4">
        <v>428213.33600000001</v>
      </c>
      <c r="H796" s="5">
        <f>299 / 86400</f>
        <v>3.460648148148148E-3</v>
      </c>
      <c r="I796" t="s">
        <v>55</v>
      </c>
      <c r="J796" t="s">
        <v>55</v>
      </c>
      <c r="K796" s="5">
        <f>303 / 86400</f>
        <v>3.5069444444444445E-3</v>
      </c>
      <c r="L796" s="5">
        <f>127 / 86400</f>
        <v>1.4699074074074074E-3</v>
      </c>
    </row>
    <row r="797" spans="1:12" x14ac:dyDescent="0.25">
      <c r="A797" s="3">
        <v>45704.868159722224</v>
      </c>
      <c r="B797" t="s">
        <v>83</v>
      </c>
      <c r="C797" s="3">
        <v>45704.868402777778</v>
      </c>
      <c r="D797" t="s">
        <v>83</v>
      </c>
      <c r="E797" s="4">
        <v>0</v>
      </c>
      <c r="F797" s="4">
        <v>428213.33600000001</v>
      </c>
      <c r="G797" s="4">
        <v>428213.33600000001</v>
      </c>
      <c r="H797" s="5">
        <f>19 / 86400</f>
        <v>2.199074074074074E-4</v>
      </c>
      <c r="I797" t="s">
        <v>55</v>
      </c>
      <c r="J797" t="s">
        <v>55</v>
      </c>
      <c r="K797" s="5">
        <f>20 / 86400</f>
        <v>2.3148148148148149E-4</v>
      </c>
      <c r="L797" s="5">
        <f>177 / 86400</f>
        <v>2.0486111111111113E-3</v>
      </c>
    </row>
    <row r="798" spans="1:12" x14ac:dyDescent="0.25">
      <c r="A798" s="3">
        <v>45704.870451388888</v>
      </c>
      <c r="B798" t="s">
        <v>83</v>
      </c>
      <c r="C798" s="3">
        <v>45704.928217592591</v>
      </c>
      <c r="D798" t="s">
        <v>83</v>
      </c>
      <c r="E798" s="4">
        <v>0</v>
      </c>
      <c r="F798" s="4">
        <v>428213.33600000001</v>
      </c>
      <c r="G798" s="4">
        <v>428213.33600000001</v>
      </c>
      <c r="H798" s="5">
        <f>4989 / 86400</f>
        <v>5.7743055555555554E-2</v>
      </c>
      <c r="I798" t="s">
        <v>55</v>
      </c>
      <c r="J798" t="s">
        <v>55</v>
      </c>
      <c r="K798" s="5">
        <f>4990 / 86400</f>
        <v>5.7754629629629628E-2</v>
      </c>
      <c r="L798" s="5">
        <f>769 / 86400</f>
        <v>8.9004629629629625E-3</v>
      </c>
    </row>
    <row r="799" spans="1:12" x14ac:dyDescent="0.25">
      <c r="A799" s="3">
        <v>45704.937118055561</v>
      </c>
      <c r="B799" t="s">
        <v>83</v>
      </c>
      <c r="C799" s="3">
        <v>45704.95112268519</v>
      </c>
      <c r="D799" t="s">
        <v>83</v>
      </c>
      <c r="E799" s="4">
        <v>0</v>
      </c>
      <c r="F799" s="4">
        <v>428213.33600000001</v>
      </c>
      <c r="G799" s="4">
        <v>428213.33600000001</v>
      </c>
      <c r="H799" s="5">
        <f>1199 / 86400</f>
        <v>1.3877314814814815E-2</v>
      </c>
      <c r="I799" t="s">
        <v>55</v>
      </c>
      <c r="J799" t="s">
        <v>55</v>
      </c>
      <c r="K799" s="5">
        <f>1209 / 86400</f>
        <v>1.3993055555555555E-2</v>
      </c>
      <c r="L799" s="5">
        <f>232 / 86400</f>
        <v>2.685185185185185E-3</v>
      </c>
    </row>
    <row r="800" spans="1:12" x14ac:dyDescent="0.25">
      <c r="A800" s="3">
        <v>45704.95380787037</v>
      </c>
      <c r="B800" t="s">
        <v>83</v>
      </c>
      <c r="C800" s="3">
        <v>45704.957291666666</v>
      </c>
      <c r="D800" t="s">
        <v>83</v>
      </c>
      <c r="E800" s="4">
        <v>0</v>
      </c>
      <c r="F800" s="4">
        <v>428213.33600000001</v>
      </c>
      <c r="G800" s="4">
        <v>428213.33600000001</v>
      </c>
      <c r="H800" s="5">
        <f>299 / 86400</f>
        <v>3.460648148148148E-3</v>
      </c>
      <c r="I800" t="s">
        <v>55</v>
      </c>
      <c r="J800" t="s">
        <v>55</v>
      </c>
      <c r="K800" s="5">
        <f>301 / 86400</f>
        <v>3.4837962962962965E-3</v>
      </c>
      <c r="L800" s="5">
        <f>3689 / 86400</f>
        <v>4.2696759259259261E-2</v>
      </c>
    </row>
    <row r="801" spans="1:1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</row>
    <row r="803" spans="1:12" s="10" customFormat="1" ht="20.100000000000001" customHeight="1" x14ac:dyDescent="0.35">
      <c r="A803" s="15" t="s">
        <v>412</v>
      </c>
      <c r="B803" s="15"/>
      <c r="C803" s="15"/>
      <c r="D803" s="15"/>
      <c r="E803" s="15"/>
      <c r="F803" s="15"/>
      <c r="G803" s="15"/>
      <c r="H803" s="15"/>
      <c r="I803" s="15"/>
      <c r="J803" s="15"/>
    </row>
    <row r="804" spans="1:1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</row>
    <row r="805" spans="1:12" ht="30" x14ac:dyDescent="0.25">
      <c r="A805" s="2" t="s">
        <v>6</v>
      </c>
      <c r="B805" s="2" t="s">
        <v>7</v>
      </c>
      <c r="C805" s="2" t="s">
        <v>8</v>
      </c>
      <c r="D805" s="2" t="s">
        <v>9</v>
      </c>
      <c r="E805" s="2" t="s">
        <v>10</v>
      </c>
      <c r="F805" s="2" t="s">
        <v>11</v>
      </c>
      <c r="G805" s="2" t="s">
        <v>12</v>
      </c>
      <c r="H805" s="2" t="s">
        <v>13</v>
      </c>
      <c r="I805" s="2" t="s">
        <v>14</v>
      </c>
      <c r="J805" s="2" t="s">
        <v>15</v>
      </c>
      <c r="K805" s="2" t="s">
        <v>16</v>
      </c>
      <c r="L805" s="2" t="s">
        <v>17</v>
      </c>
    </row>
    <row r="806" spans="1:12" x14ac:dyDescent="0.25">
      <c r="A806" s="3">
        <v>45704.302835648152</v>
      </c>
      <c r="B806" t="s">
        <v>28</v>
      </c>
      <c r="C806" s="3">
        <v>45704.510138888887</v>
      </c>
      <c r="D806" t="s">
        <v>355</v>
      </c>
      <c r="E806" s="4">
        <v>87.603999999999999</v>
      </c>
      <c r="F806" s="4">
        <v>575995.20799999998</v>
      </c>
      <c r="G806" s="4">
        <v>576082.81200000003</v>
      </c>
      <c r="H806" s="5">
        <f>4497 / 86400</f>
        <v>5.2048611111111108E-2</v>
      </c>
      <c r="I806" t="s">
        <v>75</v>
      </c>
      <c r="J806" t="s">
        <v>51</v>
      </c>
      <c r="K806" s="5">
        <f>17910 / 86400</f>
        <v>0.20729166666666668</v>
      </c>
      <c r="L806" s="5">
        <f>26236 / 86400</f>
        <v>0.30365740740740743</v>
      </c>
    </row>
    <row r="807" spans="1:12" x14ac:dyDescent="0.25">
      <c r="A807" s="3">
        <v>45704.510960648149</v>
      </c>
      <c r="B807" t="s">
        <v>355</v>
      </c>
      <c r="C807" s="3">
        <v>45704.512245370366</v>
      </c>
      <c r="D807" t="s">
        <v>355</v>
      </c>
      <c r="E807" s="4">
        <v>2E-3</v>
      </c>
      <c r="F807" s="4">
        <v>576082.81200000003</v>
      </c>
      <c r="G807" s="4">
        <v>576082.81400000001</v>
      </c>
      <c r="H807" s="5">
        <f>79 / 86400</f>
        <v>9.1435185185185185E-4</v>
      </c>
      <c r="I807" t="s">
        <v>129</v>
      </c>
      <c r="J807" t="s">
        <v>55</v>
      </c>
      <c r="K807" s="5">
        <f>110 / 86400</f>
        <v>1.2731481481481483E-3</v>
      </c>
      <c r="L807" s="5">
        <f>167 / 86400</f>
        <v>1.9328703703703704E-3</v>
      </c>
    </row>
    <row r="808" spans="1:12" x14ac:dyDescent="0.25">
      <c r="A808" s="3">
        <v>45704.514178240745</v>
      </c>
      <c r="B808" t="s">
        <v>355</v>
      </c>
      <c r="C808" s="3">
        <v>45704.516122685185</v>
      </c>
      <c r="D808" t="s">
        <v>354</v>
      </c>
      <c r="E808" s="4">
        <v>0.27500000000000002</v>
      </c>
      <c r="F808" s="4">
        <v>576082.81400000001</v>
      </c>
      <c r="G808" s="4">
        <v>576083.08900000004</v>
      </c>
      <c r="H808" s="5">
        <f>39 / 86400</f>
        <v>4.5138888888888887E-4</v>
      </c>
      <c r="I808" t="s">
        <v>68</v>
      </c>
      <c r="J808" t="s">
        <v>88</v>
      </c>
      <c r="K808" s="5">
        <f>168 / 86400</f>
        <v>1.9444444444444444E-3</v>
      </c>
      <c r="L808" s="5">
        <f>3563 / 86400</f>
        <v>4.1238425925925928E-2</v>
      </c>
    </row>
    <row r="809" spans="1:12" x14ac:dyDescent="0.25">
      <c r="A809" s="3">
        <v>45704.55736111111</v>
      </c>
      <c r="B809" t="s">
        <v>354</v>
      </c>
      <c r="C809" s="3">
        <v>45704.566018518519</v>
      </c>
      <c r="D809" t="s">
        <v>115</v>
      </c>
      <c r="E809" s="4">
        <v>1.4430000000000001</v>
      </c>
      <c r="F809" s="4">
        <v>576083.08900000004</v>
      </c>
      <c r="G809" s="4">
        <v>576084.53200000001</v>
      </c>
      <c r="H809" s="5">
        <f>179 / 86400</f>
        <v>2.0717592592592593E-3</v>
      </c>
      <c r="I809" t="s">
        <v>44</v>
      </c>
      <c r="J809" t="s">
        <v>136</v>
      </c>
      <c r="K809" s="5">
        <f>747 / 86400</f>
        <v>8.6458333333333335E-3</v>
      </c>
      <c r="L809" s="5">
        <f>2799 / 86400</f>
        <v>3.2395833333333332E-2</v>
      </c>
    </row>
    <row r="810" spans="1:12" x14ac:dyDescent="0.25">
      <c r="A810" s="3">
        <v>45704.598414351851</v>
      </c>
      <c r="B810" t="s">
        <v>115</v>
      </c>
      <c r="C810" s="3">
        <v>45704.763333333336</v>
      </c>
      <c r="D810" t="s">
        <v>173</v>
      </c>
      <c r="E810" s="4">
        <v>68.382000000000005</v>
      </c>
      <c r="F810" s="4">
        <v>576084.53200000001</v>
      </c>
      <c r="G810" s="4">
        <v>576152.91399999999</v>
      </c>
      <c r="H810" s="5">
        <f>4336 / 86400</f>
        <v>5.0185185185185187E-2</v>
      </c>
      <c r="I810" t="s">
        <v>317</v>
      </c>
      <c r="J810" t="s">
        <v>48</v>
      </c>
      <c r="K810" s="5">
        <f>14249 / 86400</f>
        <v>0.16491898148148149</v>
      </c>
      <c r="L810" s="5">
        <f>608 / 86400</f>
        <v>7.037037037037037E-3</v>
      </c>
    </row>
    <row r="811" spans="1:12" x14ac:dyDescent="0.25">
      <c r="A811" s="3">
        <v>45704.770370370374</v>
      </c>
      <c r="B811" t="s">
        <v>173</v>
      </c>
      <c r="C811" s="3">
        <v>45704.773541666669</v>
      </c>
      <c r="D811" t="s">
        <v>242</v>
      </c>
      <c r="E811" s="4">
        <v>0.60799999999999998</v>
      </c>
      <c r="F811" s="4">
        <v>576152.91399999999</v>
      </c>
      <c r="G811" s="4">
        <v>576153.522</v>
      </c>
      <c r="H811" s="5">
        <f>59 / 86400</f>
        <v>6.8287037037037036E-4</v>
      </c>
      <c r="I811" t="s">
        <v>29</v>
      </c>
      <c r="J811" t="s">
        <v>119</v>
      </c>
      <c r="K811" s="5">
        <f>273 / 86400</f>
        <v>3.1597222222222222E-3</v>
      </c>
      <c r="L811" s="5">
        <f>369 / 86400</f>
        <v>4.2708333333333331E-3</v>
      </c>
    </row>
    <row r="812" spans="1:12" x14ac:dyDescent="0.25">
      <c r="A812" s="3">
        <v>45704.777812500004</v>
      </c>
      <c r="B812" t="s">
        <v>242</v>
      </c>
      <c r="C812" s="3">
        <v>45704.784837962958</v>
      </c>
      <c r="D812" t="s">
        <v>28</v>
      </c>
      <c r="E812" s="4">
        <v>1.6259999999999999</v>
      </c>
      <c r="F812" s="4">
        <v>576153.522</v>
      </c>
      <c r="G812" s="4">
        <v>576155.14800000004</v>
      </c>
      <c r="H812" s="5">
        <f>219 / 86400</f>
        <v>2.5347222222222221E-3</v>
      </c>
      <c r="I812" t="s">
        <v>68</v>
      </c>
      <c r="J812" t="s">
        <v>151</v>
      </c>
      <c r="K812" s="5">
        <f>606 / 86400</f>
        <v>7.013888888888889E-3</v>
      </c>
      <c r="L812" s="5">
        <f>18589 / 86400</f>
        <v>0.21515046296296297</v>
      </c>
    </row>
    <row r="813" spans="1:1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</row>
    <row r="814" spans="1:1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</row>
    <row r="815" spans="1:12" s="10" customFormat="1" ht="20.100000000000001" customHeight="1" x14ac:dyDescent="0.35">
      <c r="A815" s="15" t="s">
        <v>413</v>
      </c>
      <c r="B815" s="15"/>
      <c r="C815" s="15"/>
      <c r="D815" s="15"/>
      <c r="E815" s="15"/>
      <c r="F815" s="15"/>
      <c r="G815" s="15"/>
      <c r="H815" s="15"/>
      <c r="I815" s="15"/>
      <c r="J815" s="15"/>
    </row>
    <row r="816" spans="1:1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</row>
    <row r="817" spans="1:12" ht="30" x14ac:dyDescent="0.25">
      <c r="A817" s="2" t="s">
        <v>6</v>
      </c>
      <c r="B817" s="2" t="s">
        <v>7</v>
      </c>
      <c r="C817" s="2" t="s">
        <v>8</v>
      </c>
      <c r="D817" s="2" t="s">
        <v>9</v>
      </c>
      <c r="E817" s="2" t="s">
        <v>10</v>
      </c>
      <c r="F817" s="2" t="s">
        <v>11</v>
      </c>
      <c r="G817" s="2" t="s">
        <v>12</v>
      </c>
      <c r="H817" s="2" t="s">
        <v>13</v>
      </c>
      <c r="I817" s="2" t="s">
        <v>14</v>
      </c>
      <c r="J817" s="2" t="s">
        <v>15</v>
      </c>
      <c r="K817" s="2" t="s">
        <v>16</v>
      </c>
      <c r="L817" s="2" t="s">
        <v>17</v>
      </c>
    </row>
    <row r="818" spans="1:12" x14ac:dyDescent="0.25">
      <c r="A818" s="3">
        <v>45704.551365740743</v>
      </c>
      <c r="B818" t="s">
        <v>84</v>
      </c>
      <c r="C818" s="3">
        <v>45704.552268518513</v>
      </c>
      <c r="D818" t="s">
        <v>84</v>
      </c>
      <c r="E818" s="4">
        <v>0.01</v>
      </c>
      <c r="F818" s="4">
        <v>401055.712</v>
      </c>
      <c r="G818" s="4">
        <v>401055.72200000001</v>
      </c>
      <c r="H818" s="5">
        <f>39 / 86400</f>
        <v>4.5138888888888887E-4</v>
      </c>
      <c r="I818" t="s">
        <v>128</v>
      </c>
      <c r="J818" t="s">
        <v>55</v>
      </c>
      <c r="K818" s="5">
        <f>78 / 86400</f>
        <v>9.0277777777777774E-4</v>
      </c>
      <c r="L818" s="5">
        <f>64712 / 86400</f>
        <v>0.74898148148148147</v>
      </c>
    </row>
    <row r="819" spans="1:12" x14ac:dyDescent="0.25">
      <c r="A819" s="3">
        <v>45704.749884259261</v>
      </c>
      <c r="B819" t="s">
        <v>84</v>
      </c>
      <c r="C819" s="3">
        <v>45704.90143518518</v>
      </c>
      <c r="D819" t="s">
        <v>95</v>
      </c>
      <c r="E819" s="4">
        <v>66.075000000000003</v>
      </c>
      <c r="F819" s="4">
        <v>401055.72200000001</v>
      </c>
      <c r="G819" s="4">
        <v>401121.79700000002</v>
      </c>
      <c r="H819" s="5">
        <f>4219 / 86400</f>
        <v>4.8831018518518517E-2</v>
      </c>
      <c r="I819" t="s">
        <v>85</v>
      </c>
      <c r="J819" t="s">
        <v>51</v>
      </c>
      <c r="K819" s="5">
        <f>13094 / 86400</f>
        <v>0.15155092592592592</v>
      </c>
      <c r="L819" s="5">
        <f>124 / 86400</f>
        <v>1.4351851851851852E-3</v>
      </c>
    </row>
    <row r="820" spans="1:12" x14ac:dyDescent="0.25">
      <c r="A820" s="3">
        <v>45704.902870370366</v>
      </c>
      <c r="B820" t="s">
        <v>95</v>
      </c>
      <c r="C820" s="3">
        <v>45704.937731481477</v>
      </c>
      <c r="D820" t="s">
        <v>356</v>
      </c>
      <c r="E820" s="4">
        <v>21.756</v>
      </c>
      <c r="F820" s="4">
        <v>401121.79700000002</v>
      </c>
      <c r="G820" s="4">
        <v>401143.55300000001</v>
      </c>
      <c r="H820" s="5">
        <f>481 / 86400</f>
        <v>5.5671296296296293E-3</v>
      </c>
      <c r="I820" t="s">
        <v>184</v>
      </c>
      <c r="J820" t="s">
        <v>94</v>
      </c>
      <c r="K820" s="5">
        <f>3012 / 86400</f>
        <v>3.4861111111111114E-2</v>
      </c>
      <c r="L820" s="5">
        <f>3227 / 86400</f>
        <v>3.7349537037037035E-2</v>
      </c>
    </row>
    <row r="821" spans="1:12" x14ac:dyDescent="0.25">
      <c r="A821" s="3">
        <v>45704.975081018521</v>
      </c>
      <c r="B821" t="s">
        <v>356</v>
      </c>
      <c r="C821" s="3">
        <v>45704.988206018519</v>
      </c>
      <c r="D821" t="s">
        <v>84</v>
      </c>
      <c r="E821" s="4">
        <v>9.2940000000000005</v>
      </c>
      <c r="F821" s="4">
        <v>401143.55300000001</v>
      </c>
      <c r="G821" s="4">
        <v>401152.84700000001</v>
      </c>
      <c r="H821" s="5">
        <f>59 / 86400</f>
        <v>6.8287037037037036E-4</v>
      </c>
      <c r="I821" t="s">
        <v>126</v>
      </c>
      <c r="J821" t="s">
        <v>35</v>
      </c>
      <c r="K821" s="5">
        <f>1134 / 86400</f>
        <v>1.3125E-2</v>
      </c>
      <c r="L821" s="5">
        <f>1018 / 86400</f>
        <v>1.1782407407407408E-2</v>
      </c>
    </row>
    <row r="822" spans="1:1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</row>
    <row r="823" spans="1:1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</row>
    <row r="824" spans="1:12" s="10" customFormat="1" ht="20.100000000000001" customHeight="1" x14ac:dyDescent="0.35">
      <c r="A824" s="15" t="s">
        <v>414</v>
      </c>
      <c r="B824" s="15"/>
      <c r="C824" s="15"/>
      <c r="D824" s="15"/>
      <c r="E824" s="15"/>
      <c r="F824" s="15"/>
      <c r="G824" s="15"/>
      <c r="H824" s="15"/>
      <c r="I824" s="15"/>
      <c r="J824" s="15"/>
    </row>
    <row r="825" spans="1:1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2" ht="30" x14ac:dyDescent="0.25">
      <c r="A826" s="2" t="s">
        <v>6</v>
      </c>
      <c r="B826" s="2" t="s">
        <v>7</v>
      </c>
      <c r="C826" s="2" t="s">
        <v>8</v>
      </c>
      <c r="D826" s="2" t="s">
        <v>9</v>
      </c>
      <c r="E826" s="2" t="s">
        <v>10</v>
      </c>
      <c r="F826" s="2" t="s">
        <v>11</v>
      </c>
      <c r="G826" s="2" t="s">
        <v>12</v>
      </c>
      <c r="H826" s="2" t="s">
        <v>13</v>
      </c>
      <c r="I826" s="2" t="s">
        <v>14</v>
      </c>
      <c r="J826" s="2" t="s">
        <v>15</v>
      </c>
      <c r="K826" s="2" t="s">
        <v>16</v>
      </c>
      <c r="L826" s="2" t="s">
        <v>17</v>
      </c>
    </row>
    <row r="827" spans="1:12" x14ac:dyDescent="0.25">
      <c r="A827" s="3">
        <v>45704.562048611115</v>
      </c>
      <c r="B827" t="s">
        <v>28</v>
      </c>
      <c r="C827" s="3">
        <v>45704.566655092596</v>
      </c>
      <c r="D827" t="s">
        <v>28</v>
      </c>
      <c r="E827" s="4">
        <v>0.41499999999999998</v>
      </c>
      <c r="F827" s="4">
        <v>382893.78200000001</v>
      </c>
      <c r="G827" s="4">
        <v>382894.19699999999</v>
      </c>
      <c r="H827" s="5">
        <f>199 / 86400</f>
        <v>2.3032407407407407E-3</v>
      </c>
      <c r="I827" t="s">
        <v>86</v>
      </c>
      <c r="J827" t="s">
        <v>137</v>
      </c>
      <c r="K827" s="5">
        <f>397 / 86400</f>
        <v>4.5949074074074078E-3</v>
      </c>
      <c r="L827" s="5">
        <f>60145 / 86400</f>
        <v>0.69612268518518516</v>
      </c>
    </row>
    <row r="828" spans="1:12" x14ac:dyDescent="0.25">
      <c r="A828" s="3">
        <v>45704.700729166667</v>
      </c>
      <c r="B828" t="s">
        <v>28</v>
      </c>
      <c r="C828" s="3">
        <v>45704.706319444449</v>
      </c>
      <c r="D828" t="s">
        <v>28</v>
      </c>
      <c r="E828" s="4">
        <v>0.255</v>
      </c>
      <c r="F828" s="4">
        <v>382894.19699999999</v>
      </c>
      <c r="G828" s="4">
        <v>382894.45199999999</v>
      </c>
      <c r="H828" s="5">
        <f>340 / 86400</f>
        <v>3.9351851851851848E-3</v>
      </c>
      <c r="I828" t="s">
        <v>165</v>
      </c>
      <c r="J828" t="s">
        <v>129</v>
      </c>
      <c r="K828" s="5">
        <f>483 / 86400</f>
        <v>5.5902777777777773E-3</v>
      </c>
      <c r="L828" s="5">
        <f>25373 / 86400</f>
        <v>0.29366898148148146</v>
      </c>
    </row>
    <row r="829" spans="1:1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s="10" customFormat="1" ht="20.100000000000001" customHeight="1" x14ac:dyDescent="0.35">
      <c r="A831" s="15" t="s">
        <v>415</v>
      </c>
      <c r="B831" s="15"/>
      <c r="C831" s="15"/>
      <c r="D831" s="15"/>
      <c r="E831" s="15"/>
      <c r="F831" s="15"/>
      <c r="G831" s="15"/>
      <c r="H831" s="15"/>
      <c r="I831" s="15"/>
      <c r="J831" s="15"/>
    </row>
    <row r="832" spans="1:1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</row>
    <row r="833" spans="1:12" ht="30" x14ac:dyDescent="0.25">
      <c r="A833" s="2" t="s">
        <v>6</v>
      </c>
      <c r="B833" s="2" t="s">
        <v>7</v>
      </c>
      <c r="C833" s="2" t="s">
        <v>8</v>
      </c>
      <c r="D833" s="2" t="s">
        <v>9</v>
      </c>
      <c r="E833" s="2" t="s">
        <v>10</v>
      </c>
      <c r="F833" s="2" t="s">
        <v>11</v>
      </c>
      <c r="G833" s="2" t="s">
        <v>12</v>
      </c>
      <c r="H833" s="2" t="s">
        <v>13</v>
      </c>
      <c r="I833" s="2" t="s">
        <v>14</v>
      </c>
      <c r="J833" s="2" t="s">
        <v>15</v>
      </c>
      <c r="K833" s="2" t="s">
        <v>16</v>
      </c>
      <c r="L833" s="2" t="s">
        <v>17</v>
      </c>
    </row>
    <row r="834" spans="1:12" x14ac:dyDescent="0.25">
      <c r="A834" s="3">
        <v>45704.29760416667</v>
      </c>
      <c r="B834" t="s">
        <v>21</v>
      </c>
      <c r="C834" s="3">
        <v>45704.310370370367</v>
      </c>
      <c r="D834" t="s">
        <v>169</v>
      </c>
      <c r="E834" s="4">
        <v>2.0630000000000002</v>
      </c>
      <c r="F834" s="4">
        <v>546695.652</v>
      </c>
      <c r="G834" s="4">
        <v>546697.71499999997</v>
      </c>
      <c r="H834" s="5">
        <f>639 / 86400</f>
        <v>7.3958333333333333E-3</v>
      </c>
      <c r="I834" t="s">
        <v>35</v>
      </c>
      <c r="J834" t="s">
        <v>136</v>
      </c>
      <c r="K834" s="5">
        <f>1103 / 86400</f>
        <v>1.2766203703703703E-2</v>
      </c>
      <c r="L834" s="5">
        <f>25758 / 86400</f>
        <v>0.29812499999999997</v>
      </c>
    </row>
    <row r="835" spans="1:12" x14ac:dyDescent="0.25">
      <c r="A835" s="3">
        <v>45704.310891203699</v>
      </c>
      <c r="B835" t="s">
        <v>169</v>
      </c>
      <c r="C835" s="3">
        <v>45704.311053240745</v>
      </c>
      <c r="D835" t="s">
        <v>169</v>
      </c>
      <c r="E835" s="4">
        <v>0.01</v>
      </c>
      <c r="F835" s="4">
        <v>546697.71499999997</v>
      </c>
      <c r="G835" s="4">
        <v>546697.72499999998</v>
      </c>
      <c r="H835" s="5">
        <f>0 / 86400</f>
        <v>0</v>
      </c>
      <c r="I835" t="s">
        <v>55</v>
      </c>
      <c r="J835" t="s">
        <v>87</v>
      </c>
      <c r="K835" s="5">
        <f>14 / 86400</f>
        <v>1.6203703703703703E-4</v>
      </c>
      <c r="L835" s="5">
        <f>59 / 86400</f>
        <v>6.8287037037037036E-4</v>
      </c>
    </row>
    <row r="836" spans="1:12" x14ac:dyDescent="0.25">
      <c r="A836" s="3">
        <v>45704.311736111107</v>
      </c>
      <c r="B836" t="s">
        <v>169</v>
      </c>
      <c r="C836" s="3">
        <v>45704.311990740738</v>
      </c>
      <c r="D836" t="s">
        <v>140</v>
      </c>
      <c r="E836" s="4">
        <v>1.2E-2</v>
      </c>
      <c r="F836" s="4">
        <v>546697.72499999998</v>
      </c>
      <c r="G836" s="4">
        <v>546697.73699999996</v>
      </c>
      <c r="H836" s="5">
        <f>19 / 86400</f>
        <v>2.199074074074074E-4</v>
      </c>
      <c r="I836" t="s">
        <v>55</v>
      </c>
      <c r="J836" t="s">
        <v>129</v>
      </c>
      <c r="K836" s="5">
        <f>22 / 86400</f>
        <v>2.5462962962962961E-4</v>
      </c>
      <c r="L836" s="5">
        <f>23 / 86400</f>
        <v>2.6620370370370372E-4</v>
      </c>
    </row>
    <row r="837" spans="1:12" x14ac:dyDescent="0.25">
      <c r="A837" s="3">
        <v>45704.312256944446</v>
      </c>
      <c r="B837" t="s">
        <v>140</v>
      </c>
      <c r="C837" s="3">
        <v>45704.313379629632</v>
      </c>
      <c r="D837" t="s">
        <v>141</v>
      </c>
      <c r="E837" s="4">
        <v>7.0000000000000001E-3</v>
      </c>
      <c r="F837" s="4">
        <v>546697.73699999996</v>
      </c>
      <c r="G837" s="4">
        <v>546697.74399999995</v>
      </c>
      <c r="H837" s="5">
        <f>79 / 86400</f>
        <v>9.1435185185185185E-4</v>
      </c>
      <c r="I837" t="s">
        <v>55</v>
      </c>
      <c r="J837" t="s">
        <v>55</v>
      </c>
      <c r="K837" s="5">
        <f>97 / 86400</f>
        <v>1.1226851851851851E-3</v>
      </c>
      <c r="L837" s="5">
        <f>300 / 86400</f>
        <v>3.472222222222222E-3</v>
      </c>
    </row>
    <row r="838" spans="1:12" x14ac:dyDescent="0.25">
      <c r="A838" s="3">
        <v>45704.316851851851</v>
      </c>
      <c r="B838" t="s">
        <v>141</v>
      </c>
      <c r="C838" s="3">
        <v>45704.316967592589</v>
      </c>
      <c r="D838" t="s">
        <v>141</v>
      </c>
      <c r="E838" s="4">
        <v>1E-3</v>
      </c>
      <c r="F838" s="4">
        <v>546697.74399999995</v>
      </c>
      <c r="G838" s="4">
        <v>546697.745</v>
      </c>
      <c r="H838" s="5">
        <f>0 / 86400</f>
        <v>0</v>
      </c>
      <c r="I838" t="s">
        <v>55</v>
      </c>
      <c r="J838" t="s">
        <v>55</v>
      </c>
      <c r="K838" s="5">
        <f>10 / 86400</f>
        <v>1.1574074074074075E-4</v>
      </c>
      <c r="L838" s="5">
        <f>7 / 86400</f>
        <v>8.1018518518518516E-5</v>
      </c>
    </row>
    <row r="839" spans="1:12" x14ac:dyDescent="0.25">
      <c r="A839" s="3">
        <v>45704.317048611112</v>
      </c>
      <c r="B839" t="s">
        <v>141</v>
      </c>
      <c r="C839" s="3">
        <v>45704.317199074074</v>
      </c>
      <c r="D839" t="s">
        <v>140</v>
      </c>
      <c r="E839" s="4">
        <v>5.0000000000000001E-3</v>
      </c>
      <c r="F839" s="4">
        <v>546697.745</v>
      </c>
      <c r="G839" s="4">
        <v>546697.75</v>
      </c>
      <c r="H839" s="5">
        <f>2 / 86400</f>
        <v>2.3148148148148147E-5</v>
      </c>
      <c r="I839" t="s">
        <v>55</v>
      </c>
      <c r="J839" t="s">
        <v>128</v>
      </c>
      <c r="K839" s="5">
        <f>13 / 86400</f>
        <v>1.5046296296296297E-4</v>
      </c>
      <c r="L839" s="5">
        <f>109 / 86400</f>
        <v>1.261574074074074E-3</v>
      </c>
    </row>
    <row r="840" spans="1:12" x14ac:dyDescent="0.25">
      <c r="A840" s="3">
        <v>45704.318460648152</v>
      </c>
      <c r="B840" t="s">
        <v>140</v>
      </c>
      <c r="C840" s="3">
        <v>45704.318599537037</v>
      </c>
      <c r="D840" t="s">
        <v>140</v>
      </c>
      <c r="E840" s="4">
        <v>6.0000000000000001E-3</v>
      </c>
      <c r="F840" s="4">
        <v>546697.75</v>
      </c>
      <c r="G840" s="4">
        <v>546697.75600000005</v>
      </c>
      <c r="H840" s="5">
        <f>0 / 86400</f>
        <v>0</v>
      </c>
      <c r="I840" t="s">
        <v>127</v>
      </c>
      <c r="J840" t="s">
        <v>129</v>
      </c>
      <c r="K840" s="5">
        <f>11 / 86400</f>
        <v>1.273148148148148E-4</v>
      </c>
      <c r="L840" s="5">
        <f>207 / 86400</f>
        <v>2.3958333333333331E-3</v>
      </c>
    </row>
    <row r="841" spans="1:12" x14ac:dyDescent="0.25">
      <c r="A841" s="3">
        <v>45704.32099537037</v>
      </c>
      <c r="B841" t="s">
        <v>140</v>
      </c>
      <c r="C841" s="3">
        <v>45704.325740740736</v>
      </c>
      <c r="D841" t="s">
        <v>21</v>
      </c>
      <c r="E841" s="4">
        <v>1.024</v>
      </c>
      <c r="F841" s="4">
        <v>546697.75600000005</v>
      </c>
      <c r="G841" s="4">
        <v>546698.78</v>
      </c>
      <c r="H841" s="5">
        <f>199 / 86400</f>
        <v>2.3032407407407407E-3</v>
      </c>
      <c r="I841" t="s">
        <v>29</v>
      </c>
      <c r="J841" t="s">
        <v>30</v>
      </c>
      <c r="K841" s="5">
        <f>409 / 86400</f>
        <v>4.7337962962962967E-3</v>
      </c>
      <c r="L841" s="5">
        <f>29 / 86400</f>
        <v>3.3564814814814812E-4</v>
      </c>
    </row>
    <row r="842" spans="1:12" x14ac:dyDescent="0.25">
      <c r="A842" s="3">
        <v>45704.32607638889</v>
      </c>
      <c r="B842" t="s">
        <v>21</v>
      </c>
      <c r="C842" s="3">
        <v>45704.327291666668</v>
      </c>
      <c r="D842" t="s">
        <v>21</v>
      </c>
      <c r="E842" s="4">
        <v>1.4999999999999999E-2</v>
      </c>
      <c r="F842" s="4">
        <v>546698.78</v>
      </c>
      <c r="G842" s="4">
        <v>546698.79500000004</v>
      </c>
      <c r="H842" s="5">
        <f>20 / 86400</f>
        <v>2.3148148148148149E-4</v>
      </c>
      <c r="I842" t="s">
        <v>87</v>
      </c>
      <c r="J842" t="s">
        <v>128</v>
      </c>
      <c r="K842" s="5">
        <f>104 / 86400</f>
        <v>1.2037037037037038E-3</v>
      </c>
      <c r="L842" s="5">
        <f>58121 / 86400</f>
        <v>0.67269675925925931</v>
      </c>
    </row>
    <row r="843" spans="1:1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</row>
    <row r="844" spans="1:1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</row>
    <row r="845" spans="1:12" s="10" customFormat="1" ht="20.100000000000001" customHeight="1" x14ac:dyDescent="0.35">
      <c r="A845" s="15" t="s">
        <v>416</v>
      </c>
      <c r="B845" s="15"/>
      <c r="C845" s="15"/>
      <c r="D845" s="15"/>
      <c r="E845" s="15"/>
      <c r="F845" s="15"/>
      <c r="G845" s="15"/>
      <c r="H845" s="15"/>
      <c r="I845" s="15"/>
      <c r="J845" s="15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ht="30" x14ac:dyDescent="0.25">
      <c r="A847" s="2" t="s">
        <v>6</v>
      </c>
      <c r="B847" s="2" t="s">
        <v>7</v>
      </c>
      <c r="C847" s="2" t="s">
        <v>8</v>
      </c>
      <c r="D847" s="2" t="s">
        <v>9</v>
      </c>
      <c r="E847" s="2" t="s">
        <v>10</v>
      </c>
      <c r="F847" s="2" t="s">
        <v>11</v>
      </c>
      <c r="G847" s="2" t="s">
        <v>12</v>
      </c>
      <c r="H847" s="2" t="s">
        <v>13</v>
      </c>
      <c r="I847" s="2" t="s">
        <v>14</v>
      </c>
      <c r="J847" s="2" t="s">
        <v>15</v>
      </c>
      <c r="K847" s="2" t="s">
        <v>16</v>
      </c>
      <c r="L847" s="2" t="s">
        <v>17</v>
      </c>
    </row>
    <row r="848" spans="1:12" x14ac:dyDescent="0.25">
      <c r="A848" s="3">
        <v>45704</v>
      </c>
      <c r="B848" t="s">
        <v>89</v>
      </c>
      <c r="C848" s="3">
        <v>45704.056250000001</v>
      </c>
      <c r="D848" t="s">
        <v>106</v>
      </c>
      <c r="E848" s="4">
        <v>21.591000000000001</v>
      </c>
      <c r="F848" s="4">
        <v>104418.518</v>
      </c>
      <c r="G848" s="4">
        <v>104440.109</v>
      </c>
      <c r="H848" s="5">
        <f>2340 / 86400</f>
        <v>2.7083333333333334E-2</v>
      </c>
      <c r="I848" t="s">
        <v>26</v>
      </c>
      <c r="J848" t="s">
        <v>133</v>
      </c>
      <c r="K848" s="5">
        <f>4860 / 86400</f>
        <v>5.6250000000000001E-2</v>
      </c>
      <c r="L848" s="5">
        <f>29 / 86400</f>
        <v>3.3564814814814812E-4</v>
      </c>
    </row>
    <row r="849" spans="1:12" x14ac:dyDescent="0.25">
      <c r="A849" s="3">
        <v>45704.056585648148</v>
      </c>
      <c r="B849" t="s">
        <v>106</v>
      </c>
      <c r="C849" s="3">
        <v>45704.169351851851</v>
      </c>
      <c r="D849" t="s">
        <v>98</v>
      </c>
      <c r="E849" s="4">
        <v>49.156999999999996</v>
      </c>
      <c r="F849" s="4">
        <v>104440.109</v>
      </c>
      <c r="G849" s="4">
        <v>104489.266</v>
      </c>
      <c r="H849" s="5">
        <f>4119 / 86400</f>
        <v>4.7673611111111111E-2</v>
      </c>
      <c r="I849" t="s">
        <v>271</v>
      </c>
      <c r="J849" t="s">
        <v>51</v>
      </c>
      <c r="K849" s="5">
        <f>9743 / 86400</f>
        <v>0.1127662037037037</v>
      </c>
      <c r="L849" s="5">
        <f>7718 / 86400</f>
        <v>8.9328703703703702E-2</v>
      </c>
    </row>
    <row r="850" spans="1:12" x14ac:dyDescent="0.25">
      <c r="A850" s="3">
        <v>45704.258680555555</v>
      </c>
      <c r="B850" t="s">
        <v>98</v>
      </c>
      <c r="C850" s="3">
        <v>45704.260034722218</v>
      </c>
      <c r="D850" t="s">
        <v>98</v>
      </c>
      <c r="E850" s="4">
        <v>0.14399999999999999</v>
      </c>
      <c r="F850" s="4">
        <v>104489.266</v>
      </c>
      <c r="G850" s="4">
        <v>104489.41</v>
      </c>
      <c r="H850" s="5">
        <f>37 / 86400</f>
        <v>4.2824074074074075E-4</v>
      </c>
      <c r="I850" t="s">
        <v>119</v>
      </c>
      <c r="J850" t="s">
        <v>137</v>
      </c>
      <c r="K850" s="5">
        <f>117 / 86400</f>
        <v>1.3541666666666667E-3</v>
      </c>
      <c r="L850" s="5">
        <f>30408 / 86400</f>
        <v>0.35194444444444445</v>
      </c>
    </row>
    <row r="851" spans="1:12" x14ac:dyDescent="0.25">
      <c r="A851" s="3">
        <v>45704.611979166672</v>
      </c>
      <c r="B851" t="s">
        <v>98</v>
      </c>
      <c r="C851" s="3">
        <v>45704.613807870366</v>
      </c>
      <c r="D851" t="s">
        <v>74</v>
      </c>
      <c r="E851" s="4">
        <v>0.82</v>
      </c>
      <c r="F851" s="4">
        <v>104489.41</v>
      </c>
      <c r="G851" s="4">
        <v>104490.23</v>
      </c>
      <c r="H851" s="5">
        <f>37 / 86400</f>
        <v>4.2824074074074075E-4</v>
      </c>
      <c r="I851" t="s">
        <v>150</v>
      </c>
      <c r="J851" t="s">
        <v>44</v>
      </c>
      <c r="K851" s="5">
        <f>158 / 86400</f>
        <v>1.8287037037037037E-3</v>
      </c>
      <c r="L851" s="5">
        <f>137 / 86400</f>
        <v>1.5856481481481481E-3</v>
      </c>
    </row>
    <row r="852" spans="1:12" x14ac:dyDescent="0.25">
      <c r="A852" s="3">
        <v>45704.615393518514</v>
      </c>
      <c r="B852" t="s">
        <v>74</v>
      </c>
      <c r="C852" s="3">
        <v>45704.615798611107</v>
      </c>
      <c r="D852" t="s">
        <v>74</v>
      </c>
      <c r="E852" s="4">
        <v>1.7000000000000001E-2</v>
      </c>
      <c r="F852" s="4">
        <v>104490.23</v>
      </c>
      <c r="G852" s="4">
        <v>104490.247</v>
      </c>
      <c r="H852" s="5">
        <f>17 / 86400</f>
        <v>1.9675925925925926E-4</v>
      </c>
      <c r="I852" t="s">
        <v>88</v>
      </c>
      <c r="J852" t="s">
        <v>129</v>
      </c>
      <c r="K852" s="5">
        <f>35 / 86400</f>
        <v>4.0509259259259258E-4</v>
      </c>
      <c r="L852" s="5">
        <f>124 / 86400</f>
        <v>1.4351851851851852E-3</v>
      </c>
    </row>
    <row r="853" spans="1:12" x14ac:dyDescent="0.25">
      <c r="A853" s="3">
        <v>45704.617233796293</v>
      </c>
      <c r="B853" t="s">
        <v>74</v>
      </c>
      <c r="C853" s="3">
        <v>45704.618217592593</v>
      </c>
      <c r="D853" t="s">
        <v>73</v>
      </c>
      <c r="E853" s="4">
        <v>1.7000000000000001E-2</v>
      </c>
      <c r="F853" s="4">
        <v>104490.247</v>
      </c>
      <c r="G853" s="4">
        <v>104490.264</v>
      </c>
      <c r="H853" s="5">
        <f>57 / 86400</f>
        <v>6.5972222222222224E-4</v>
      </c>
      <c r="I853" t="s">
        <v>88</v>
      </c>
      <c r="J853" t="s">
        <v>128</v>
      </c>
      <c r="K853" s="5">
        <f>85 / 86400</f>
        <v>9.837962962962962E-4</v>
      </c>
      <c r="L853" s="5">
        <f>4498 / 86400</f>
        <v>5.2060185185185189E-2</v>
      </c>
    </row>
    <row r="854" spans="1:12" x14ac:dyDescent="0.25">
      <c r="A854" s="3">
        <v>45704.670277777783</v>
      </c>
      <c r="B854" t="s">
        <v>74</v>
      </c>
      <c r="C854" s="3">
        <v>45704.67559027778</v>
      </c>
      <c r="D854" t="s">
        <v>39</v>
      </c>
      <c r="E854" s="4">
        <v>1.7989999999999999</v>
      </c>
      <c r="F854" s="4">
        <v>104490.264</v>
      </c>
      <c r="G854" s="4">
        <v>104492.06299999999</v>
      </c>
      <c r="H854" s="5">
        <f>40 / 86400</f>
        <v>4.6296296296296298E-4</v>
      </c>
      <c r="I854" t="s">
        <v>211</v>
      </c>
      <c r="J854" t="s">
        <v>158</v>
      </c>
      <c r="K854" s="5">
        <f>459 / 86400</f>
        <v>5.3125000000000004E-3</v>
      </c>
      <c r="L854" s="5">
        <f>2074 / 86400</f>
        <v>2.4004629629629629E-2</v>
      </c>
    </row>
    <row r="855" spans="1:12" x14ac:dyDescent="0.25">
      <c r="A855" s="3">
        <v>45704.699594907404</v>
      </c>
      <c r="B855" t="s">
        <v>39</v>
      </c>
      <c r="C855" s="3">
        <v>45704.728831018518</v>
      </c>
      <c r="D855" t="s">
        <v>45</v>
      </c>
      <c r="E855" s="4">
        <v>0.20399999999999999</v>
      </c>
      <c r="F855" s="4">
        <v>104492.06299999999</v>
      </c>
      <c r="G855" s="4">
        <v>104492.26700000001</v>
      </c>
      <c r="H855" s="5">
        <f>2458 / 86400</f>
        <v>2.8449074074074075E-2</v>
      </c>
      <c r="I855" t="s">
        <v>133</v>
      </c>
      <c r="J855" t="s">
        <v>55</v>
      </c>
      <c r="K855" s="5">
        <f>2526 / 86400</f>
        <v>2.9236111111111112E-2</v>
      </c>
      <c r="L855" s="5">
        <f>582 / 86400</f>
        <v>6.7361111111111111E-3</v>
      </c>
    </row>
    <row r="856" spans="1:12" x14ac:dyDescent="0.25">
      <c r="A856" s="3">
        <v>45704.735567129625</v>
      </c>
      <c r="B856" t="s">
        <v>45</v>
      </c>
      <c r="C856" s="3">
        <v>45704.822812500002</v>
      </c>
      <c r="D856" t="s">
        <v>299</v>
      </c>
      <c r="E856" s="4">
        <v>46.046999999999997</v>
      </c>
      <c r="F856" s="4">
        <v>104492.26700000001</v>
      </c>
      <c r="G856" s="4">
        <v>104538.314</v>
      </c>
      <c r="H856" s="5">
        <f>2219 / 86400</f>
        <v>2.568287037037037E-2</v>
      </c>
      <c r="I856" t="s">
        <v>91</v>
      </c>
      <c r="J856" t="s">
        <v>20</v>
      </c>
      <c r="K856" s="5">
        <f>7538 / 86400</f>
        <v>8.7245370370370376E-2</v>
      </c>
      <c r="L856" s="5">
        <f>172 / 86400</f>
        <v>1.9907407407407408E-3</v>
      </c>
    </row>
    <row r="857" spans="1:12" x14ac:dyDescent="0.25">
      <c r="A857" s="3">
        <v>45704.824803240743</v>
      </c>
      <c r="B857" t="s">
        <v>299</v>
      </c>
      <c r="C857" s="3">
        <v>45704.826018518521</v>
      </c>
      <c r="D857" t="s">
        <v>357</v>
      </c>
      <c r="E857" s="4">
        <v>0.76500000000000001</v>
      </c>
      <c r="F857" s="4">
        <v>104538.314</v>
      </c>
      <c r="G857" s="4">
        <v>104539.079</v>
      </c>
      <c r="H857" s="5">
        <f>20 / 86400</f>
        <v>2.3148148148148149E-4</v>
      </c>
      <c r="I857" t="s">
        <v>174</v>
      </c>
      <c r="J857" t="s">
        <v>94</v>
      </c>
      <c r="K857" s="5">
        <f>105 / 86400</f>
        <v>1.2152777777777778E-3</v>
      </c>
      <c r="L857" s="5">
        <f>4003 / 86400</f>
        <v>4.6331018518518521E-2</v>
      </c>
    </row>
    <row r="858" spans="1:12" x14ac:dyDescent="0.25">
      <c r="A858" s="3">
        <v>45704.872349537036</v>
      </c>
      <c r="B858" t="s">
        <v>357</v>
      </c>
      <c r="C858" s="3">
        <v>45704.99998842593</v>
      </c>
      <c r="D858" t="s">
        <v>90</v>
      </c>
      <c r="E858" s="4">
        <v>69.471999999999994</v>
      </c>
      <c r="F858" s="4">
        <v>104539.079</v>
      </c>
      <c r="G858" s="4">
        <v>104608.55100000001</v>
      </c>
      <c r="H858" s="5">
        <f>3998 / 86400</f>
        <v>4.6273148148148147E-2</v>
      </c>
      <c r="I858" t="s">
        <v>47</v>
      </c>
      <c r="J858" t="s">
        <v>27</v>
      </c>
      <c r="K858" s="5">
        <f>11028 / 86400</f>
        <v>0.12763888888888889</v>
      </c>
      <c r="L858" s="5">
        <f>0 / 86400</f>
        <v>0</v>
      </c>
    </row>
    <row r="859" spans="1:1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</row>
    <row r="860" spans="1:1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</row>
    <row r="861" spans="1:12" s="10" customFormat="1" ht="20.100000000000001" customHeight="1" x14ac:dyDescent="0.35">
      <c r="A861" s="15" t="s">
        <v>417</v>
      </c>
      <c r="B861" s="15"/>
      <c r="C861" s="15"/>
      <c r="D861" s="15"/>
      <c r="E861" s="15"/>
      <c r="F861" s="15"/>
      <c r="G861" s="15"/>
      <c r="H861" s="15"/>
      <c r="I861" s="15"/>
      <c r="J861" s="15"/>
    </row>
    <row r="862" spans="1:1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</row>
    <row r="863" spans="1:12" ht="30" x14ac:dyDescent="0.25">
      <c r="A863" s="2" t="s">
        <v>6</v>
      </c>
      <c r="B863" s="2" t="s">
        <v>7</v>
      </c>
      <c r="C863" s="2" t="s">
        <v>8</v>
      </c>
      <c r="D863" s="2" t="s">
        <v>9</v>
      </c>
      <c r="E863" s="2" t="s">
        <v>10</v>
      </c>
      <c r="F863" s="2" t="s">
        <v>11</v>
      </c>
      <c r="G863" s="2" t="s">
        <v>12</v>
      </c>
      <c r="H863" s="2" t="s">
        <v>13</v>
      </c>
      <c r="I863" s="2" t="s">
        <v>14</v>
      </c>
      <c r="J863" s="2" t="s">
        <v>15</v>
      </c>
      <c r="K863" s="2" t="s">
        <v>16</v>
      </c>
      <c r="L863" s="2" t="s">
        <v>17</v>
      </c>
    </row>
    <row r="864" spans="1:12" x14ac:dyDescent="0.25">
      <c r="A864" s="3">
        <v>45704.59956018519</v>
      </c>
      <c r="B864" t="s">
        <v>92</v>
      </c>
      <c r="C864" s="3">
        <v>45704.604803240742</v>
      </c>
      <c r="D864" t="s">
        <v>81</v>
      </c>
      <c r="E864" s="4">
        <v>0.95599999999999996</v>
      </c>
      <c r="F864" s="4">
        <v>46443.277999999998</v>
      </c>
      <c r="G864" s="4">
        <v>46444.233999999997</v>
      </c>
      <c r="H864" s="5">
        <f>240 / 86400</f>
        <v>2.7777777777777779E-3</v>
      </c>
      <c r="I864" t="s">
        <v>116</v>
      </c>
      <c r="J864" t="s">
        <v>119</v>
      </c>
      <c r="K864" s="5">
        <f>453 / 86400</f>
        <v>5.2430555555555555E-3</v>
      </c>
      <c r="L864" s="5">
        <f>51916 / 86400</f>
        <v>0.6008796296296296</v>
      </c>
    </row>
    <row r="865" spans="1:12" x14ac:dyDescent="0.25">
      <c r="A865" s="3">
        <v>45704.606122685189</v>
      </c>
      <c r="B865" t="s">
        <v>81</v>
      </c>
      <c r="C865" s="3">
        <v>45704.621562500004</v>
      </c>
      <c r="D865" t="s">
        <v>358</v>
      </c>
      <c r="E865" s="4">
        <v>10.06</v>
      </c>
      <c r="F865" s="4">
        <v>46444.233999999997</v>
      </c>
      <c r="G865" s="4">
        <v>46454.294000000002</v>
      </c>
      <c r="H865" s="5">
        <f>397 / 86400</f>
        <v>4.5949074074074078E-3</v>
      </c>
      <c r="I865" t="s">
        <v>184</v>
      </c>
      <c r="J865" t="s">
        <v>200</v>
      </c>
      <c r="K865" s="5">
        <f>1334 / 86400</f>
        <v>1.5439814814814814E-2</v>
      </c>
      <c r="L865" s="5">
        <f>31145 / 86400</f>
        <v>0.36047453703703702</v>
      </c>
    </row>
    <row r="866" spans="1:12" x14ac:dyDescent="0.25">
      <c r="A866" s="3">
        <v>45704.982037037036</v>
      </c>
      <c r="B866" t="s">
        <v>358</v>
      </c>
      <c r="C866" s="3">
        <v>45704.99732638889</v>
      </c>
      <c r="D866" t="s">
        <v>92</v>
      </c>
      <c r="E866" s="4">
        <v>11.044</v>
      </c>
      <c r="F866" s="4">
        <v>46454.294000000002</v>
      </c>
      <c r="G866" s="4">
        <v>46465.338000000003</v>
      </c>
      <c r="H866" s="5">
        <f>320 / 86400</f>
        <v>3.7037037037037038E-3</v>
      </c>
      <c r="I866" t="s">
        <v>93</v>
      </c>
      <c r="J866" t="s">
        <v>35</v>
      </c>
      <c r="K866" s="5">
        <f>1321 / 86400</f>
        <v>1.5289351851851853E-2</v>
      </c>
      <c r="L866" s="5">
        <f>230 / 86400</f>
        <v>2.662037037037037E-3</v>
      </c>
    </row>
    <row r="867" spans="1:1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</row>
    <row r="868" spans="1:1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</row>
    <row r="869" spans="1:12" s="10" customFormat="1" ht="20.100000000000001" customHeight="1" x14ac:dyDescent="0.35">
      <c r="A869" s="15" t="s">
        <v>418</v>
      </c>
      <c r="B869" s="15"/>
      <c r="C869" s="15"/>
      <c r="D869" s="15"/>
      <c r="E869" s="15"/>
      <c r="F869" s="15"/>
      <c r="G869" s="15"/>
      <c r="H869" s="15"/>
      <c r="I869" s="15"/>
      <c r="J869" s="15"/>
    </row>
    <row r="870" spans="1:1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</row>
    <row r="871" spans="1:12" ht="30" x14ac:dyDescent="0.25">
      <c r="A871" s="2" t="s">
        <v>6</v>
      </c>
      <c r="B871" s="2" t="s">
        <v>7</v>
      </c>
      <c r="C871" s="2" t="s">
        <v>8</v>
      </c>
      <c r="D871" s="2" t="s">
        <v>9</v>
      </c>
      <c r="E871" s="2" t="s">
        <v>10</v>
      </c>
      <c r="F871" s="2" t="s">
        <v>11</v>
      </c>
      <c r="G871" s="2" t="s">
        <v>12</v>
      </c>
      <c r="H871" s="2" t="s">
        <v>13</v>
      </c>
      <c r="I871" s="2" t="s">
        <v>14</v>
      </c>
      <c r="J871" s="2" t="s">
        <v>15</v>
      </c>
      <c r="K871" s="2" t="s">
        <v>16</v>
      </c>
      <c r="L871" s="2" t="s">
        <v>17</v>
      </c>
    </row>
    <row r="872" spans="1:12" x14ac:dyDescent="0.25">
      <c r="A872" s="3">
        <v>45704</v>
      </c>
      <c r="B872" t="s">
        <v>83</v>
      </c>
      <c r="C872" s="3">
        <v>45704.01840277778</v>
      </c>
      <c r="D872" t="s">
        <v>359</v>
      </c>
      <c r="E872" s="4">
        <v>12.122999999999999</v>
      </c>
      <c r="F872" s="4">
        <v>41224.65</v>
      </c>
      <c r="G872" s="4">
        <v>41236.773000000001</v>
      </c>
      <c r="H872" s="5">
        <f>360 / 86400</f>
        <v>4.1666666666666666E-3</v>
      </c>
      <c r="I872" t="s">
        <v>321</v>
      </c>
      <c r="J872" t="s">
        <v>200</v>
      </c>
      <c r="K872" s="5">
        <f>1590 / 86400</f>
        <v>1.8402777777777778E-2</v>
      </c>
      <c r="L872" s="5">
        <f>1296 / 86400</f>
        <v>1.4999999999999999E-2</v>
      </c>
    </row>
    <row r="873" spans="1:12" x14ac:dyDescent="0.25">
      <c r="A873" s="3">
        <v>45704.033402777779</v>
      </c>
      <c r="B873" t="s">
        <v>56</v>
      </c>
      <c r="C873" s="3">
        <v>45704.038726851853</v>
      </c>
      <c r="D873" t="s">
        <v>360</v>
      </c>
      <c r="E873" s="4">
        <v>1.2330000000000001</v>
      </c>
      <c r="F873" s="4">
        <v>41236.773000000001</v>
      </c>
      <c r="G873" s="4">
        <v>41238.006000000001</v>
      </c>
      <c r="H873" s="5">
        <f>150 / 86400</f>
        <v>1.736111111111111E-3</v>
      </c>
      <c r="I873" t="s">
        <v>132</v>
      </c>
      <c r="J873" t="s">
        <v>151</v>
      </c>
      <c r="K873" s="5">
        <f>460 / 86400</f>
        <v>5.324074074074074E-3</v>
      </c>
      <c r="L873" s="5">
        <f>18124 / 86400</f>
        <v>0.20976851851851852</v>
      </c>
    </row>
    <row r="874" spans="1:12" x14ac:dyDescent="0.25">
      <c r="A874" s="3">
        <v>45704.248495370368</v>
      </c>
      <c r="B874" t="s">
        <v>360</v>
      </c>
      <c r="C874" s="3">
        <v>45704.371782407412</v>
      </c>
      <c r="D874" t="s">
        <v>39</v>
      </c>
      <c r="E874" s="4">
        <v>62.771999999999998</v>
      </c>
      <c r="F874" s="4">
        <v>41238.006000000001</v>
      </c>
      <c r="G874" s="4">
        <v>41300.777999999998</v>
      </c>
      <c r="H874" s="5">
        <f>3540 / 86400</f>
        <v>4.0972222222222222E-2</v>
      </c>
      <c r="I874" t="s">
        <v>75</v>
      </c>
      <c r="J874" t="s">
        <v>23</v>
      </c>
      <c r="K874" s="5">
        <f>10652 / 86400</f>
        <v>0.12328703703703704</v>
      </c>
      <c r="L874" s="5">
        <f>2091 / 86400</f>
        <v>2.420138888888889E-2</v>
      </c>
    </row>
    <row r="875" spans="1:12" x14ac:dyDescent="0.25">
      <c r="A875" s="3">
        <v>45704.395983796298</v>
      </c>
      <c r="B875" t="s">
        <v>39</v>
      </c>
      <c r="C875" s="3">
        <v>45704.408935185187</v>
      </c>
      <c r="D875" t="s">
        <v>115</v>
      </c>
      <c r="E875" s="4">
        <v>2.1419999999999999</v>
      </c>
      <c r="F875" s="4">
        <v>41300.777999999998</v>
      </c>
      <c r="G875" s="4">
        <v>41302.92</v>
      </c>
      <c r="H875" s="5">
        <f>630 / 86400</f>
        <v>7.2916666666666668E-3</v>
      </c>
      <c r="I875" t="s">
        <v>192</v>
      </c>
      <c r="J875" t="s">
        <v>136</v>
      </c>
      <c r="K875" s="5">
        <f>1119 / 86400</f>
        <v>1.2951388888888889E-2</v>
      </c>
      <c r="L875" s="5">
        <f>1934 / 86400</f>
        <v>2.238425925925926E-2</v>
      </c>
    </row>
    <row r="876" spans="1:12" x14ac:dyDescent="0.25">
      <c r="A876" s="3">
        <v>45704.43131944444</v>
      </c>
      <c r="B876" t="s">
        <v>115</v>
      </c>
      <c r="C876" s="3">
        <v>45704.64298611111</v>
      </c>
      <c r="D876" t="s">
        <v>73</v>
      </c>
      <c r="E876" s="4">
        <v>106.91500000000001</v>
      </c>
      <c r="F876" s="4">
        <v>41302.92</v>
      </c>
      <c r="G876" s="4">
        <v>41409.834999999999</v>
      </c>
      <c r="H876" s="5">
        <f>5109 / 86400</f>
        <v>5.9131944444444445E-2</v>
      </c>
      <c r="I876" t="s">
        <v>75</v>
      </c>
      <c r="J876" t="s">
        <v>23</v>
      </c>
      <c r="K876" s="5">
        <f>18288 / 86400</f>
        <v>0.21166666666666667</v>
      </c>
      <c r="L876" s="5">
        <f>284 / 86400</f>
        <v>3.2870370370370371E-3</v>
      </c>
    </row>
    <row r="877" spans="1:12" x14ac:dyDescent="0.25">
      <c r="A877" s="3">
        <v>45704.646273148144</v>
      </c>
      <c r="B877" t="s">
        <v>73</v>
      </c>
      <c r="C877" s="3">
        <v>45704.64680555556</v>
      </c>
      <c r="D877" t="s">
        <v>73</v>
      </c>
      <c r="E877" s="4">
        <v>0.02</v>
      </c>
      <c r="F877" s="4">
        <v>41409.834999999999</v>
      </c>
      <c r="G877" s="4">
        <v>41409.855000000003</v>
      </c>
      <c r="H877" s="5">
        <f>0 / 86400</f>
        <v>0</v>
      </c>
      <c r="I877" t="s">
        <v>127</v>
      </c>
      <c r="J877" t="s">
        <v>129</v>
      </c>
      <c r="K877" s="5">
        <f>46 / 86400</f>
        <v>5.3240740740740744E-4</v>
      </c>
      <c r="L877" s="5">
        <f>1382 / 86400</f>
        <v>1.5995370370370372E-2</v>
      </c>
    </row>
    <row r="878" spans="1:12" x14ac:dyDescent="0.25">
      <c r="A878" s="3">
        <v>45704.662800925929</v>
      </c>
      <c r="B878" t="s">
        <v>73</v>
      </c>
      <c r="C878" s="3">
        <v>45704.995150462964</v>
      </c>
      <c r="D878" t="s">
        <v>95</v>
      </c>
      <c r="E878" s="4">
        <v>181.58600000000001</v>
      </c>
      <c r="F878" s="4">
        <v>41409.855000000003</v>
      </c>
      <c r="G878" s="4">
        <v>41591.440999999999</v>
      </c>
      <c r="H878" s="5">
        <f>7322 / 86400</f>
        <v>8.4745370370370374E-2</v>
      </c>
      <c r="I878" t="s">
        <v>96</v>
      </c>
      <c r="J878" t="s">
        <v>27</v>
      </c>
      <c r="K878" s="5">
        <f>28715 / 86400</f>
        <v>0.33234953703703701</v>
      </c>
      <c r="L878" s="5">
        <f>418 / 86400</f>
        <v>4.8379629629629632E-3</v>
      </c>
    </row>
    <row r="879" spans="1:1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s="10" customFormat="1" ht="20.100000000000001" customHeight="1" x14ac:dyDescent="0.35">
      <c r="A881" s="15" t="s">
        <v>419</v>
      </c>
      <c r="B881" s="15"/>
      <c r="C881" s="15"/>
      <c r="D881" s="15"/>
      <c r="E881" s="15"/>
      <c r="F881" s="15"/>
      <c r="G881" s="15"/>
      <c r="H881" s="15"/>
      <c r="I881" s="15"/>
      <c r="J881" s="15"/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ht="30" x14ac:dyDescent="0.25">
      <c r="A883" s="2" t="s">
        <v>6</v>
      </c>
      <c r="B883" s="2" t="s">
        <v>7</v>
      </c>
      <c r="C883" s="2" t="s">
        <v>8</v>
      </c>
      <c r="D883" s="2" t="s">
        <v>9</v>
      </c>
      <c r="E883" s="2" t="s">
        <v>10</v>
      </c>
      <c r="F883" s="2" t="s">
        <v>11</v>
      </c>
      <c r="G883" s="2" t="s">
        <v>12</v>
      </c>
      <c r="H883" s="2" t="s">
        <v>13</v>
      </c>
      <c r="I883" s="2" t="s">
        <v>14</v>
      </c>
      <c r="J883" s="2" t="s">
        <v>15</v>
      </c>
      <c r="K883" s="2" t="s">
        <v>16</v>
      </c>
      <c r="L883" s="2" t="s">
        <v>17</v>
      </c>
    </row>
    <row r="884" spans="1:12" x14ac:dyDescent="0.25">
      <c r="A884" s="3">
        <v>45704.385775462964</v>
      </c>
      <c r="B884" t="s">
        <v>97</v>
      </c>
      <c r="C884" s="3">
        <v>45704.458518518513</v>
      </c>
      <c r="D884" t="s">
        <v>45</v>
      </c>
      <c r="E884" s="4">
        <v>34.679000000000002</v>
      </c>
      <c r="F884" s="4">
        <v>192729.158</v>
      </c>
      <c r="G884" s="4">
        <v>192763.837</v>
      </c>
      <c r="H884" s="5">
        <f>1500 / 86400</f>
        <v>1.7361111111111112E-2</v>
      </c>
      <c r="I884" t="s">
        <v>156</v>
      </c>
      <c r="J884" t="s">
        <v>33</v>
      </c>
      <c r="K884" s="5">
        <f>6285 / 86400</f>
        <v>7.2743055555555561E-2</v>
      </c>
      <c r="L884" s="5">
        <f>35434 / 86400</f>
        <v>0.41011574074074075</v>
      </c>
    </row>
    <row r="885" spans="1:12" x14ac:dyDescent="0.25">
      <c r="A885" s="3">
        <v>45704.482858796298</v>
      </c>
      <c r="B885" t="s">
        <v>361</v>
      </c>
      <c r="C885" s="3">
        <v>45704.485277777778</v>
      </c>
      <c r="D885" t="s">
        <v>308</v>
      </c>
      <c r="E885" s="4">
        <v>0.83699999999999997</v>
      </c>
      <c r="F885" s="4">
        <v>192763.837</v>
      </c>
      <c r="G885" s="4">
        <v>192764.674</v>
      </c>
      <c r="H885" s="5">
        <f>0 / 86400</f>
        <v>0</v>
      </c>
      <c r="I885" t="s">
        <v>175</v>
      </c>
      <c r="J885" t="s">
        <v>158</v>
      </c>
      <c r="K885" s="5">
        <f>208 / 86400</f>
        <v>2.4074074074074076E-3</v>
      </c>
      <c r="L885" s="5">
        <f>1434 / 86400</f>
        <v>1.6597222222222222E-2</v>
      </c>
    </row>
    <row r="886" spans="1:12" x14ac:dyDescent="0.25">
      <c r="A886" s="3">
        <v>45704.501875000002</v>
      </c>
      <c r="B886" t="s">
        <v>308</v>
      </c>
      <c r="C886" s="3">
        <v>45704.502442129626</v>
      </c>
      <c r="D886" t="s">
        <v>115</v>
      </c>
      <c r="E886" s="4">
        <v>6.0999999999999999E-2</v>
      </c>
      <c r="F886" s="4">
        <v>192764.674</v>
      </c>
      <c r="G886" s="4">
        <v>192764.73499999999</v>
      </c>
      <c r="H886" s="5">
        <f>20 / 86400</f>
        <v>2.3148148148148149E-4</v>
      </c>
      <c r="I886" t="s">
        <v>119</v>
      </c>
      <c r="J886" t="s">
        <v>127</v>
      </c>
      <c r="K886" s="5">
        <f>48 / 86400</f>
        <v>5.5555555555555556E-4</v>
      </c>
      <c r="L886" s="5">
        <f>253 / 86400</f>
        <v>2.9282407407407408E-3</v>
      </c>
    </row>
    <row r="887" spans="1:12" x14ac:dyDescent="0.25">
      <c r="A887" s="3">
        <v>45704.505370370374</v>
      </c>
      <c r="B887" t="s">
        <v>115</v>
      </c>
      <c r="C887" s="3">
        <v>45704.607442129629</v>
      </c>
      <c r="D887" t="s">
        <v>298</v>
      </c>
      <c r="E887" s="4">
        <v>51.067999999999998</v>
      </c>
      <c r="F887" s="4">
        <v>192764.73499999999</v>
      </c>
      <c r="G887" s="4">
        <v>192815.80300000001</v>
      </c>
      <c r="H887" s="5">
        <f>2379 / 86400</f>
        <v>2.7534722222222221E-2</v>
      </c>
      <c r="I887" t="s">
        <v>43</v>
      </c>
      <c r="J887" t="s">
        <v>23</v>
      </c>
      <c r="K887" s="5">
        <f>8818 / 86400</f>
        <v>0.10206018518518518</v>
      </c>
      <c r="L887" s="5">
        <f>196 / 86400</f>
        <v>2.2685185185185187E-3</v>
      </c>
    </row>
    <row r="888" spans="1:12" x14ac:dyDescent="0.25">
      <c r="A888" s="3">
        <v>45704.609710648147</v>
      </c>
      <c r="B888" t="s">
        <v>298</v>
      </c>
      <c r="C888" s="3">
        <v>45704.712048611109</v>
      </c>
      <c r="D888" t="s">
        <v>355</v>
      </c>
      <c r="E888" s="4">
        <v>50.515000000000001</v>
      </c>
      <c r="F888" s="4">
        <v>192815.80300000001</v>
      </c>
      <c r="G888" s="4">
        <v>192866.318</v>
      </c>
      <c r="H888" s="5">
        <f>2199 / 86400</f>
        <v>2.5451388888888888E-2</v>
      </c>
      <c r="I888" t="s">
        <v>38</v>
      </c>
      <c r="J888" t="s">
        <v>23</v>
      </c>
      <c r="K888" s="5">
        <f>8841 / 86400</f>
        <v>0.10232638888888888</v>
      </c>
      <c r="L888" s="5">
        <f>164 / 86400</f>
        <v>1.8981481481481482E-3</v>
      </c>
    </row>
    <row r="889" spans="1:12" x14ac:dyDescent="0.25">
      <c r="A889" s="3">
        <v>45704.713946759264</v>
      </c>
      <c r="B889" t="s">
        <v>355</v>
      </c>
      <c r="C889" s="3">
        <v>45704.716307870374</v>
      </c>
      <c r="D889" t="s">
        <v>73</v>
      </c>
      <c r="E889" s="4">
        <v>0.71199999999999997</v>
      </c>
      <c r="F889" s="4">
        <v>192866.318</v>
      </c>
      <c r="G889" s="4">
        <v>192867.03</v>
      </c>
      <c r="H889" s="5">
        <f>60 / 86400</f>
        <v>6.9444444444444447E-4</v>
      </c>
      <c r="I889" t="s">
        <v>161</v>
      </c>
      <c r="J889" t="s">
        <v>86</v>
      </c>
      <c r="K889" s="5">
        <f>203 / 86400</f>
        <v>2.3495370370370371E-3</v>
      </c>
      <c r="L889" s="5">
        <f>550 / 86400</f>
        <v>6.3657407407407404E-3</v>
      </c>
    </row>
    <row r="890" spans="1:12" x14ac:dyDescent="0.25">
      <c r="A890" s="3">
        <v>45704.722673611112</v>
      </c>
      <c r="B890" t="s">
        <v>73</v>
      </c>
      <c r="C890" s="3">
        <v>45704.728946759264</v>
      </c>
      <c r="D890" t="s">
        <v>362</v>
      </c>
      <c r="E890" s="4">
        <v>3.4660000000000002</v>
      </c>
      <c r="F890" s="4">
        <v>192867.03</v>
      </c>
      <c r="G890" s="4">
        <v>192870.49600000001</v>
      </c>
      <c r="H890" s="5">
        <f>79 / 86400</f>
        <v>9.1435185185185185E-4</v>
      </c>
      <c r="I890" t="s">
        <v>184</v>
      </c>
      <c r="J890" t="s">
        <v>27</v>
      </c>
      <c r="K890" s="5">
        <f>542 / 86400</f>
        <v>6.2731481481481484E-3</v>
      </c>
      <c r="L890" s="5">
        <f>1467 / 86400</f>
        <v>1.6979166666666667E-2</v>
      </c>
    </row>
    <row r="891" spans="1:12" x14ac:dyDescent="0.25">
      <c r="A891" s="3">
        <v>45704.745925925927</v>
      </c>
      <c r="B891" t="s">
        <v>362</v>
      </c>
      <c r="C891" s="3">
        <v>45704.749583333338</v>
      </c>
      <c r="D891" t="s">
        <v>363</v>
      </c>
      <c r="E891" s="4">
        <v>0.80300000000000005</v>
      </c>
      <c r="F891" s="4">
        <v>192870.49600000001</v>
      </c>
      <c r="G891" s="4">
        <v>192871.299</v>
      </c>
      <c r="H891" s="5">
        <f>40 / 86400</f>
        <v>4.6296296296296298E-4</v>
      </c>
      <c r="I891" t="s">
        <v>159</v>
      </c>
      <c r="J891" t="s">
        <v>30</v>
      </c>
      <c r="K891" s="5">
        <f>316 / 86400</f>
        <v>3.6574074074074074E-3</v>
      </c>
      <c r="L891" s="5">
        <f>265 / 86400</f>
        <v>3.0671296296296297E-3</v>
      </c>
    </row>
    <row r="892" spans="1:12" x14ac:dyDescent="0.25">
      <c r="A892" s="3">
        <v>45704.752650462964</v>
      </c>
      <c r="B892" t="s">
        <v>363</v>
      </c>
      <c r="C892" s="3">
        <v>45704.889212962968</v>
      </c>
      <c r="D892" t="s">
        <v>131</v>
      </c>
      <c r="E892" s="4">
        <v>66.128</v>
      </c>
      <c r="F892" s="4">
        <v>192871.299</v>
      </c>
      <c r="G892" s="4">
        <v>192937.427</v>
      </c>
      <c r="H892" s="5">
        <f>3261 / 86400</f>
        <v>3.7743055555555557E-2</v>
      </c>
      <c r="I892" t="s">
        <v>321</v>
      </c>
      <c r="J892" t="s">
        <v>33</v>
      </c>
      <c r="K892" s="5">
        <f>11799 / 86400</f>
        <v>0.1365625</v>
      </c>
      <c r="L892" s="5">
        <f>575 / 86400</f>
        <v>6.6550925925925927E-3</v>
      </c>
    </row>
    <row r="893" spans="1:12" x14ac:dyDescent="0.25">
      <c r="A893" s="3">
        <v>45704.895868055552</v>
      </c>
      <c r="B893" t="s">
        <v>364</v>
      </c>
      <c r="C893" s="3">
        <v>45704.901238425926</v>
      </c>
      <c r="D893" t="s">
        <v>97</v>
      </c>
      <c r="E893" s="4">
        <v>1.738</v>
      </c>
      <c r="F893" s="4">
        <v>192937.427</v>
      </c>
      <c r="G893" s="4">
        <v>192939.16500000001</v>
      </c>
      <c r="H893" s="5">
        <f>80 / 86400</f>
        <v>9.2592592592592596E-4</v>
      </c>
      <c r="I893" t="s">
        <v>200</v>
      </c>
      <c r="J893" t="s">
        <v>86</v>
      </c>
      <c r="K893" s="5">
        <f>464 / 86400</f>
        <v>5.37037037037037E-3</v>
      </c>
      <c r="L893" s="5">
        <f>366 / 86400</f>
        <v>4.2361111111111115E-3</v>
      </c>
    </row>
    <row r="894" spans="1:12" x14ac:dyDescent="0.25">
      <c r="A894" s="3">
        <v>45704.905474537038</v>
      </c>
      <c r="B894" t="s">
        <v>97</v>
      </c>
      <c r="C894" s="3">
        <v>45704.906412037039</v>
      </c>
      <c r="D894" t="s">
        <v>97</v>
      </c>
      <c r="E894" s="4">
        <v>0.123</v>
      </c>
      <c r="F894" s="4">
        <v>192939.16500000001</v>
      </c>
      <c r="G894" s="4">
        <v>192939.288</v>
      </c>
      <c r="H894" s="5">
        <f>19 / 86400</f>
        <v>2.199074074074074E-4</v>
      </c>
      <c r="I894" t="s">
        <v>151</v>
      </c>
      <c r="J894" t="s">
        <v>88</v>
      </c>
      <c r="K894" s="5">
        <f>80 / 86400</f>
        <v>9.2592592592592596E-4</v>
      </c>
      <c r="L894" s="5">
        <f>8085 / 86400</f>
        <v>9.357638888888889E-2</v>
      </c>
    </row>
    <row r="895" spans="1:1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</row>
    <row r="897" spans="1:12" s="10" customFormat="1" ht="20.100000000000001" customHeight="1" x14ac:dyDescent="0.35">
      <c r="A897" s="15" t="s">
        <v>420</v>
      </c>
      <c r="B897" s="15"/>
      <c r="C897" s="15"/>
      <c r="D897" s="15"/>
      <c r="E897" s="15"/>
      <c r="F897" s="15"/>
      <c r="G897" s="15"/>
      <c r="H897" s="15"/>
      <c r="I897" s="15"/>
      <c r="J897" s="15"/>
    </row>
    <row r="898" spans="1:1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</row>
    <row r="899" spans="1:12" ht="30" x14ac:dyDescent="0.25">
      <c r="A899" s="2" t="s">
        <v>6</v>
      </c>
      <c r="B899" s="2" t="s">
        <v>7</v>
      </c>
      <c r="C899" s="2" t="s">
        <v>8</v>
      </c>
      <c r="D899" s="2" t="s">
        <v>9</v>
      </c>
      <c r="E899" s="2" t="s">
        <v>10</v>
      </c>
      <c r="F899" s="2" t="s">
        <v>11</v>
      </c>
      <c r="G899" s="2" t="s">
        <v>12</v>
      </c>
      <c r="H899" s="2" t="s">
        <v>13</v>
      </c>
      <c r="I899" s="2" t="s">
        <v>14</v>
      </c>
      <c r="J899" s="2" t="s">
        <v>15</v>
      </c>
      <c r="K899" s="2" t="s">
        <v>16</v>
      </c>
      <c r="L899" s="2" t="s">
        <v>17</v>
      </c>
    </row>
    <row r="900" spans="1:12" x14ac:dyDescent="0.25">
      <c r="A900" s="3">
        <v>45704.272673611107</v>
      </c>
      <c r="B900" t="s">
        <v>80</v>
      </c>
      <c r="C900" s="3">
        <v>45704.280104166668</v>
      </c>
      <c r="D900" t="s">
        <v>45</v>
      </c>
      <c r="E900" s="4">
        <v>1.4590000000000001</v>
      </c>
      <c r="F900" s="4">
        <v>523628.68099999998</v>
      </c>
      <c r="G900" s="4">
        <v>523630.14</v>
      </c>
      <c r="H900" s="5">
        <f>259 / 86400</f>
        <v>2.9976851851851853E-3</v>
      </c>
      <c r="I900" t="s">
        <v>200</v>
      </c>
      <c r="J900" t="s">
        <v>119</v>
      </c>
      <c r="K900" s="5">
        <f>642 / 86400</f>
        <v>7.4305555555555557E-3</v>
      </c>
      <c r="L900" s="5">
        <f>24248 / 86400</f>
        <v>0.28064814814814815</v>
      </c>
    </row>
    <row r="901" spans="1:12" x14ac:dyDescent="0.25">
      <c r="A901" s="3">
        <v>45704.288078703699</v>
      </c>
      <c r="B901" t="s">
        <v>45</v>
      </c>
      <c r="C901" s="3">
        <v>45704.289849537032</v>
      </c>
      <c r="D901" t="s">
        <v>74</v>
      </c>
      <c r="E901" s="4">
        <v>0.51600000000000001</v>
      </c>
      <c r="F901" s="4">
        <v>523630.14</v>
      </c>
      <c r="G901" s="4">
        <v>523630.65600000002</v>
      </c>
      <c r="H901" s="5">
        <f>0 / 86400</f>
        <v>0</v>
      </c>
      <c r="I901" t="s">
        <v>29</v>
      </c>
      <c r="J901" t="s">
        <v>165</v>
      </c>
      <c r="K901" s="5">
        <f>152 / 86400</f>
        <v>1.7592592592592592E-3</v>
      </c>
      <c r="L901" s="5">
        <f>1637 / 86400</f>
        <v>1.894675925925926E-2</v>
      </c>
    </row>
    <row r="902" spans="1:12" x14ac:dyDescent="0.25">
      <c r="A902" s="3">
        <v>45704.308796296296</v>
      </c>
      <c r="B902" t="s">
        <v>74</v>
      </c>
      <c r="C902" s="3">
        <v>45704.551759259259</v>
      </c>
      <c r="D902" t="s">
        <v>39</v>
      </c>
      <c r="E902" s="4">
        <v>103.46</v>
      </c>
      <c r="F902" s="4">
        <v>523630.65600000002</v>
      </c>
      <c r="G902" s="4">
        <v>523734.11599999998</v>
      </c>
      <c r="H902" s="5">
        <f>7460 / 86400</f>
        <v>8.6342592592592596E-2</v>
      </c>
      <c r="I902" t="s">
        <v>91</v>
      </c>
      <c r="J902" t="s">
        <v>51</v>
      </c>
      <c r="K902" s="5">
        <f>20992 / 86400</f>
        <v>0.24296296296296296</v>
      </c>
      <c r="L902" s="5">
        <f>1641 / 86400</f>
        <v>1.8993055555555555E-2</v>
      </c>
    </row>
    <row r="903" spans="1:12" x14ac:dyDescent="0.25">
      <c r="A903" s="3">
        <v>45704.570752314816</v>
      </c>
      <c r="B903" t="s">
        <v>39</v>
      </c>
      <c r="C903" s="3">
        <v>45704.571724537032</v>
      </c>
      <c r="D903" t="s">
        <v>297</v>
      </c>
      <c r="E903" s="4">
        <v>7.0999999999999994E-2</v>
      </c>
      <c r="F903" s="4">
        <v>523734.11599999998</v>
      </c>
      <c r="G903" s="4">
        <v>523734.18699999998</v>
      </c>
      <c r="H903" s="5">
        <f>19 / 86400</f>
        <v>2.199074074074074E-4</v>
      </c>
      <c r="I903" t="s">
        <v>136</v>
      </c>
      <c r="J903" t="s">
        <v>87</v>
      </c>
      <c r="K903" s="5">
        <f>84 / 86400</f>
        <v>9.7222222222222219E-4</v>
      </c>
      <c r="L903" s="5">
        <f>187 / 86400</f>
        <v>2.1643518518518518E-3</v>
      </c>
    </row>
    <row r="904" spans="1:12" x14ac:dyDescent="0.25">
      <c r="A904" s="3">
        <v>45704.573888888888</v>
      </c>
      <c r="B904" t="s">
        <v>297</v>
      </c>
      <c r="C904" s="3">
        <v>45704.575312500005</v>
      </c>
      <c r="D904" t="s">
        <v>74</v>
      </c>
      <c r="E904" s="4">
        <v>0.54700000000000004</v>
      </c>
      <c r="F904" s="4">
        <v>523734.18699999998</v>
      </c>
      <c r="G904" s="4">
        <v>523734.734</v>
      </c>
      <c r="H904" s="5">
        <f>40 / 86400</f>
        <v>4.6296296296296298E-4</v>
      </c>
      <c r="I904" t="s">
        <v>192</v>
      </c>
      <c r="J904" t="s">
        <v>133</v>
      </c>
      <c r="K904" s="5">
        <f>123 / 86400</f>
        <v>1.4236111111111112E-3</v>
      </c>
      <c r="L904" s="5">
        <f>327 / 86400</f>
        <v>3.7847222222222223E-3</v>
      </c>
    </row>
    <row r="905" spans="1:12" x14ac:dyDescent="0.25">
      <c r="A905" s="3">
        <v>45704.579097222224</v>
      </c>
      <c r="B905" t="s">
        <v>74</v>
      </c>
      <c r="C905" s="3">
        <v>45704.79011574074</v>
      </c>
      <c r="D905" t="s">
        <v>74</v>
      </c>
      <c r="E905" s="4">
        <v>99.99</v>
      </c>
      <c r="F905" s="4">
        <v>523734.734</v>
      </c>
      <c r="G905" s="4">
        <v>523834.72399999999</v>
      </c>
      <c r="H905" s="5">
        <f>5759 / 86400</f>
        <v>6.6655092592592599E-2</v>
      </c>
      <c r="I905" t="s">
        <v>53</v>
      </c>
      <c r="J905" t="s">
        <v>33</v>
      </c>
      <c r="K905" s="5">
        <f>18232 / 86400</f>
        <v>0.21101851851851852</v>
      </c>
      <c r="L905" s="5">
        <f>1454 / 86400</f>
        <v>1.6828703703703703E-2</v>
      </c>
    </row>
    <row r="906" spans="1:12" x14ac:dyDescent="0.25">
      <c r="A906" s="3">
        <v>45704.806944444441</v>
      </c>
      <c r="B906" t="s">
        <v>74</v>
      </c>
      <c r="C906" s="3">
        <v>45704.807962962965</v>
      </c>
      <c r="D906" t="s">
        <v>120</v>
      </c>
      <c r="E906" s="4">
        <v>4.9000000000000002E-2</v>
      </c>
      <c r="F906" s="4">
        <v>523834.72399999999</v>
      </c>
      <c r="G906" s="4">
        <v>523834.77299999999</v>
      </c>
      <c r="H906" s="5">
        <f>59 / 86400</f>
        <v>6.8287037037037036E-4</v>
      </c>
      <c r="I906" t="s">
        <v>151</v>
      </c>
      <c r="J906" t="s">
        <v>129</v>
      </c>
      <c r="K906" s="5">
        <f>88 / 86400</f>
        <v>1.0185185185185184E-3</v>
      </c>
      <c r="L906" s="5">
        <f>1567 / 86400</f>
        <v>1.8136574074074076E-2</v>
      </c>
    </row>
    <row r="907" spans="1:12" x14ac:dyDescent="0.25">
      <c r="A907" s="3">
        <v>45704.826099537036</v>
      </c>
      <c r="B907" t="s">
        <v>120</v>
      </c>
      <c r="C907" s="3">
        <v>45704.826458333337</v>
      </c>
      <c r="D907" t="s">
        <v>120</v>
      </c>
      <c r="E907" s="4">
        <v>0.05</v>
      </c>
      <c r="F907" s="4">
        <v>523834.77299999999</v>
      </c>
      <c r="G907" s="4">
        <v>523834.82299999997</v>
      </c>
      <c r="H907" s="5">
        <f>0 / 86400</f>
        <v>0</v>
      </c>
      <c r="I907" t="s">
        <v>143</v>
      </c>
      <c r="J907" t="s">
        <v>88</v>
      </c>
      <c r="K907" s="5">
        <f>30 / 86400</f>
        <v>3.4722222222222224E-4</v>
      </c>
      <c r="L907" s="5">
        <f>139 / 86400</f>
        <v>1.6087962962962963E-3</v>
      </c>
    </row>
    <row r="908" spans="1:12" x14ac:dyDescent="0.25">
      <c r="A908" s="3">
        <v>45704.828067129631</v>
      </c>
      <c r="B908" t="s">
        <v>120</v>
      </c>
      <c r="C908" s="3">
        <v>45704.830104166671</v>
      </c>
      <c r="D908" t="s">
        <v>80</v>
      </c>
      <c r="E908" s="4">
        <v>0.153</v>
      </c>
      <c r="F908" s="4">
        <v>523834.82299999997</v>
      </c>
      <c r="G908" s="4">
        <v>523834.97600000002</v>
      </c>
      <c r="H908" s="5">
        <f>79 / 86400</f>
        <v>9.1435185185185185E-4</v>
      </c>
      <c r="I908" t="s">
        <v>158</v>
      </c>
      <c r="J908" t="s">
        <v>87</v>
      </c>
      <c r="K908" s="5">
        <f>175 / 86400</f>
        <v>2.0254629629629629E-3</v>
      </c>
      <c r="L908" s="5">
        <f>14678 / 86400</f>
        <v>0.16988425925925926</v>
      </c>
    </row>
    <row r="909" spans="1:1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</row>
    <row r="910" spans="1:1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</row>
    <row r="911" spans="1:12" s="10" customFormat="1" ht="20.100000000000001" customHeight="1" x14ac:dyDescent="0.35">
      <c r="A911" s="15" t="s">
        <v>421</v>
      </c>
      <c r="B911" s="15"/>
      <c r="C911" s="15"/>
      <c r="D911" s="15"/>
      <c r="E911" s="15"/>
      <c r="F911" s="15"/>
      <c r="G911" s="15"/>
      <c r="H911" s="15"/>
      <c r="I911" s="15"/>
      <c r="J911" s="15"/>
    </row>
    <row r="912" spans="1:1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 spans="1:12" ht="30" x14ac:dyDescent="0.25">
      <c r="A913" s="2" t="s">
        <v>6</v>
      </c>
      <c r="B913" s="2" t="s">
        <v>7</v>
      </c>
      <c r="C913" s="2" t="s">
        <v>8</v>
      </c>
      <c r="D913" s="2" t="s">
        <v>9</v>
      </c>
      <c r="E913" s="2" t="s">
        <v>10</v>
      </c>
      <c r="F913" s="2" t="s">
        <v>11</v>
      </c>
      <c r="G913" s="2" t="s">
        <v>12</v>
      </c>
      <c r="H913" s="2" t="s">
        <v>13</v>
      </c>
      <c r="I913" s="2" t="s">
        <v>14</v>
      </c>
      <c r="J913" s="2" t="s">
        <v>15</v>
      </c>
      <c r="K913" s="2" t="s">
        <v>16</v>
      </c>
      <c r="L913" s="2" t="s">
        <v>17</v>
      </c>
    </row>
    <row r="914" spans="1:12" x14ac:dyDescent="0.25">
      <c r="A914" s="3">
        <v>45704.265960648147</v>
      </c>
      <c r="B914" t="s">
        <v>98</v>
      </c>
      <c r="C914" s="3">
        <v>45704.269733796296</v>
      </c>
      <c r="D914" t="s">
        <v>74</v>
      </c>
      <c r="E914" s="4">
        <v>0.93300000000000005</v>
      </c>
      <c r="F914" s="4">
        <v>23408.991000000002</v>
      </c>
      <c r="G914" s="4">
        <v>23409.923999999999</v>
      </c>
      <c r="H914" s="5">
        <f>79 / 86400</f>
        <v>9.1435185185185185E-4</v>
      </c>
      <c r="I914" t="s">
        <v>170</v>
      </c>
      <c r="J914" t="s">
        <v>151</v>
      </c>
      <c r="K914" s="5">
        <f>325 / 86400</f>
        <v>3.7615740740740739E-3</v>
      </c>
      <c r="L914" s="5">
        <f>26237 / 86400</f>
        <v>0.30366898148148147</v>
      </c>
    </row>
    <row r="915" spans="1:12" x14ac:dyDescent="0.25">
      <c r="A915" s="3">
        <v>45704.307442129633</v>
      </c>
      <c r="B915" t="s">
        <v>74</v>
      </c>
      <c r="C915" s="3">
        <v>45704.312349537038</v>
      </c>
      <c r="D915" t="s">
        <v>81</v>
      </c>
      <c r="E915" s="4">
        <v>0.67200000000000004</v>
      </c>
      <c r="F915" s="4">
        <v>23409.923999999999</v>
      </c>
      <c r="G915" s="4">
        <v>23410.596000000001</v>
      </c>
      <c r="H915" s="5">
        <f>279 / 86400</f>
        <v>3.2291666666666666E-3</v>
      </c>
      <c r="I915" t="s">
        <v>35</v>
      </c>
      <c r="J915" t="s">
        <v>88</v>
      </c>
      <c r="K915" s="5">
        <f>423 / 86400</f>
        <v>4.8958333333333336E-3</v>
      </c>
      <c r="L915" s="5">
        <f>749 / 86400</f>
        <v>8.6689814814814806E-3</v>
      </c>
    </row>
    <row r="916" spans="1:12" x14ac:dyDescent="0.25">
      <c r="A916" s="3">
        <v>45704.321018518516</v>
      </c>
      <c r="B916" t="s">
        <v>81</v>
      </c>
      <c r="C916" s="3">
        <v>45704.438391203701</v>
      </c>
      <c r="D916" t="s">
        <v>365</v>
      </c>
      <c r="E916" s="4">
        <v>49.195</v>
      </c>
      <c r="F916" s="4">
        <v>23410.596000000001</v>
      </c>
      <c r="G916" s="4">
        <v>23459.791000000001</v>
      </c>
      <c r="H916" s="5">
        <f>3300 / 86400</f>
        <v>3.8194444444444448E-2</v>
      </c>
      <c r="I916" t="s">
        <v>99</v>
      </c>
      <c r="J916" t="s">
        <v>48</v>
      </c>
      <c r="K916" s="5">
        <f>10140 / 86400</f>
        <v>0.11736111111111111</v>
      </c>
      <c r="L916" s="5">
        <f>311 / 86400</f>
        <v>3.5995370370370369E-3</v>
      </c>
    </row>
    <row r="917" spans="1:12" x14ac:dyDescent="0.25">
      <c r="A917" s="3">
        <v>45704.441990740743</v>
      </c>
      <c r="B917" t="s">
        <v>365</v>
      </c>
      <c r="C917" s="3">
        <v>45704.571087962962</v>
      </c>
      <c r="D917" t="s">
        <v>115</v>
      </c>
      <c r="E917" s="4">
        <v>51.488999999999997</v>
      </c>
      <c r="F917" s="4">
        <v>23459.791000000001</v>
      </c>
      <c r="G917" s="4">
        <v>23511.279999999999</v>
      </c>
      <c r="H917" s="5">
        <f>3280 / 86400</f>
        <v>3.7962962962962962E-2</v>
      </c>
      <c r="I917" t="s">
        <v>124</v>
      </c>
      <c r="J917" t="s">
        <v>48</v>
      </c>
      <c r="K917" s="5">
        <f>11154 / 86400</f>
        <v>0.12909722222222222</v>
      </c>
      <c r="L917" s="5">
        <f>511 / 86400</f>
        <v>5.9143518518518521E-3</v>
      </c>
    </row>
    <row r="918" spans="1:12" x14ac:dyDescent="0.25">
      <c r="A918" s="3">
        <v>45704.577002314814</v>
      </c>
      <c r="B918" t="s">
        <v>115</v>
      </c>
      <c r="C918" s="3">
        <v>45704.57849537037</v>
      </c>
      <c r="D918" t="s">
        <v>366</v>
      </c>
      <c r="E918" s="4">
        <v>0.36799999999999999</v>
      </c>
      <c r="F918" s="4">
        <v>23511.279999999999</v>
      </c>
      <c r="G918" s="4">
        <v>23511.648000000001</v>
      </c>
      <c r="H918" s="5">
        <f>0 / 86400</f>
        <v>0</v>
      </c>
      <c r="I918" t="s">
        <v>279</v>
      </c>
      <c r="J918" t="s">
        <v>151</v>
      </c>
      <c r="K918" s="5">
        <f>129 / 86400</f>
        <v>1.4930555555555556E-3</v>
      </c>
      <c r="L918" s="5">
        <f>738 / 86400</f>
        <v>8.5416666666666662E-3</v>
      </c>
    </row>
    <row r="919" spans="1:12" x14ac:dyDescent="0.25">
      <c r="A919" s="3">
        <v>45704.587037037039</v>
      </c>
      <c r="B919" t="s">
        <v>366</v>
      </c>
      <c r="C919" s="3">
        <v>45704.590011574073</v>
      </c>
      <c r="D919" t="s">
        <v>39</v>
      </c>
      <c r="E919" s="4">
        <v>0.82899999999999996</v>
      </c>
      <c r="F919" s="4">
        <v>23511.648000000001</v>
      </c>
      <c r="G919" s="4">
        <v>23512.476999999999</v>
      </c>
      <c r="H919" s="5">
        <f>20 / 86400</f>
        <v>2.3148148148148149E-4</v>
      </c>
      <c r="I919" t="s">
        <v>33</v>
      </c>
      <c r="J919" t="s">
        <v>165</v>
      </c>
      <c r="K919" s="5">
        <f>257 / 86400</f>
        <v>2.9745370370370373E-3</v>
      </c>
      <c r="L919" s="5">
        <f>86 / 86400</f>
        <v>9.9537037037037042E-4</v>
      </c>
    </row>
    <row r="920" spans="1:12" x14ac:dyDescent="0.25">
      <c r="A920" s="3">
        <v>45704.591006944444</v>
      </c>
      <c r="B920" t="s">
        <v>39</v>
      </c>
      <c r="C920" s="3">
        <v>45704.591134259259</v>
      </c>
      <c r="D920" t="s">
        <v>39</v>
      </c>
      <c r="E920" s="4">
        <v>6.0000000000000001E-3</v>
      </c>
      <c r="F920" s="4">
        <v>23512.476999999999</v>
      </c>
      <c r="G920" s="4">
        <v>23512.483</v>
      </c>
      <c r="H920" s="5">
        <f>0 / 86400</f>
        <v>0</v>
      </c>
      <c r="I920" t="s">
        <v>55</v>
      </c>
      <c r="J920" t="s">
        <v>129</v>
      </c>
      <c r="K920" s="5">
        <f>11 / 86400</f>
        <v>1.273148148148148E-4</v>
      </c>
      <c r="L920" s="5">
        <f>1567 / 86400</f>
        <v>1.8136574074074076E-2</v>
      </c>
    </row>
    <row r="921" spans="1:12" x14ac:dyDescent="0.25">
      <c r="A921" s="3">
        <v>45704.609270833331</v>
      </c>
      <c r="B921" t="s">
        <v>39</v>
      </c>
      <c r="C921" s="3">
        <v>45704.818229166667</v>
      </c>
      <c r="D921" t="s">
        <v>355</v>
      </c>
      <c r="E921" s="4">
        <v>94.936999999999998</v>
      </c>
      <c r="F921" s="4">
        <v>23512.483</v>
      </c>
      <c r="G921" s="4">
        <v>23607.42</v>
      </c>
      <c r="H921" s="5">
        <f>4580 / 86400</f>
        <v>5.3009259259259256E-2</v>
      </c>
      <c r="I921" t="s">
        <v>317</v>
      </c>
      <c r="J921" t="s">
        <v>44</v>
      </c>
      <c r="K921" s="5">
        <f>18054 / 86400</f>
        <v>0.20895833333333333</v>
      </c>
      <c r="L921" s="5">
        <f>756 / 86400</f>
        <v>8.7500000000000008E-3</v>
      </c>
    </row>
    <row r="922" spans="1:12" x14ac:dyDescent="0.25">
      <c r="A922" s="3">
        <v>45704.826979166668</v>
      </c>
      <c r="B922" t="s">
        <v>355</v>
      </c>
      <c r="C922" s="3">
        <v>45704.828935185185</v>
      </c>
      <c r="D922" t="s">
        <v>73</v>
      </c>
      <c r="E922" s="4">
        <v>0.70699999999999996</v>
      </c>
      <c r="F922" s="4">
        <v>23607.42</v>
      </c>
      <c r="G922" s="4">
        <v>23608.127</v>
      </c>
      <c r="H922" s="5">
        <f>19 / 86400</f>
        <v>2.199074074074074E-4</v>
      </c>
      <c r="I922" t="s">
        <v>132</v>
      </c>
      <c r="J922" t="s">
        <v>279</v>
      </c>
      <c r="K922" s="5">
        <f>169 / 86400</f>
        <v>1.9560185185185184E-3</v>
      </c>
      <c r="L922" s="5">
        <f>396 / 86400</f>
        <v>4.5833333333333334E-3</v>
      </c>
    </row>
    <row r="923" spans="1:12" x14ac:dyDescent="0.25">
      <c r="A923" s="3">
        <v>45704.833518518513</v>
      </c>
      <c r="B923" t="s">
        <v>73</v>
      </c>
      <c r="C923" s="3">
        <v>45704.835983796293</v>
      </c>
      <c r="D923" t="s">
        <v>98</v>
      </c>
      <c r="E923" s="4">
        <v>0.747</v>
      </c>
      <c r="F923" s="4">
        <v>23608.127</v>
      </c>
      <c r="G923" s="4">
        <v>23608.874</v>
      </c>
      <c r="H923" s="5">
        <f>20 / 86400</f>
        <v>2.3148148148148149E-4</v>
      </c>
      <c r="I923" t="s">
        <v>116</v>
      </c>
      <c r="J923" t="s">
        <v>86</v>
      </c>
      <c r="K923" s="5">
        <f>213 / 86400</f>
        <v>2.4652777777777776E-3</v>
      </c>
      <c r="L923" s="5">
        <f>14170 / 86400</f>
        <v>0.16400462962962964</v>
      </c>
    </row>
    <row r="924" spans="1:1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</row>
    <row r="925" spans="1:1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</row>
    <row r="926" spans="1:12" s="10" customFormat="1" ht="20.100000000000001" customHeight="1" x14ac:dyDescent="0.35">
      <c r="A926" s="15" t="s">
        <v>422</v>
      </c>
      <c r="B926" s="15"/>
      <c r="C926" s="15"/>
      <c r="D926" s="15"/>
      <c r="E926" s="15"/>
      <c r="F926" s="15"/>
      <c r="G926" s="15"/>
      <c r="H926" s="15"/>
      <c r="I926" s="15"/>
      <c r="J926" s="15"/>
    </row>
    <row r="927" spans="1:1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</row>
    <row r="928" spans="1:12" ht="30" x14ac:dyDescent="0.25">
      <c r="A928" s="2" t="s">
        <v>6</v>
      </c>
      <c r="B928" s="2" t="s">
        <v>7</v>
      </c>
      <c r="C928" s="2" t="s">
        <v>8</v>
      </c>
      <c r="D928" s="2" t="s">
        <v>9</v>
      </c>
      <c r="E928" s="2" t="s">
        <v>10</v>
      </c>
      <c r="F928" s="2" t="s">
        <v>11</v>
      </c>
      <c r="G928" s="2" t="s">
        <v>12</v>
      </c>
      <c r="H928" s="2" t="s">
        <v>13</v>
      </c>
      <c r="I928" s="2" t="s">
        <v>14</v>
      </c>
      <c r="J928" s="2" t="s">
        <v>15</v>
      </c>
      <c r="K928" s="2" t="s">
        <v>16</v>
      </c>
      <c r="L928" s="2" t="s">
        <v>17</v>
      </c>
    </row>
    <row r="929" spans="1:12" x14ac:dyDescent="0.25">
      <c r="A929" s="3">
        <v>45704.278587962966</v>
      </c>
      <c r="B929" t="s">
        <v>100</v>
      </c>
      <c r="C929" s="3">
        <v>45704.278865740736</v>
      </c>
      <c r="D929" t="s">
        <v>100</v>
      </c>
      <c r="E929" s="4">
        <v>0</v>
      </c>
      <c r="F929" s="4">
        <v>5617.1850000000004</v>
      </c>
      <c r="G929" s="4">
        <v>5617.1850000000004</v>
      </c>
      <c r="H929" s="5">
        <f>19 / 86400</f>
        <v>2.199074074074074E-4</v>
      </c>
      <c r="I929" t="s">
        <v>55</v>
      </c>
      <c r="J929" t="s">
        <v>55</v>
      </c>
      <c r="K929" s="5">
        <f>23 / 86400</f>
        <v>2.6620370370370372E-4</v>
      </c>
      <c r="L929" s="5">
        <f>24071 / 86400</f>
        <v>0.27859953703703705</v>
      </c>
    </row>
    <row r="930" spans="1:12" x14ac:dyDescent="0.25">
      <c r="A930" s="3">
        <v>45704.278877314813</v>
      </c>
      <c r="B930" t="s">
        <v>100</v>
      </c>
      <c r="C930" s="3">
        <v>45704.278912037036</v>
      </c>
      <c r="D930" t="s">
        <v>100</v>
      </c>
      <c r="E930" s="4">
        <v>0</v>
      </c>
      <c r="F930" s="4">
        <v>5617.1850000000004</v>
      </c>
      <c r="G930" s="4">
        <v>5617.1850000000004</v>
      </c>
      <c r="H930" s="5">
        <f>0 / 86400</f>
        <v>0</v>
      </c>
      <c r="I930" t="s">
        <v>55</v>
      </c>
      <c r="J930" t="s">
        <v>55</v>
      </c>
      <c r="K930" s="5">
        <f>3 / 86400</f>
        <v>3.4722222222222222E-5</v>
      </c>
      <c r="L930" s="5">
        <f>4 / 86400</f>
        <v>4.6296296296296294E-5</v>
      </c>
    </row>
    <row r="931" spans="1:12" x14ac:dyDescent="0.25">
      <c r="A931" s="3">
        <v>45704.278958333336</v>
      </c>
      <c r="B931" t="s">
        <v>100</v>
      </c>
      <c r="C931" s="3">
        <v>45704.279004629629</v>
      </c>
      <c r="D931" t="s">
        <v>100</v>
      </c>
      <c r="E931" s="4">
        <v>0</v>
      </c>
      <c r="F931" s="4">
        <v>5617.1850000000004</v>
      </c>
      <c r="G931" s="4">
        <v>5617.1850000000004</v>
      </c>
      <c r="H931" s="5">
        <f>0 / 86400</f>
        <v>0</v>
      </c>
      <c r="I931" t="s">
        <v>55</v>
      </c>
      <c r="J931" t="s">
        <v>55</v>
      </c>
      <c r="K931" s="5">
        <f>4 / 86400</f>
        <v>4.6296296296296294E-5</v>
      </c>
      <c r="L931" s="5">
        <f>1 / 86400</f>
        <v>1.1574074074074073E-5</v>
      </c>
    </row>
    <row r="932" spans="1:12" x14ac:dyDescent="0.25">
      <c r="A932" s="3">
        <v>45704.279016203705</v>
      </c>
      <c r="B932" t="s">
        <v>100</v>
      </c>
      <c r="C932" s="3">
        <v>45704.27924768519</v>
      </c>
      <c r="D932" t="s">
        <v>100</v>
      </c>
      <c r="E932" s="4">
        <v>0</v>
      </c>
      <c r="F932" s="4">
        <v>5617.1850000000004</v>
      </c>
      <c r="G932" s="4">
        <v>5617.1850000000004</v>
      </c>
      <c r="H932" s="5">
        <f>3 / 86400</f>
        <v>3.4722222222222222E-5</v>
      </c>
      <c r="I932" t="s">
        <v>55</v>
      </c>
      <c r="J932" t="s">
        <v>55</v>
      </c>
      <c r="K932" s="5">
        <f>20 / 86400</f>
        <v>2.3148148148148149E-4</v>
      </c>
      <c r="L932" s="5">
        <f>9 / 86400</f>
        <v>1.0416666666666667E-4</v>
      </c>
    </row>
    <row r="933" spans="1:12" x14ac:dyDescent="0.25">
      <c r="A933" s="3">
        <v>45704.279351851852</v>
      </c>
      <c r="B933" t="s">
        <v>100</v>
      </c>
      <c r="C933" s="3">
        <v>45704.279444444444</v>
      </c>
      <c r="D933" t="s">
        <v>100</v>
      </c>
      <c r="E933" s="4">
        <v>0</v>
      </c>
      <c r="F933" s="4">
        <v>5617.1850000000004</v>
      </c>
      <c r="G933" s="4">
        <v>5617.1850000000004</v>
      </c>
      <c r="H933" s="5">
        <f>0 / 86400</f>
        <v>0</v>
      </c>
      <c r="I933" t="s">
        <v>55</v>
      </c>
      <c r="J933" t="s">
        <v>55</v>
      </c>
      <c r="K933" s="5">
        <f>8 / 86400</f>
        <v>9.2592592592592588E-5</v>
      </c>
      <c r="L933" s="5">
        <f>17 / 86400</f>
        <v>1.9675925925925926E-4</v>
      </c>
    </row>
    <row r="934" spans="1:12" x14ac:dyDescent="0.25">
      <c r="A934" s="3">
        <v>45704.279641203699</v>
      </c>
      <c r="B934" t="s">
        <v>100</v>
      </c>
      <c r="C934" s="3">
        <v>45704.279814814814</v>
      </c>
      <c r="D934" t="s">
        <v>100</v>
      </c>
      <c r="E934" s="4">
        <v>0</v>
      </c>
      <c r="F934" s="4">
        <v>5617.1850000000004</v>
      </c>
      <c r="G934" s="4">
        <v>5617.1850000000004</v>
      </c>
      <c r="H934" s="5">
        <f>0 / 86400</f>
        <v>0</v>
      </c>
      <c r="I934" t="s">
        <v>55</v>
      </c>
      <c r="J934" t="s">
        <v>55</v>
      </c>
      <c r="K934" s="5">
        <f>14 / 86400</f>
        <v>1.6203703703703703E-4</v>
      </c>
      <c r="L934" s="5">
        <f>2 / 86400</f>
        <v>2.3148148148148147E-5</v>
      </c>
    </row>
    <row r="935" spans="1:12" x14ac:dyDescent="0.25">
      <c r="A935" s="3">
        <v>45704.279837962968</v>
      </c>
      <c r="B935" t="s">
        <v>100</v>
      </c>
      <c r="C935" s="3">
        <v>45704.280358796299</v>
      </c>
      <c r="D935" t="s">
        <v>100</v>
      </c>
      <c r="E935" s="4">
        <v>0</v>
      </c>
      <c r="F935" s="4">
        <v>5617.1850000000004</v>
      </c>
      <c r="G935" s="4">
        <v>5617.1850000000004</v>
      </c>
      <c r="H935" s="5">
        <f>43 / 86400</f>
        <v>4.9768518518518521E-4</v>
      </c>
      <c r="I935" t="s">
        <v>55</v>
      </c>
      <c r="J935" t="s">
        <v>55</v>
      </c>
      <c r="K935" s="5">
        <f>45 / 86400</f>
        <v>5.2083333333333333E-4</v>
      </c>
      <c r="L935" s="5">
        <f>2 / 86400</f>
        <v>2.3148148148148147E-5</v>
      </c>
    </row>
    <row r="936" spans="1:12" x14ac:dyDescent="0.25">
      <c r="A936" s="3">
        <v>45704.280381944445</v>
      </c>
      <c r="B936" t="s">
        <v>100</v>
      </c>
      <c r="C936" s="3">
        <v>45704.280740740738</v>
      </c>
      <c r="D936" t="s">
        <v>100</v>
      </c>
      <c r="E936" s="4">
        <v>0</v>
      </c>
      <c r="F936" s="4">
        <v>5617.1850000000004</v>
      </c>
      <c r="G936" s="4">
        <v>5617.1850000000004</v>
      </c>
      <c r="H936" s="5">
        <f>16 / 86400</f>
        <v>1.8518518518518518E-4</v>
      </c>
      <c r="I936" t="s">
        <v>55</v>
      </c>
      <c r="J936" t="s">
        <v>55</v>
      </c>
      <c r="K936" s="5">
        <f>31 / 86400</f>
        <v>3.5879629629629629E-4</v>
      </c>
      <c r="L936" s="5">
        <f>15 / 86400</f>
        <v>1.7361111111111112E-4</v>
      </c>
    </row>
    <row r="937" spans="1:12" x14ac:dyDescent="0.25">
      <c r="A937" s="3">
        <v>45704.280914351853</v>
      </c>
      <c r="B937" t="s">
        <v>100</v>
      </c>
      <c r="C937" s="3">
        <v>45704.282372685186</v>
      </c>
      <c r="D937" t="s">
        <v>367</v>
      </c>
      <c r="E937" s="4">
        <v>4.2999999999999997E-2</v>
      </c>
      <c r="F937" s="4">
        <v>5617.1850000000004</v>
      </c>
      <c r="G937" s="4">
        <v>5617.2280000000001</v>
      </c>
      <c r="H937" s="5">
        <f>40 / 86400</f>
        <v>4.6296296296296298E-4</v>
      </c>
      <c r="I937" t="s">
        <v>127</v>
      </c>
      <c r="J937" t="s">
        <v>128</v>
      </c>
      <c r="K937" s="5">
        <f>125 / 86400</f>
        <v>1.4467592592592592E-3</v>
      </c>
      <c r="L937" s="5">
        <f>5 / 86400</f>
        <v>5.7870370370370373E-5</v>
      </c>
    </row>
    <row r="938" spans="1:12" x14ac:dyDescent="0.25">
      <c r="A938" s="3">
        <v>45704.282430555555</v>
      </c>
      <c r="B938" t="s">
        <v>367</v>
      </c>
      <c r="C938" s="3">
        <v>45704.283622685187</v>
      </c>
      <c r="D938" t="s">
        <v>100</v>
      </c>
      <c r="E938" s="4">
        <v>8.2000000000000003E-2</v>
      </c>
      <c r="F938" s="4">
        <v>5617.2280000000001</v>
      </c>
      <c r="G938" s="4">
        <v>5617.31</v>
      </c>
      <c r="H938" s="5">
        <f>40 / 86400</f>
        <v>4.6296296296296298E-4</v>
      </c>
      <c r="I938" t="s">
        <v>127</v>
      </c>
      <c r="J938" t="s">
        <v>87</v>
      </c>
      <c r="K938" s="5">
        <f>103 / 86400</f>
        <v>1.1921296296296296E-3</v>
      </c>
      <c r="L938" s="5">
        <f>7 / 86400</f>
        <v>8.1018518518518516E-5</v>
      </c>
    </row>
    <row r="939" spans="1:12" x14ac:dyDescent="0.25">
      <c r="A939" s="3">
        <v>45704.283703703702</v>
      </c>
      <c r="B939" t="s">
        <v>100</v>
      </c>
      <c r="C939" s="3">
        <v>45704.286238425921</v>
      </c>
      <c r="D939" t="s">
        <v>18</v>
      </c>
      <c r="E939" s="4">
        <v>0.11</v>
      </c>
      <c r="F939" s="4">
        <v>5617.3109999999997</v>
      </c>
      <c r="G939" s="4">
        <v>5617.4210000000003</v>
      </c>
      <c r="H939" s="5">
        <f>140 / 86400</f>
        <v>1.6203703703703703E-3</v>
      </c>
      <c r="I939" t="s">
        <v>151</v>
      </c>
      <c r="J939" t="s">
        <v>129</v>
      </c>
      <c r="K939" s="5">
        <f>219 / 86400</f>
        <v>2.5347222222222221E-3</v>
      </c>
      <c r="L939" s="5">
        <f>1 / 86400</f>
        <v>1.1574074074074073E-5</v>
      </c>
    </row>
    <row r="940" spans="1:12" x14ac:dyDescent="0.25">
      <c r="A940" s="3">
        <v>45704.286250000005</v>
      </c>
      <c r="B940" t="s">
        <v>18</v>
      </c>
      <c r="C940" s="3">
        <v>45704.369710648149</v>
      </c>
      <c r="D940" t="s">
        <v>39</v>
      </c>
      <c r="E940" s="4">
        <v>49.393000000000001</v>
      </c>
      <c r="F940" s="4">
        <v>5617.4210000000003</v>
      </c>
      <c r="G940" s="4">
        <v>5666.8140000000003</v>
      </c>
      <c r="H940" s="5">
        <f>1871 / 86400</f>
        <v>2.1655092592592594E-2</v>
      </c>
      <c r="I940" t="s">
        <v>47</v>
      </c>
      <c r="J940" t="s">
        <v>122</v>
      </c>
      <c r="K940" s="5">
        <f>7211 / 86400</f>
        <v>8.3460648148148145E-2</v>
      </c>
      <c r="L940" s="5">
        <f>2560 / 86400</f>
        <v>2.9629629629629631E-2</v>
      </c>
    </row>
    <row r="941" spans="1:12" x14ac:dyDescent="0.25">
      <c r="A941" s="3">
        <v>45704.399340277778</v>
      </c>
      <c r="B941" t="s">
        <v>39</v>
      </c>
      <c r="C941" s="3">
        <v>45704.401701388888</v>
      </c>
      <c r="D941" t="s">
        <v>74</v>
      </c>
      <c r="E941" s="4">
        <v>0.67500000000000004</v>
      </c>
      <c r="F941" s="4">
        <v>5666.8140000000003</v>
      </c>
      <c r="G941" s="4">
        <v>5667.4889999999996</v>
      </c>
      <c r="H941" s="5">
        <f>39 / 86400</f>
        <v>4.5138888888888887E-4</v>
      </c>
      <c r="I941" t="s">
        <v>195</v>
      </c>
      <c r="J941" t="s">
        <v>165</v>
      </c>
      <c r="K941" s="5">
        <f>204 / 86400</f>
        <v>2.3611111111111111E-3</v>
      </c>
      <c r="L941" s="5">
        <f>172 / 86400</f>
        <v>1.9907407407407408E-3</v>
      </c>
    </row>
    <row r="942" spans="1:12" x14ac:dyDescent="0.25">
      <c r="A942" s="3">
        <v>45704.403692129628</v>
      </c>
      <c r="B942" t="s">
        <v>74</v>
      </c>
      <c r="C942" s="3">
        <v>45704.409490740742</v>
      </c>
      <c r="D942" t="s">
        <v>308</v>
      </c>
      <c r="E942" s="4">
        <v>1.3049999999999999</v>
      </c>
      <c r="F942" s="4">
        <v>5667.4889999999996</v>
      </c>
      <c r="G942" s="4">
        <v>5668.7939999999999</v>
      </c>
      <c r="H942" s="5">
        <f>159 / 86400</f>
        <v>1.8402777777777777E-3</v>
      </c>
      <c r="I942" t="s">
        <v>102</v>
      </c>
      <c r="J942" t="s">
        <v>30</v>
      </c>
      <c r="K942" s="5">
        <f>500 / 86400</f>
        <v>5.7870370370370367E-3</v>
      </c>
      <c r="L942" s="5">
        <f>1481 / 86400</f>
        <v>1.7141203703703704E-2</v>
      </c>
    </row>
    <row r="943" spans="1:12" x14ac:dyDescent="0.25">
      <c r="A943" s="3">
        <v>45704.426631944443</v>
      </c>
      <c r="B943" t="s">
        <v>308</v>
      </c>
      <c r="C943" s="3">
        <v>45704.52925925926</v>
      </c>
      <c r="D943" t="s">
        <v>118</v>
      </c>
      <c r="E943" s="4">
        <v>51.216999999999999</v>
      </c>
      <c r="F943" s="4">
        <v>5668.7939999999999</v>
      </c>
      <c r="G943" s="4">
        <v>5720.0110000000004</v>
      </c>
      <c r="H943" s="5">
        <f>2538 / 86400</f>
        <v>2.9374999999999998E-2</v>
      </c>
      <c r="I943" t="s">
        <v>108</v>
      </c>
      <c r="J943" t="s">
        <v>23</v>
      </c>
      <c r="K943" s="5">
        <f>8867 / 86400</f>
        <v>0.10262731481481481</v>
      </c>
      <c r="L943" s="5">
        <f>146 / 86400</f>
        <v>1.6898148148148148E-3</v>
      </c>
    </row>
    <row r="944" spans="1:12" x14ac:dyDescent="0.25">
      <c r="A944" s="3">
        <v>45704.530949074076</v>
      </c>
      <c r="B944" t="s">
        <v>302</v>
      </c>
      <c r="C944" s="3">
        <v>45704.630486111113</v>
      </c>
      <c r="D944" t="s">
        <v>73</v>
      </c>
      <c r="E944" s="4">
        <v>49.555</v>
      </c>
      <c r="F944" s="4">
        <v>5720.0110000000004</v>
      </c>
      <c r="G944" s="4">
        <v>5769.5659999999998</v>
      </c>
      <c r="H944" s="5">
        <f>2559 / 86400</f>
        <v>2.9618055555555557E-2</v>
      </c>
      <c r="I944" t="s">
        <v>108</v>
      </c>
      <c r="J944" t="s">
        <v>23</v>
      </c>
      <c r="K944" s="5">
        <f>8600 / 86400</f>
        <v>9.9537037037037035E-2</v>
      </c>
      <c r="L944" s="5">
        <f>231 / 86400</f>
        <v>2.673611111111111E-3</v>
      </c>
    </row>
    <row r="945" spans="1:12" x14ac:dyDescent="0.25">
      <c r="A945" s="3">
        <v>45704.633159722223</v>
      </c>
      <c r="B945" t="s">
        <v>73</v>
      </c>
      <c r="C945" s="3">
        <v>45704.635370370372</v>
      </c>
      <c r="D945" t="s">
        <v>354</v>
      </c>
      <c r="E945" s="4">
        <v>0.82099999999999995</v>
      </c>
      <c r="F945" s="4">
        <v>5769.5659999999998</v>
      </c>
      <c r="G945" s="4">
        <v>5770.3869999999997</v>
      </c>
      <c r="H945" s="5">
        <f>20 / 86400</f>
        <v>2.3148148148148149E-4</v>
      </c>
      <c r="I945" t="s">
        <v>102</v>
      </c>
      <c r="J945" t="s">
        <v>133</v>
      </c>
      <c r="K945" s="5">
        <f>190 / 86400</f>
        <v>2.1990740740740742E-3</v>
      </c>
      <c r="L945" s="5">
        <f>2065 / 86400</f>
        <v>2.3900462962962964E-2</v>
      </c>
    </row>
    <row r="946" spans="1:12" x14ac:dyDescent="0.25">
      <c r="A946" s="3">
        <v>45704.659270833334</v>
      </c>
      <c r="B946" t="s">
        <v>354</v>
      </c>
      <c r="C946" s="3">
        <v>45704.710416666669</v>
      </c>
      <c r="D946" t="s">
        <v>83</v>
      </c>
      <c r="E946" s="4">
        <v>30.344999999999999</v>
      </c>
      <c r="F946" s="4">
        <v>5770.3869999999997</v>
      </c>
      <c r="G946" s="4">
        <v>5800.732</v>
      </c>
      <c r="H946" s="5">
        <f>1119 / 86400</f>
        <v>1.2951388888888889E-2</v>
      </c>
      <c r="I946" t="s">
        <v>108</v>
      </c>
      <c r="J946" t="s">
        <v>122</v>
      </c>
      <c r="K946" s="5">
        <f>4419 / 86400</f>
        <v>5.1145833333333335E-2</v>
      </c>
      <c r="L946" s="5">
        <f>306 / 86400</f>
        <v>3.5416666666666665E-3</v>
      </c>
    </row>
    <row r="947" spans="1:12" x14ac:dyDescent="0.25">
      <c r="A947" s="3">
        <v>45704.713958333334</v>
      </c>
      <c r="B947" t="s">
        <v>83</v>
      </c>
      <c r="C947" s="3">
        <v>45704.722592592589</v>
      </c>
      <c r="D947" t="s">
        <v>368</v>
      </c>
      <c r="E947" s="4">
        <v>1.853</v>
      </c>
      <c r="F947" s="4">
        <v>5800.732</v>
      </c>
      <c r="G947" s="4">
        <v>5802.585</v>
      </c>
      <c r="H947" s="5">
        <f>140 / 86400</f>
        <v>1.6203703703703703E-3</v>
      </c>
      <c r="I947" t="s">
        <v>48</v>
      </c>
      <c r="J947" t="s">
        <v>30</v>
      </c>
      <c r="K947" s="5">
        <f>746 / 86400</f>
        <v>8.6342592592592599E-3</v>
      </c>
      <c r="L947" s="5">
        <f>380 / 86400</f>
        <v>4.3981481481481484E-3</v>
      </c>
    </row>
    <row r="948" spans="1:12" x14ac:dyDescent="0.25">
      <c r="A948" s="3">
        <v>45704.726990740739</v>
      </c>
      <c r="B948" t="s">
        <v>368</v>
      </c>
      <c r="C948" s="3">
        <v>45704.736458333333</v>
      </c>
      <c r="D948" t="s">
        <v>100</v>
      </c>
      <c r="E948" s="4">
        <v>2.4119999999999999</v>
      </c>
      <c r="F948" s="4">
        <v>5802.585</v>
      </c>
      <c r="G948" s="4">
        <v>5804.9970000000003</v>
      </c>
      <c r="H948" s="5">
        <f>219 / 86400</f>
        <v>2.5347222222222221E-3</v>
      </c>
      <c r="I948" t="s">
        <v>116</v>
      </c>
      <c r="J948" t="s">
        <v>143</v>
      </c>
      <c r="K948" s="5">
        <f>817 / 86400</f>
        <v>9.4560185185185181E-3</v>
      </c>
      <c r="L948" s="5">
        <f>340 / 86400</f>
        <v>3.9351851851851848E-3</v>
      </c>
    </row>
    <row r="949" spans="1:12" x14ac:dyDescent="0.25">
      <c r="A949" s="3">
        <v>45704.740393518514</v>
      </c>
      <c r="B949" t="s">
        <v>18</v>
      </c>
      <c r="C949" s="3">
        <v>45704.742777777778</v>
      </c>
      <c r="D949" t="s">
        <v>18</v>
      </c>
      <c r="E949" s="4">
        <v>0.375</v>
      </c>
      <c r="F949" s="4">
        <v>5804.9970000000003</v>
      </c>
      <c r="G949" s="4">
        <v>5805.3720000000003</v>
      </c>
      <c r="H949" s="5">
        <f>19 / 86400</f>
        <v>2.199074074074074E-4</v>
      </c>
      <c r="I949" t="s">
        <v>29</v>
      </c>
      <c r="J949" t="s">
        <v>136</v>
      </c>
      <c r="K949" s="5">
        <f>206 / 86400</f>
        <v>2.3842592592592591E-3</v>
      </c>
      <c r="L949" s="5">
        <f>393 / 86400</f>
        <v>4.5486111111111109E-3</v>
      </c>
    </row>
    <row r="950" spans="1:12" x14ac:dyDescent="0.25">
      <c r="A950" s="3">
        <v>45704.74732638889</v>
      </c>
      <c r="B950" t="s">
        <v>100</v>
      </c>
      <c r="C950" s="3">
        <v>45704.74900462963</v>
      </c>
      <c r="D950" t="s">
        <v>100</v>
      </c>
      <c r="E950" s="4">
        <v>5.3999999999999999E-2</v>
      </c>
      <c r="F950" s="4">
        <v>5805.3720000000003</v>
      </c>
      <c r="G950" s="4">
        <v>5805.4260000000004</v>
      </c>
      <c r="H950" s="5">
        <f>79 / 86400</f>
        <v>9.1435185185185185E-4</v>
      </c>
      <c r="I950" t="s">
        <v>151</v>
      </c>
      <c r="J950" t="s">
        <v>128</v>
      </c>
      <c r="K950" s="5">
        <f>145 / 86400</f>
        <v>1.6782407407407408E-3</v>
      </c>
      <c r="L950" s="5">
        <f>21685 / 86400</f>
        <v>0.2509837962962963</v>
      </c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</row>
    <row r="953" spans="1:12" s="10" customFormat="1" ht="20.100000000000001" customHeight="1" x14ac:dyDescent="0.35">
      <c r="A953" s="15" t="s">
        <v>423</v>
      </c>
      <c r="B953" s="15"/>
      <c r="C953" s="15"/>
      <c r="D953" s="15"/>
      <c r="E953" s="15"/>
      <c r="F953" s="15"/>
      <c r="G953" s="15"/>
      <c r="H953" s="15"/>
      <c r="I953" s="15"/>
      <c r="J953" s="15"/>
    </row>
    <row r="954" spans="1:1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2" ht="30" x14ac:dyDescent="0.25">
      <c r="A955" s="2" t="s">
        <v>6</v>
      </c>
      <c r="B955" s="2" t="s">
        <v>7</v>
      </c>
      <c r="C955" s="2" t="s">
        <v>8</v>
      </c>
      <c r="D955" s="2" t="s">
        <v>9</v>
      </c>
      <c r="E955" s="2" t="s">
        <v>10</v>
      </c>
      <c r="F955" s="2" t="s">
        <v>11</v>
      </c>
      <c r="G955" s="2" t="s">
        <v>12</v>
      </c>
      <c r="H955" s="2" t="s">
        <v>13</v>
      </c>
      <c r="I955" s="2" t="s">
        <v>14</v>
      </c>
      <c r="J955" s="2" t="s">
        <v>15</v>
      </c>
      <c r="K955" s="2" t="s">
        <v>16</v>
      </c>
      <c r="L955" s="2" t="s">
        <v>17</v>
      </c>
    </row>
    <row r="956" spans="1:12" x14ac:dyDescent="0.25">
      <c r="A956" s="3">
        <v>45704.30431712963</v>
      </c>
      <c r="B956" t="s">
        <v>28</v>
      </c>
      <c r="C956" s="3">
        <v>45704.305625000001</v>
      </c>
      <c r="D956" t="s">
        <v>28</v>
      </c>
      <c r="E956" s="4">
        <v>0</v>
      </c>
      <c r="F956" s="4">
        <v>408620.625</v>
      </c>
      <c r="G956" s="4">
        <v>408620.625</v>
      </c>
      <c r="H956" s="5">
        <f>99 / 86400</f>
        <v>1.1458333333333333E-3</v>
      </c>
      <c r="I956" t="s">
        <v>55</v>
      </c>
      <c r="J956" t="s">
        <v>55</v>
      </c>
      <c r="K956" s="5">
        <f>113 / 86400</f>
        <v>1.3078703703703703E-3</v>
      </c>
      <c r="L956" s="5">
        <f>26374 / 86400</f>
        <v>0.30525462962962963</v>
      </c>
    </row>
    <row r="957" spans="1:12" x14ac:dyDescent="0.25">
      <c r="A957" s="3">
        <v>45704.306562500002</v>
      </c>
      <c r="B957" t="s">
        <v>28</v>
      </c>
      <c r="C957" s="3">
        <v>45704.306967592594</v>
      </c>
      <c r="D957" t="s">
        <v>28</v>
      </c>
      <c r="E957" s="4">
        <v>1.6E-2</v>
      </c>
      <c r="F957" s="4">
        <v>408620.625</v>
      </c>
      <c r="G957" s="4">
        <v>408620.641</v>
      </c>
      <c r="H957" s="5">
        <f>0 / 86400</f>
        <v>0</v>
      </c>
      <c r="I957" t="s">
        <v>127</v>
      </c>
      <c r="J957" t="s">
        <v>129</v>
      </c>
      <c r="K957" s="5">
        <f>34 / 86400</f>
        <v>3.9351851851851852E-4</v>
      </c>
      <c r="L957" s="5">
        <f>734 / 86400</f>
        <v>8.4953703703703701E-3</v>
      </c>
    </row>
    <row r="958" spans="1:12" x14ac:dyDescent="0.25">
      <c r="A958" s="3">
        <v>45704.315462962964</v>
      </c>
      <c r="B958" t="s">
        <v>28</v>
      </c>
      <c r="C958" s="3">
        <v>45704.396273148144</v>
      </c>
      <c r="D958" t="s">
        <v>369</v>
      </c>
      <c r="E958" s="4">
        <v>77.263999999999996</v>
      </c>
      <c r="F958" s="4">
        <v>408620.641</v>
      </c>
      <c r="G958" s="4">
        <v>408697.90500000003</v>
      </c>
      <c r="H958" s="5">
        <f>1219 / 86400</f>
        <v>1.4108796296296296E-2</v>
      </c>
      <c r="I958" t="s">
        <v>101</v>
      </c>
      <c r="J958" t="s">
        <v>139</v>
      </c>
      <c r="K958" s="5">
        <f>6981 / 86400</f>
        <v>8.0798611111111113E-2</v>
      </c>
      <c r="L958" s="5">
        <f>2958 / 86400</f>
        <v>3.4236111111111113E-2</v>
      </c>
    </row>
    <row r="959" spans="1:12" x14ac:dyDescent="0.25">
      <c r="A959" s="3">
        <v>45704.430509259255</v>
      </c>
      <c r="B959" t="s">
        <v>369</v>
      </c>
      <c r="C959" s="3">
        <v>45704.470590277779</v>
      </c>
      <c r="D959" t="s">
        <v>370</v>
      </c>
      <c r="E959" s="4">
        <v>11.382999999999999</v>
      </c>
      <c r="F959" s="4">
        <v>408697.90500000003</v>
      </c>
      <c r="G959" s="4">
        <v>408709.288</v>
      </c>
      <c r="H959" s="5">
        <f>1559 / 86400</f>
        <v>1.804398148148148E-2</v>
      </c>
      <c r="I959" t="s">
        <v>182</v>
      </c>
      <c r="J959" t="s">
        <v>165</v>
      </c>
      <c r="K959" s="5">
        <f>3462 / 86400</f>
        <v>4.0069444444444442E-2</v>
      </c>
      <c r="L959" s="5">
        <f>20170 / 86400</f>
        <v>0.23344907407407409</v>
      </c>
    </row>
    <row r="960" spans="1:12" x14ac:dyDescent="0.25">
      <c r="A960" s="3">
        <v>45704.704039351855</v>
      </c>
      <c r="B960" t="s">
        <v>370</v>
      </c>
      <c r="C960" s="3">
        <v>45704.712199074071</v>
      </c>
      <c r="D960" t="s">
        <v>370</v>
      </c>
      <c r="E960" s="4">
        <v>0.13600000000000001</v>
      </c>
      <c r="F960" s="4">
        <v>408709.288</v>
      </c>
      <c r="G960" s="4">
        <v>408709.424</v>
      </c>
      <c r="H960" s="5">
        <f>579 / 86400</f>
        <v>6.7013888888888887E-3</v>
      </c>
      <c r="I960" t="s">
        <v>88</v>
      </c>
      <c r="J960" t="s">
        <v>128</v>
      </c>
      <c r="K960" s="5">
        <f>704 / 86400</f>
        <v>8.1481481481481474E-3</v>
      </c>
      <c r="L960" s="5">
        <f>321 / 86400</f>
        <v>3.7152777777777778E-3</v>
      </c>
    </row>
    <row r="961" spans="1:12" x14ac:dyDescent="0.25">
      <c r="A961" s="3">
        <v>45704.715914351851</v>
      </c>
      <c r="B961" t="s">
        <v>370</v>
      </c>
      <c r="C961" s="3">
        <v>45704.803541666668</v>
      </c>
      <c r="D961" t="s">
        <v>28</v>
      </c>
      <c r="E961" s="4">
        <v>84.069000000000003</v>
      </c>
      <c r="F961" s="4">
        <v>408709.424</v>
      </c>
      <c r="G961" s="4">
        <v>408793.49300000002</v>
      </c>
      <c r="H961" s="5">
        <f>819 / 86400</f>
        <v>9.479166666666667E-3</v>
      </c>
      <c r="I961" t="s">
        <v>47</v>
      </c>
      <c r="J961" t="s">
        <v>139</v>
      </c>
      <c r="K961" s="5">
        <f>7570 / 86400</f>
        <v>8.7615740740740744E-2</v>
      </c>
      <c r="L961" s="5">
        <f>16973 / 86400</f>
        <v>0.19644675925925925</v>
      </c>
    </row>
    <row r="962" spans="1:1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</row>
    <row r="963" spans="1:1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</row>
    <row r="964" spans="1:12" s="10" customFormat="1" ht="20.100000000000001" customHeight="1" x14ac:dyDescent="0.35">
      <c r="A964" s="15" t="s">
        <v>424</v>
      </c>
      <c r="B964" s="15"/>
      <c r="C964" s="15"/>
      <c r="D964" s="15"/>
      <c r="E964" s="15"/>
      <c r="F964" s="15"/>
      <c r="G964" s="15"/>
      <c r="H964" s="15"/>
      <c r="I964" s="15"/>
      <c r="J964" s="15"/>
    </row>
    <row r="965" spans="1:1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</row>
    <row r="966" spans="1:12" ht="30" x14ac:dyDescent="0.25">
      <c r="A966" s="2" t="s">
        <v>6</v>
      </c>
      <c r="B966" s="2" t="s">
        <v>7</v>
      </c>
      <c r="C966" s="2" t="s">
        <v>8</v>
      </c>
      <c r="D966" s="2" t="s">
        <v>9</v>
      </c>
      <c r="E966" s="2" t="s">
        <v>10</v>
      </c>
      <c r="F966" s="2" t="s">
        <v>11</v>
      </c>
      <c r="G966" s="2" t="s">
        <v>12</v>
      </c>
      <c r="H966" s="2" t="s">
        <v>13</v>
      </c>
      <c r="I966" s="2" t="s">
        <v>14</v>
      </c>
      <c r="J966" s="2" t="s">
        <v>15</v>
      </c>
      <c r="K966" s="2" t="s">
        <v>16</v>
      </c>
      <c r="L966" s="2" t="s">
        <v>17</v>
      </c>
    </row>
    <row r="967" spans="1:12" x14ac:dyDescent="0.25">
      <c r="A967" s="3">
        <v>45704.246724537035</v>
      </c>
      <c r="B967" t="s">
        <v>79</v>
      </c>
      <c r="C967" s="3">
        <v>45704.489571759259</v>
      </c>
      <c r="D967" t="s">
        <v>115</v>
      </c>
      <c r="E967" s="4">
        <v>96.42</v>
      </c>
      <c r="F967" s="4">
        <v>550880.70799999998</v>
      </c>
      <c r="G967" s="4">
        <v>550977.12800000003</v>
      </c>
      <c r="H967" s="5">
        <f>7779 / 86400</f>
        <v>9.0034722222222224E-2</v>
      </c>
      <c r="I967" t="s">
        <v>103</v>
      </c>
      <c r="J967" t="s">
        <v>48</v>
      </c>
      <c r="K967" s="5">
        <f>20982 / 86400</f>
        <v>0.24284722222222221</v>
      </c>
      <c r="L967" s="5">
        <f>21322 / 86400</f>
        <v>0.24678240740740739</v>
      </c>
    </row>
    <row r="968" spans="1:12" x14ac:dyDescent="0.25">
      <c r="A968" s="3">
        <v>45704.489629629628</v>
      </c>
      <c r="B968" t="s">
        <v>115</v>
      </c>
      <c r="C968" s="3">
        <v>45704.496979166666</v>
      </c>
      <c r="D968" t="s">
        <v>45</v>
      </c>
      <c r="E968" s="4">
        <v>0.75700000000000001</v>
      </c>
      <c r="F968" s="4">
        <v>550977.12800000003</v>
      </c>
      <c r="G968" s="4">
        <v>550977.88500000001</v>
      </c>
      <c r="H968" s="5">
        <f>461 / 86400</f>
        <v>5.3356481481481484E-3</v>
      </c>
      <c r="I968" t="s">
        <v>94</v>
      </c>
      <c r="J968" t="s">
        <v>137</v>
      </c>
      <c r="K968" s="5">
        <f>635 / 86400</f>
        <v>7.3495370370370372E-3</v>
      </c>
      <c r="L968" s="5">
        <f>1831 / 86400</f>
        <v>2.119212962962963E-2</v>
      </c>
    </row>
    <row r="969" spans="1:12" x14ac:dyDescent="0.25">
      <c r="A969" s="3">
        <v>45704.518171296295</v>
      </c>
      <c r="B969" t="s">
        <v>45</v>
      </c>
      <c r="C969" s="3">
        <v>45704.754432870366</v>
      </c>
      <c r="D969" t="s">
        <v>167</v>
      </c>
      <c r="E969" s="4">
        <v>95.879000000000005</v>
      </c>
      <c r="F969" s="4">
        <v>550977.88500000001</v>
      </c>
      <c r="G969" s="4">
        <v>551073.76399999997</v>
      </c>
      <c r="H969" s="5">
        <f>7378 / 86400</f>
        <v>8.5393518518518521E-2</v>
      </c>
      <c r="I969" t="s">
        <v>101</v>
      </c>
      <c r="J969" t="s">
        <v>48</v>
      </c>
      <c r="K969" s="5">
        <f>20413 / 86400</f>
        <v>0.23626157407407408</v>
      </c>
      <c r="L969" s="5">
        <f>890 / 86400</f>
        <v>1.0300925925925925E-2</v>
      </c>
    </row>
    <row r="970" spans="1:12" x14ac:dyDescent="0.25">
      <c r="A970" s="3">
        <v>45704.764733796299</v>
      </c>
      <c r="B970" t="s">
        <v>167</v>
      </c>
      <c r="C970" s="3">
        <v>45704.99998842593</v>
      </c>
      <c r="D970" t="s">
        <v>83</v>
      </c>
      <c r="E970" s="4">
        <v>105.797</v>
      </c>
      <c r="F970" s="4">
        <v>551073.76399999997</v>
      </c>
      <c r="G970" s="4">
        <v>551179.56099999999</v>
      </c>
      <c r="H970" s="5">
        <f>5960 / 86400</f>
        <v>6.8981481481481477E-2</v>
      </c>
      <c r="I970" t="s">
        <v>34</v>
      </c>
      <c r="J970" t="s">
        <v>44</v>
      </c>
      <c r="K970" s="5">
        <f>20326 / 86400</f>
        <v>0.23525462962962962</v>
      </c>
      <c r="L970" s="5">
        <f>0 / 86400</f>
        <v>0</v>
      </c>
    </row>
    <row r="971" spans="1:1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</row>
    <row r="972" spans="1:1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</row>
    <row r="973" spans="1:12" s="10" customFormat="1" ht="20.100000000000001" customHeight="1" x14ac:dyDescent="0.35">
      <c r="A973" s="15" t="s">
        <v>425</v>
      </c>
      <c r="B973" s="15"/>
      <c r="C973" s="15"/>
      <c r="D973" s="15"/>
      <c r="E973" s="15"/>
      <c r="F973" s="15"/>
      <c r="G973" s="15"/>
      <c r="H973" s="15"/>
      <c r="I973" s="15"/>
      <c r="J973" s="15"/>
    </row>
    <row r="974" spans="1:1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</row>
    <row r="975" spans="1:12" ht="30" x14ac:dyDescent="0.25">
      <c r="A975" s="2" t="s">
        <v>6</v>
      </c>
      <c r="B975" s="2" t="s">
        <v>7</v>
      </c>
      <c r="C975" s="2" t="s">
        <v>8</v>
      </c>
      <c r="D975" s="2" t="s">
        <v>9</v>
      </c>
      <c r="E975" s="2" t="s">
        <v>10</v>
      </c>
      <c r="F975" s="2" t="s">
        <v>11</v>
      </c>
      <c r="G975" s="2" t="s">
        <v>12</v>
      </c>
      <c r="H975" s="2" t="s">
        <v>13</v>
      </c>
      <c r="I975" s="2" t="s">
        <v>14</v>
      </c>
      <c r="J975" s="2" t="s">
        <v>15</v>
      </c>
      <c r="K975" s="2" t="s">
        <v>16</v>
      </c>
      <c r="L975" s="2" t="s">
        <v>17</v>
      </c>
    </row>
    <row r="976" spans="1:12" x14ac:dyDescent="0.25">
      <c r="A976" s="3">
        <v>45704</v>
      </c>
      <c r="B976" t="s">
        <v>104</v>
      </c>
      <c r="C976" s="3">
        <v>45704.021597222221</v>
      </c>
      <c r="D976" t="s">
        <v>334</v>
      </c>
      <c r="E976" s="4">
        <v>43.15</v>
      </c>
      <c r="F976" s="4">
        <v>54949.125</v>
      </c>
      <c r="G976" s="4">
        <v>54992.275000000001</v>
      </c>
      <c r="H976" s="5">
        <f>740 / 86400</f>
        <v>8.564814814814815E-3</v>
      </c>
      <c r="I976" t="s">
        <v>183</v>
      </c>
      <c r="J976" t="s">
        <v>32</v>
      </c>
      <c r="K976" s="5">
        <f>1866 / 86400</f>
        <v>2.1597222222222223E-2</v>
      </c>
      <c r="L976" s="5">
        <f>2 / 86400</f>
        <v>2.3148148148148147E-5</v>
      </c>
    </row>
    <row r="977" spans="1:12" x14ac:dyDescent="0.25">
      <c r="A977" s="3">
        <v>45704.021620370375</v>
      </c>
      <c r="B977" t="s">
        <v>334</v>
      </c>
      <c r="C977" s="3">
        <v>45704.228298611109</v>
      </c>
      <c r="D977" t="s">
        <v>28</v>
      </c>
      <c r="E977" s="4">
        <v>403.16500000000002</v>
      </c>
      <c r="F977" s="4">
        <v>54992.294999999998</v>
      </c>
      <c r="G977" s="4">
        <v>55395.46</v>
      </c>
      <c r="H977" s="5">
        <f>6861 / 86400</f>
        <v>7.9409722222222229E-2</v>
      </c>
      <c r="I977" t="s">
        <v>156</v>
      </c>
      <c r="J977" t="s">
        <v>47</v>
      </c>
      <c r="K977" s="5">
        <f>17857 / 86400</f>
        <v>0.20667824074074073</v>
      </c>
      <c r="L977" s="5">
        <f>938 / 86400</f>
        <v>1.0856481481481481E-2</v>
      </c>
    </row>
    <row r="978" spans="1:12" x14ac:dyDescent="0.25">
      <c r="A978" s="3">
        <v>45704.239155092597</v>
      </c>
      <c r="B978" t="s">
        <v>28</v>
      </c>
      <c r="C978" s="3">
        <v>45704.355798611112</v>
      </c>
      <c r="D978" t="s">
        <v>89</v>
      </c>
      <c r="E978" s="4">
        <v>337.06000000000745</v>
      </c>
      <c r="F978" s="4">
        <v>55395.46</v>
      </c>
      <c r="G978" s="4">
        <v>55732.520000000004</v>
      </c>
      <c r="H978" s="5">
        <f>2497 / 86400</f>
        <v>2.8900462962962965E-2</v>
      </c>
      <c r="I978" t="s">
        <v>34</v>
      </c>
      <c r="J978" t="s">
        <v>371</v>
      </c>
      <c r="K978" s="5">
        <f>10077 / 86400</f>
        <v>0.11663194444444444</v>
      </c>
      <c r="L978" s="5">
        <f>6 / 86400</f>
        <v>6.9444444444444444E-5</v>
      </c>
    </row>
    <row r="979" spans="1:12" x14ac:dyDescent="0.25">
      <c r="A979" s="3">
        <v>45704.355868055558</v>
      </c>
      <c r="B979" t="s">
        <v>89</v>
      </c>
      <c r="C979" s="3">
        <v>45704.357824074075</v>
      </c>
      <c r="D979" t="s">
        <v>89</v>
      </c>
      <c r="E979" s="4">
        <v>1.9999999992549419E-2</v>
      </c>
      <c r="F979" s="4">
        <v>55732.520000000004</v>
      </c>
      <c r="G979" s="4">
        <v>55732.54</v>
      </c>
      <c r="H979" s="5">
        <f>150 / 86400</f>
        <v>1.736111111111111E-3</v>
      </c>
      <c r="I979" t="s">
        <v>55</v>
      </c>
      <c r="J979" t="s">
        <v>55</v>
      </c>
      <c r="K979" s="5">
        <f>169 / 86400</f>
        <v>1.9560185185185184E-3</v>
      </c>
      <c r="L979" s="5">
        <f>190 / 86400</f>
        <v>2.1990740740740742E-3</v>
      </c>
    </row>
    <row r="980" spans="1:12" x14ac:dyDescent="0.25">
      <c r="A980" s="3">
        <v>45704.360023148147</v>
      </c>
      <c r="B980" t="s">
        <v>89</v>
      </c>
      <c r="C980" s="3">
        <v>45704.411527777775</v>
      </c>
      <c r="D980" t="s">
        <v>169</v>
      </c>
      <c r="E980" s="4">
        <v>167.875</v>
      </c>
      <c r="F980" s="4">
        <v>55732.54</v>
      </c>
      <c r="G980" s="4">
        <v>55900.415000000001</v>
      </c>
      <c r="H980" s="5">
        <f>740 / 86400</f>
        <v>8.564814814814815E-3</v>
      </c>
      <c r="I980" t="s">
        <v>75</v>
      </c>
      <c r="J980" t="s">
        <v>372</v>
      </c>
      <c r="K980" s="5">
        <f>4450 / 86400</f>
        <v>5.1504629629629629E-2</v>
      </c>
      <c r="L980" s="5">
        <f>2510 / 86400</f>
        <v>2.9050925925925924E-2</v>
      </c>
    </row>
    <row r="981" spans="1:12" x14ac:dyDescent="0.25">
      <c r="A981" s="3">
        <v>45704.440578703703</v>
      </c>
      <c r="B981" t="s">
        <v>169</v>
      </c>
      <c r="C981" s="3">
        <v>45704.656469907408</v>
      </c>
      <c r="D981" t="s">
        <v>74</v>
      </c>
      <c r="E981" s="4">
        <v>505.12</v>
      </c>
      <c r="F981" s="4">
        <v>55900.415000000001</v>
      </c>
      <c r="G981" s="4">
        <v>56405.535000000003</v>
      </c>
      <c r="H981" s="5">
        <f>5519 / 86400</f>
        <v>6.3877314814814817E-2</v>
      </c>
      <c r="I981" t="s">
        <v>96</v>
      </c>
      <c r="J981" t="s">
        <v>36</v>
      </c>
      <c r="K981" s="5">
        <f>18653 / 86400</f>
        <v>0.21589120370370371</v>
      </c>
      <c r="L981" s="5">
        <f>1104 / 86400</f>
        <v>1.2777777777777779E-2</v>
      </c>
    </row>
    <row r="982" spans="1:12" x14ac:dyDescent="0.25">
      <c r="A982" s="3">
        <v>45704.669247685189</v>
      </c>
      <c r="B982" t="s">
        <v>73</v>
      </c>
      <c r="C982" s="3">
        <v>45704.99998842593</v>
      </c>
      <c r="D982" t="s">
        <v>105</v>
      </c>
      <c r="E982" s="4">
        <v>855.34500000000742</v>
      </c>
      <c r="F982" s="4">
        <v>56405.535000000003</v>
      </c>
      <c r="G982" s="4">
        <v>57260.880000000005</v>
      </c>
      <c r="H982" s="5">
        <f>8059 / 86400</f>
        <v>9.3275462962962963E-2</v>
      </c>
      <c r="I982" t="s">
        <v>32</v>
      </c>
      <c r="J982" t="s">
        <v>373</v>
      </c>
      <c r="K982" s="5">
        <f>28576 / 86400</f>
        <v>0.33074074074074072</v>
      </c>
      <c r="L982" s="5">
        <f>0 / 86400</f>
        <v>0</v>
      </c>
    </row>
    <row r="983" spans="1:1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</row>
    <row r="984" spans="1:1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</row>
    <row r="985" spans="1:12" s="10" customFormat="1" ht="20.100000000000001" customHeight="1" x14ac:dyDescent="0.35">
      <c r="A985" s="15" t="s">
        <v>426</v>
      </c>
      <c r="B985" s="15"/>
      <c r="C985" s="15"/>
      <c r="D985" s="15"/>
      <c r="E985" s="15"/>
      <c r="F985" s="15"/>
      <c r="G985" s="15"/>
      <c r="H985" s="15"/>
      <c r="I985" s="15"/>
      <c r="J985" s="15"/>
    </row>
    <row r="986" spans="1:1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</row>
    <row r="987" spans="1:12" ht="30" x14ac:dyDescent="0.25">
      <c r="A987" s="2" t="s">
        <v>6</v>
      </c>
      <c r="B987" s="2" t="s">
        <v>7</v>
      </c>
      <c r="C987" s="2" t="s">
        <v>8</v>
      </c>
      <c r="D987" s="2" t="s">
        <v>9</v>
      </c>
      <c r="E987" s="2" t="s">
        <v>10</v>
      </c>
      <c r="F987" s="2" t="s">
        <v>11</v>
      </c>
      <c r="G987" s="2" t="s">
        <v>12</v>
      </c>
      <c r="H987" s="2" t="s">
        <v>13</v>
      </c>
      <c r="I987" s="2" t="s">
        <v>14</v>
      </c>
      <c r="J987" s="2" t="s">
        <v>15</v>
      </c>
      <c r="K987" s="2" t="s">
        <v>16</v>
      </c>
      <c r="L987" s="2" t="s">
        <v>17</v>
      </c>
    </row>
    <row r="988" spans="1:12" x14ac:dyDescent="0.25">
      <c r="A988" s="3">
        <v>45704.006550925929</v>
      </c>
      <c r="B988" t="s">
        <v>106</v>
      </c>
      <c r="C988" s="3">
        <v>45704.006655092591</v>
      </c>
      <c r="D988" t="s">
        <v>106</v>
      </c>
      <c r="E988" s="4">
        <v>4.0000000000000001E-3</v>
      </c>
      <c r="F988" s="4">
        <v>60159.105000000003</v>
      </c>
      <c r="G988" s="4">
        <v>60159.108999999997</v>
      </c>
      <c r="H988" s="5">
        <f>0 / 86400</f>
        <v>0</v>
      </c>
      <c r="I988" t="s">
        <v>55</v>
      </c>
      <c r="J988" t="s">
        <v>129</v>
      </c>
      <c r="K988" s="5">
        <f>8 / 86400</f>
        <v>9.2592592592592588E-5</v>
      </c>
      <c r="L988" s="5">
        <f>1174 / 86400</f>
        <v>1.3587962962962963E-2</v>
      </c>
    </row>
    <row r="989" spans="1:12" x14ac:dyDescent="0.25">
      <c r="A989" s="3">
        <v>45704.013692129629</v>
      </c>
      <c r="B989" t="s">
        <v>106</v>
      </c>
      <c r="C989" s="3">
        <v>45704.015104166669</v>
      </c>
      <c r="D989" t="s">
        <v>106</v>
      </c>
      <c r="E989" s="4">
        <v>8.9999999999999993E-3</v>
      </c>
      <c r="F989" s="4">
        <v>60159.108999999997</v>
      </c>
      <c r="G989" s="4">
        <v>60159.118000000002</v>
      </c>
      <c r="H989" s="5">
        <f>100 / 86400</f>
        <v>1.1574074074074073E-3</v>
      </c>
      <c r="I989" t="s">
        <v>88</v>
      </c>
      <c r="J989" t="s">
        <v>55</v>
      </c>
      <c r="K989" s="5">
        <f>121 / 86400</f>
        <v>1.4004629629629629E-3</v>
      </c>
      <c r="L989" s="5">
        <f>136 / 86400</f>
        <v>1.5740740740740741E-3</v>
      </c>
    </row>
    <row r="990" spans="1:12" x14ac:dyDescent="0.25">
      <c r="A990" s="3">
        <v>45704.01667824074</v>
      </c>
      <c r="B990" t="s">
        <v>106</v>
      </c>
      <c r="C990" s="3">
        <v>45704.110694444447</v>
      </c>
      <c r="D990" t="s">
        <v>294</v>
      </c>
      <c r="E990" s="4">
        <v>47.76</v>
      </c>
      <c r="F990" s="4">
        <v>60159.118000000002</v>
      </c>
      <c r="G990" s="4">
        <v>60206.877999999997</v>
      </c>
      <c r="H990" s="5">
        <f>2799 / 86400</f>
        <v>3.2395833333333332E-2</v>
      </c>
      <c r="I990" t="s">
        <v>99</v>
      </c>
      <c r="J990" t="s">
        <v>23</v>
      </c>
      <c r="K990" s="5">
        <f>8123 / 86400</f>
        <v>9.4016203703703699E-2</v>
      </c>
      <c r="L990" s="5">
        <f>610 / 86400</f>
        <v>7.060185185185185E-3</v>
      </c>
    </row>
    <row r="991" spans="1:12" x14ac:dyDescent="0.25">
      <c r="A991" s="3">
        <v>45704.117754629631</v>
      </c>
      <c r="B991" t="s">
        <v>294</v>
      </c>
      <c r="C991" s="3">
        <v>45704.119062500002</v>
      </c>
      <c r="D991" t="s">
        <v>374</v>
      </c>
      <c r="E991" s="4">
        <v>0.27600000000000002</v>
      </c>
      <c r="F991" s="4">
        <v>60206.877999999997</v>
      </c>
      <c r="G991" s="4">
        <v>60207.154000000002</v>
      </c>
      <c r="H991" s="5">
        <f>0 / 86400</f>
        <v>0</v>
      </c>
      <c r="I991" t="s">
        <v>51</v>
      </c>
      <c r="J991" t="s">
        <v>30</v>
      </c>
      <c r="K991" s="5">
        <f>112 / 86400</f>
        <v>1.2962962962962963E-3</v>
      </c>
      <c r="L991" s="5">
        <f>59 / 86400</f>
        <v>6.8287037037037036E-4</v>
      </c>
    </row>
    <row r="992" spans="1:12" x14ac:dyDescent="0.25">
      <c r="A992" s="3">
        <v>45704.119745370372</v>
      </c>
      <c r="B992" t="s">
        <v>374</v>
      </c>
      <c r="C992" s="3">
        <v>45704.120428240742</v>
      </c>
      <c r="D992" t="s">
        <v>374</v>
      </c>
      <c r="E992" s="4">
        <v>3.9E-2</v>
      </c>
      <c r="F992" s="4">
        <v>60207.154000000002</v>
      </c>
      <c r="G992" s="4">
        <v>60207.192999999999</v>
      </c>
      <c r="H992" s="5">
        <f>0 / 86400</f>
        <v>0</v>
      </c>
      <c r="I992" t="s">
        <v>119</v>
      </c>
      <c r="J992" t="s">
        <v>129</v>
      </c>
      <c r="K992" s="5">
        <f>59 / 86400</f>
        <v>6.8287037037037036E-4</v>
      </c>
      <c r="L992" s="5">
        <f>27186 / 86400</f>
        <v>0.31465277777777778</v>
      </c>
    </row>
    <row r="993" spans="1:12" x14ac:dyDescent="0.25">
      <c r="A993" s="3">
        <v>45704.435081018513</v>
      </c>
      <c r="B993" t="s">
        <v>374</v>
      </c>
      <c r="C993" s="3">
        <v>45704.438009259262</v>
      </c>
      <c r="D993" t="s">
        <v>375</v>
      </c>
      <c r="E993" s="4">
        <v>0.29199999999999998</v>
      </c>
      <c r="F993" s="4">
        <v>60207.192999999999</v>
      </c>
      <c r="G993" s="4">
        <v>60207.485000000001</v>
      </c>
      <c r="H993" s="5">
        <f>119 / 86400</f>
        <v>1.3773148148148147E-3</v>
      </c>
      <c r="I993" t="s">
        <v>33</v>
      </c>
      <c r="J993" t="s">
        <v>137</v>
      </c>
      <c r="K993" s="5">
        <f>252 / 86400</f>
        <v>2.9166666666666668E-3</v>
      </c>
      <c r="L993" s="5">
        <f>721 / 86400</f>
        <v>8.3449074074074068E-3</v>
      </c>
    </row>
    <row r="994" spans="1:12" x14ac:dyDescent="0.25">
      <c r="A994" s="3">
        <v>45704.446354166663</v>
      </c>
      <c r="B994" t="s">
        <v>375</v>
      </c>
      <c r="C994" s="3">
        <v>45704.447650462964</v>
      </c>
      <c r="D994" t="s">
        <v>73</v>
      </c>
      <c r="E994" s="4">
        <v>6.9000000000000006E-2</v>
      </c>
      <c r="F994" s="4">
        <v>60207.485000000001</v>
      </c>
      <c r="G994" s="4">
        <v>60207.553999999996</v>
      </c>
      <c r="H994" s="5">
        <f>60 / 86400</f>
        <v>6.9444444444444447E-4</v>
      </c>
      <c r="I994" t="s">
        <v>136</v>
      </c>
      <c r="J994" t="s">
        <v>129</v>
      </c>
      <c r="K994" s="5">
        <f>111 / 86400</f>
        <v>1.2847222222222223E-3</v>
      </c>
      <c r="L994" s="5">
        <f>355 / 86400</f>
        <v>4.1087962962962962E-3</v>
      </c>
    </row>
    <row r="995" spans="1:12" x14ac:dyDescent="0.25">
      <c r="A995" s="3">
        <v>45704.45175925926</v>
      </c>
      <c r="B995" t="s">
        <v>73</v>
      </c>
      <c r="C995" s="3">
        <v>45704.45449074074</v>
      </c>
      <c r="D995" t="s">
        <v>140</v>
      </c>
      <c r="E995" s="4">
        <v>0.78700000000000003</v>
      </c>
      <c r="F995" s="4">
        <v>60207.553999999996</v>
      </c>
      <c r="G995" s="4">
        <v>60208.341</v>
      </c>
      <c r="H995" s="5">
        <f>39 / 86400</f>
        <v>4.5138888888888887E-4</v>
      </c>
      <c r="I995" t="s">
        <v>200</v>
      </c>
      <c r="J995" t="s">
        <v>165</v>
      </c>
      <c r="K995" s="5">
        <f>235 / 86400</f>
        <v>2.7199074074074074E-3</v>
      </c>
      <c r="L995" s="5">
        <f>254 / 86400</f>
        <v>2.9398148148148148E-3</v>
      </c>
    </row>
    <row r="996" spans="1:12" x14ac:dyDescent="0.25">
      <c r="A996" s="3">
        <v>45704.457430555558</v>
      </c>
      <c r="B996" t="s">
        <v>140</v>
      </c>
      <c r="C996" s="3">
        <v>45704.537037037036</v>
      </c>
      <c r="D996" t="s">
        <v>114</v>
      </c>
      <c r="E996" s="4">
        <v>40.14</v>
      </c>
      <c r="F996" s="4">
        <v>60208.341</v>
      </c>
      <c r="G996" s="4">
        <v>60248.481</v>
      </c>
      <c r="H996" s="5">
        <f>2240 / 86400</f>
        <v>2.5925925925925925E-2</v>
      </c>
      <c r="I996" t="s">
        <v>75</v>
      </c>
      <c r="J996" t="s">
        <v>23</v>
      </c>
      <c r="K996" s="5">
        <f>6878 / 86400</f>
        <v>7.9606481481481486E-2</v>
      </c>
      <c r="L996" s="5">
        <f>23 / 86400</f>
        <v>2.6620370370370372E-4</v>
      </c>
    </row>
    <row r="997" spans="1:12" x14ac:dyDescent="0.25">
      <c r="A997" s="3">
        <v>45704.537303240737</v>
      </c>
      <c r="B997" t="s">
        <v>114</v>
      </c>
      <c r="C997" s="3">
        <v>45704.537314814814</v>
      </c>
      <c r="D997" t="s">
        <v>114</v>
      </c>
      <c r="E997" s="4">
        <v>0</v>
      </c>
      <c r="F997" s="4">
        <v>60248.481</v>
      </c>
      <c r="G997" s="4">
        <v>60248.481</v>
      </c>
      <c r="H997" s="5">
        <f>0 / 86400</f>
        <v>0</v>
      </c>
      <c r="I997" t="s">
        <v>55</v>
      </c>
      <c r="J997" t="s">
        <v>55</v>
      </c>
      <c r="K997" s="5">
        <f>0 / 86400</f>
        <v>0</v>
      </c>
      <c r="L997" s="5">
        <f>3 / 86400</f>
        <v>3.4722222222222222E-5</v>
      </c>
    </row>
    <row r="998" spans="1:12" x14ac:dyDescent="0.25">
      <c r="A998" s="3">
        <v>45704.537349537037</v>
      </c>
      <c r="B998" t="s">
        <v>114</v>
      </c>
      <c r="C998" s="3">
        <v>45704.537442129629</v>
      </c>
      <c r="D998" t="s">
        <v>114</v>
      </c>
      <c r="E998" s="4">
        <v>0.01</v>
      </c>
      <c r="F998" s="4">
        <v>60248.481</v>
      </c>
      <c r="G998" s="4">
        <v>60248.491000000002</v>
      </c>
      <c r="H998" s="5">
        <f>0 / 86400</f>
        <v>0</v>
      </c>
      <c r="I998" t="s">
        <v>136</v>
      </c>
      <c r="J998" t="s">
        <v>127</v>
      </c>
      <c r="K998" s="5">
        <f>8 / 86400</f>
        <v>9.2592592592592588E-5</v>
      </c>
      <c r="L998" s="5">
        <f>133 / 86400</f>
        <v>1.5393518518518519E-3</v>
      </c>
    </row>
    <row r="999" spans="1:12" x14ac:dyDescent="0.25">
      <c r="A999" s="3">
        <v>45704.538981481484</v>
      </c>
      <c r="B999" t="s">
        <v>114</v>
      </c>
      <c r="C999" s="3">
        <v>45704.618287037039</v>
      </c>
      <c r="D999" t="s">
        <v>45</v>
      </c>
      <c r="E999" s="4">
        <v>40.942</v>
      </c>
      <c r="F999" s="4">
        <v>60248.491000000002</v>
      </c>
      <c r="G999" s="4">
        <v>60289.432999999997</v>
      </c>
      <c r="H999" s="5">
        <f>2119 / 86400</f>
        <v>2.4525462962962964E-2</v>
      </c>
      <c r="I999" t="s">
        <v>75</v>
      </c>
      <c r="J999" t="s">
        <v>20</v>
      </c>
      <c r="K999" s="5">
        <f>6851 / 86400</f>
        <v>7.9293981481481479E-2</v>
      </c>
      <c r="L999" s="5">
        <f>1287 / 86400</f>
        <v>1.4895833333333334E-2</v>
      </c>
    </row>
    <row r="1000" spans="1:12" x14ac:dyDescent="0.25">
      <c r="A1000" s="3">
        <v>45704.63318287037</v>
      </c>
      <c r="B1000" t="s">
        <v>45</v>
      </c>
      <c r="C1000" s="3">
        <v>45704.635972222226</v>
      </c>
      <c r="D1000" t="s">
        <v>153</v>
      </c>
      <c r="E1000" s="4">
        <v>0.81299999999999994</v>
      </c>
      <c r="F1000" s="4">
        <v>60289.432999999997</v>
      </c>
      <c r="G1000" s="4">
        <v>60290.245999999999</v>
      </c>
      <c r="H1000" s="5">
        <f>0 / 86400</f>
        <v>0</v>
      </c>
      <c r="I1000" t="s">
        <v>27</v>
      </c>
      <c r="J1000" t="s">
        <v>165</v>
      </c>
      <c r="K1000" s="5">
        <f>240 / 86400</f>
        <v>2.7777777777777779E-3</v>
      </c>
      <c r="L1000" s="5">
        <f>33 / 86400</f>
        <v>3.8194444444444446E-4</v>
      </c>
    </row>
    <row r="1001" spans="1:12" x14ac:dyDescent="0.25">
      <c r="A1001" s="3">
        <v>45704.636354166665</v>
      </c>
      <c r="B1001" t="s">
        <v>153</v>
      </c>
      <c r="C1001" s="3">
        <v>45704.63853009259</v>
      </c>
      <c r="D1001" t="s">
        <v>153</v>
      </c>
      <c r="E1001" s="4">
        <v>0</v>
      </c>
      <c r="F1001" s="4">
        <v>60290.245999999999</v>
      </c>
      <c r="G1001" s="4">
        <v>60290.245999999999</v>
      </c>
      <c r="H1001" s="5">
        <f>179 / 86400</f>
        <v>2.0717592592592593E-3</v>
      </c>
      <c r="I1001" t="s">
        <v>55</v>
      </c>
      <c r="J1001" t="s">
        <v>55</v>
      </c>
      <c r="K1001" s="5">
        <f>188 / 86400</f>
        <v>2.1759259259259258E-3</v>
      </c>
      <c r="L1001" s="5">
        <f>10 / 86400</f>
        <v>1.1574074074074075E-4</v>
      </c>
    </row>
    <row r="1002" spans="1:12" x14ac:dyDescent="0.25">
      <c r="A1002" s="3">
        <v>45704.638645833329</v>
      </c>
      <c r="B1002" t="s">
        <v>153</v>
      </c>
      <c r="C1002" s="3">
        <v>45704.639201388884</v>
      </c>
      <c r="D1002" t="s">
        <v>153</v>
      </c>
      <c r="E1002" s="4">
        <v>8.9999999999999993E-3</v>
      </c>
      <c r="F1002" s="4">
        <v>60290.245999999999</v>
      </c>
      <c r="G1002" s="4">
        <v>60290.254999999997</v>
      </c>
      <c r="H1002" s="5">
        <f>41 / 86400</f>
        <v>4.7453703703703704E-4</v>
      </c>
      <c r="I1002" t="s">
        <v>55</v>
      </c>
      <c r="J1002" t="s">
        <v>128</v>
      </c>
      <c r="K1002" s="5">
        <f>48 / 86400</f>
        <v>5.5555555555555556E-4</v>
      </c>
      <c r="L1002" s="5">
        <f>23 / 86400</f>
        <v>2.6620370370370372E-4</v>
      </c>
    </row>
    <row r="1003" spans="1:12" x14ac:dyDescent="0.25">
      <c r="A1003" s="3">
        <v>45704.639467592591</v>
      </c>
      <c r="B1003" t="s">
        <v>153</v>
      </c>
      <c r="C1003" s="3">
        <v>45704.641666666663</v>
      </c>
      <c r="D1003" t="s">
        <v>140</v>
      </c>
      <c r="E1003" s="4">
        <v>3.5999999999999997E-2</v>
      </c>
      <c r="F1003" s="4">
        <v>60290.254999999997</v>
      </c>
      <c r="G1003" s="4">
        <v>60290.290999999997</v>
      </c>
      <c r="H1003" s="5">
        <f>180 / 86400</f>
        <v>2.0833333333333333E-3</v>
      </c>
      <c r="I1003" t="s">
        <v>165</v>
      </c>
      <c r="J1003" t="s">
        <v>128</v>
      </c>
      <c r="K1003" s="5">
        <f>190 / 86400</f>
        <v>2.1990740740740742E-3</v>
      </c>
      <c r="L1003" s="5">
        <f>225 / 86400</f>
        <v>2.6041666666666665E-3</v>
      </c>
    </row>
    <row r="1004" spans="1:12" x14ac:dyDescent="0.25">
      <c r="A1004" s="3">
        <v>45704.644270833334</v>
      </c>
      <c r="B1004" t="s">
        <v>140</v>
      </c>
      <c r="C1004" s="3">
        <v>45704.644583333335</v>
      </c>
      <c r="D1004" t="s">
        <v>141</v>
      </c>
      <c r="E1004" s="4">
        <v>1.4E-2</v>
      </c>
      <c r="F1004" s="4">
        <v>60290.290999999997</v>
      </c>
      <c r="G1004" s="4">
        <v>60290.305</v>
      </c>
      <c r="H1004" s="5">
        <f>0 / 86400</f>
        <v>0</v>
      </c>
      <c r="I1004" t="s">
        <v>127</v>
      </c>
      <c r="J1004" t="s">
        <v>129</v>
      </c>
      <c r="K1004" s="5">
        <f>27 / 86400</f>
        <v>3.1250000000000001E-4</v>
      </c>
      <c r="L1004" s="5">
        <f>341 / 86400</f>
        <v>3.9467592592592592E-3</v>
      </c>
    </row>
    <row r="1005" spans="1:12" x14ac:dyDescent="0.25">
      <c r="A1005" s="3">
        <v>45704.648530092592</v>
      </c>
      <c r="B1005" t="s">
        <v>141</v>
      </c>
      <c r="C1005" s="3">
        <v>45704.648738425924</v>
      </c>
      <c r="D1005" t="s">
        <v>140</v>
      </c>
      <c r="E1005" s="4">
        <v>5.0000000000000001E-3</v>
      </c>
      <c r="F1005" s="4">
        <v>60290.305</v>
      </c>
      <c r="G1005" s="4">
        <v>60290.31</v>
      </c>
      <c r="H1005" s="5">
        <f>0 / 86400</f>
        <v>0</v>
      </c>
      <c r="I1005" t="s">
        <v>55</v>
      </c>
      <c r="J1005" t="s">
        <v>128</v>
      </c>
      <c r="K1005" s="5">
        <f>18 / 86400</f>
        <v>2.0833333333333335E-4</v>
      </c>
      <c r="L1005" s="5">
        <f>164 / 86400</f>
        <v>1.8981481481481482E-3</v>
      </c>
    </row>
    <row r="1006" spans="1:12" x14ac:dyDescent="0.25">
      <c r="A1006" s="3">
        <v>45704.650636574079</v>
      </c>
      <c r="B1006" t="s">
        <v>140</v>
      </c>
      <c r="C1006" s="3">
        <v>45704.650787037041</v>
      </c>
      <c r="D1006" t="s">
        <v>140</v>
      </c>
      <c r="E1006" s="4">
        <v>1.2E-2</v>
      </c>
      <c r="F1006" s="4">
        <v>60290.31</v>
      </c>
      <c r="G1006" s="4">
        <v>60290.322</v>
      </c>
      <c r="H1006" s="5">
        <f>0 / 86400</f>
        <v>0</v>
      </c>
      <c r="I1006" t="s">
        <v>151</v>
      </c>
      <c r="J1006" t="s">
        <v>87</v>
      </c>
      <c r="K1006" s="5">
        <f>13 / 86400</f>
        <v>1.5046296296296297E-4</v>
      </c>
      <c r="L1006" s="5">
        <f>288 / 86400</f>
        <v>3.3333333333333335E-3</v>
      </c>
    </row>
    <row r="1007" spans="1:12" x14ac:dyDescent="0.25">
      <c r="A1007" s="3">
        <v>45704.654120370367</v>
      </c>
      <c r="B1007" t="s">
        <v>140</v>
      </c>
      <c r="C1007" s="3">
        <v>45704.773495370369</v>
      </c>
      <c r="D1007" t="s">
        <v>261</v>
      </c>
      <c r="E1007" s="4">
        <v>53.384999999999998</v>
      </c>
      <c r="F1007" s="4">
        <v>60290.322</v>
      </c>
      <c r="G1007" s="4">
        <v>60343.707000000002</v>
      </c>
      <c r="H1007" s="5">
        <f>3419 / 86400</f>
        <v>3.9571759259259258E-2</v>
      </c>
      <c r="I1007" t="s">
        <v>108</v>
      </c>
      <c r="J1007" t="s">
        <v>44</v>
      </c>
      <c r="K1007" s="5">
        <f>10313 / 86400</f>
        <v>0.11936342592592593</v>
      </c>
      <c r="L1007" s="5">
        <f>99 / 86400</f>
        <v>1.1458333333333333E-3</v>
      </c>
    </row>
    <row r="1008" spans="1:12" x14ac:dyDescent="0.25">
      <c r="A1008" s="3">
        <v>45704.774641203709</v>
      </c>
      <c r="B1008" t="s">
        <v>261</v>
      </c>
      <c r="C1008" s="3">
        <v>45704.836134259254</v>
      </c>
      <c r="D1008" t="s">
        <v>333</v>
      </c>
      <c r="E1008" s="4">
        <v>36.134</v>
      </c>
      <c r="F1008" s="4">
        <v>60343.707000000002</v>
      </c>
      <c r="G1008" s="4">
        <v>60379.841</v>
      </c>
      <c r="H1008" s="5">
        <f>1299 / 86400</f>
        <v>1.5034722222222222E-2</v>
      </c>
      <c r="I1008" t="s">
        <v>53</v>
      </c>
      <c r="J1008" t="s">
        <v>68</v>
      </c>
      <c r="K1008" s="5">
        <f>5312 / 86400</f>
        <v>6.1481481481481484E-2</v>
      </c>
      <c r="L1008" s="5">
        <f>43 / 86400</f>
        <v>4.9768518518518521E-4</v>
      </c>
    </row>
    <row r="1009" spans="1:12" x14ac:dyDescent="0.25">
      <c r="A1009" s="3">
        <v>45704.836631944447</v>
      </c>
      <c r="B1009" t="s">
        <v>333</v>
      </c>
      <c r="C1009" s="3">
        <v>45704.923310185186</v>
      </c>
      <c r="D1009" t="s">
        <v>106</v>
      </c>
      <c r="E1009" s="4">
        <v>46.18</v>
      </c>
      <c r="F1009" s="4">
        <v>60379.841</v>
      </c>
      <c r="G1009" s="4">
        <v>60426.021000000001</v>
      </c>
      <c r="H1009" s="5">
        <f>1879 / 86400</f>
        <v>2.1747685185185186E-2</v>
      </c>
      <c r="I1009" t="s">
        <v>99</v>
      </c>
      <c r="J1009" t="s">
        <v>20</v>
      </c>
      <c r="K1009" s="5">
        <f>7488 / 86400</f>
        <v>8.666666666666667E-2</v>
      </c>
      <c r="L1009" s="5">
        <f>15 / 86400</f>
        <v>1.7361111111111112E-4</v>
      </c>
    </row>
    <row r="1010" spans="1:12" x14ac:dyDescent="0.25">
      <c r="A1010" s="3">
        <v>45704.923483796301</v>
      </c>
      <c r="B1010" t="s">
        <v>106</v>
      </c>
      <c r="C1010" s="3">
        <v>45704.923715277779</v>
      </c>
      <c r="D1010" t="s">
        <v>106</v>
      </c>
      <c r="E1010" s="4">
        <v>7.0000000000000001E-3</v>
      </c>
      <c r="F1010" s="4">
        <v>60426.021000000001</v>
      </c>
      <c r="G1010" s="4">
        <v>60426.027999999998</v>
      </c>
      <c r="H1010" s="5">
        <f>0 / 86400</f>
        <v>0</v>
      </c>
      <c r="I1010" t="s">
        <v>55</v>
      </c>
      <c r="J1010" t="s">
        <v>128</v>
      </c>
      <c r="K1010" s="5">
        <f>20 / 86400</f>
        <v>2.3148148148148149E-4</v>
      </c>
      <c r="L1010" s="5">
        <f>18 / 86400</f>
        <v>2.0833333333333335E-4</v>
      </c>
    </row>
    <row r="1011" spans="1:12" x14ac:dyDescent="0.25">
      <c r="A1011" s="3">
        <v>45704.92392361111</v>
      </c>
      <c r="B1011" t="s">
        <v>106</v>
      </c>
      <c r="C1011" s="3">
        <v>45704.924016203702</v>
      </c>
      <c r="D1011" t="s">
        <v>106</v>
      </c>
      <c r="E1011" s="4">
        <v>2E-3</v>
      </c>
      <c r="F1011" s="4">
        <v>60426.027999999998</v>
      </c>
      <c r="G1011" s="4">
        <v>60426.03</v>
      </c>
      <c r="H1011" s="5">
        <f>0 / 86400</f>
        <v>0</v>
      </c>
      <c r="I1011" t="s">
        <v>55</v>
      </c>
      <c r="J1011" t="s">
        <v>128</v>
      </c>
      <c r="K1011" s="5">
        <f>7 / 86400</f>
        <v>8.1018518518518516E-5</v>
      </c>
      <c r="L1011" s="5">
        <f>139 / 86400</f>
        <v>1.6087962962962963E-3</v>
      </c>
    </row>
    <row r="1012" spans="1:12" x14ac:dyDescent="0.25">
      <c r="A1012" s="3">
        <v>45704.925625000003</v>
      </c>
      <c r="B1012" t="s">
        <v>106</v>
      </c>
      <c r="C1012" s="3">
        <v>45704.926238425927</v>
      </c>
      <c r="D1012" t="s">
        <v>106</v>
      </c>
      <c r="E1012" s="4">
        <v>5.0000000000000001E-3</v>
      </c>
      <c r="F1012" s="4">
        <v>60426.03</v>
      </c>
      <c r="G1012" s="4">
        <v>60426.035000000003</v>
      </c>
      <c r="H1012" s="5">
        <f>39 / 86400</f>
        <v>4.5138888888888887E-4</v>
      </c>
      <c r="I1012" t="s">
        <v>55</v>
      </c>
      <c r="J1012" t="s">
        <v>55</v>
      </c>
      <c r="K1012" s="5">
        <f>53 / 86400</f>
        <v>6.134259259259259E-4</v>
      </c>
      <c r="L1012" s="5">
        <f>332 / 86400</f>
        <v>3.8425925925925928E-3</v>
      </c>
    </row>
    <row r="1013" spans="1:12" x14ac:dyDescent="0.25">
      <c r="A1013" s="3">
        <v>45704.930081018523</v>
      </c>
      <c r="B1013" t="s">
        <v>106</v>
      </c>
      <c r="C1013" s="3">
        <v>45704.99998842593</v>
      </c>
      <c r="D1013" t="s">
        <v>107</v>
      </c>
      <c r="E1013" s="4">
        <v>29.55</v>
      </c>
      <c r="F1013" s="4">
        <v>60426.035000000003</v>
      </c>
      <c r="G1013" s="4">
        <v>60455.584999999999</v>
      </c>
      <c r="H1013" s="5">
        <f>2039 / 86400</f>
        <v>2.3599537037037037E-2</v>
      </c>
      <c r="I1013" t="s">
        <v>271</v>
      </c>
      <c r="J1013" t="s">
        <v>51</v>
      </c>
      <c r="K1013" s="5">
        <f>6040 / 86400</f>
        <v>6.9907407407407404E-2</v>
      </c>
      <c r="L1013" s="5">
        <f>0 / 86400</f>
        <v>0</v>
      </c>
    </row>
    <row r="1014" spans="1:1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</row>
    <row r="1016" spans="1:12" s="10" customFormat="1" ht="20.100000000000001" customHeight="1" x14ac:dyDescent="0.35">
      <c r="A1016" s="15" t="s">
        <v>427</v>
      </c>
      <c r="B1016" s="15"/>
      <c r="C1016" s="15"/>
      <c r="D1016" s="15"/>
      <c r="E1016" s="15"/>
      <c r="F1016" s="15"/>
      <c r="G1016" s="15"/>
      <c r="H1016" s="15"/>
      <c r="I1016" s="15"/>
      <c r="J1016" s="15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ht="30" x14ac:dyDescent="0.25">
      <c r="A1018" s="2" t="s">
        <v>6</v>
      </c>
      <c r="B1018" s="2" t="s">
        <v>7</v>
      </c>
      <c r="C1018" s="2" t="s">
        <v>8</v>
      </c>
      <c r="D1018" s="2" t="s">
        <v>9</v>
      </c>
      <c r="E1018" s="2" t="s">
        <v>10</v>
      </c>
      <c r="F1018" s="2" t="s">
        <v>11</v>
      </c>
      <c r="G1018" s="2" t="s">
        <v>12</v>
      </c>
      <c r="H1018" s="2" t="s">
        <v>13</v>
      </c>
      <c r="I1018" s="2" t="s">
        <v>14</v>
      </c>
      <c r="J1018" s="2" t="s">
        <v>15</v>
      </c>
      <c r="K1018" s="2" t="s">
        <v>16</v>
      </c>
      <c r="L1018" s="2" t="s">
        <v>17</v>
      </c>
    </row>
    <row r="1019" spans="1:12" x14ac:dyDescent="0.25">
      <c r="A1019" s="3">
        <v>45704</v>
      </c>
      <c r="B1019" t="s">
        <v>78</v>
      </c>
      <c r="C1019" s="3">
        <v>45704.009224537032</v>
      </c>
      <c r="D1019" t="s">
        <v>376</v>
      </c>
      <c r="E1019" s="4">
        <v>4.0410000000000004</v>
      </c>
      <c r="F1019" s="4">
        <v>63956.396999999997</v>
      </c>
      <c r="G1019" s="4">
        <v>63960.438000000002</v>
      </c>
      <c r="H1019" s="5">
        <f>140 / 86400</f>
        <v>1.6203703703703703E-3</v>
      </c>
      <c r="I1019" t="s">
        <v>161</v>
      </c>
      <c r="J1019" t="s">
        <v>51</v>
      </c>
      <c r="K1019" s="5">
        <f>797 / 86400</f>
        <v>9.2245370370370363E-3</v>
      </c>
      <c r="L1019" s="5">
        <f>813 / 86400</f>
        <v>9.4097222222222221E-3</v>
      </c>
    </row>
    <row r="1020" spans="1:12" x14ac:dyDescent="0.25">
      <c r="A1020" s="3">
        <v>45704.018634259264</v>
      </c>
      <c r="B1020" t="s">
        <v>376</v>
      </c>
      <c r="C1020" s="3">
        <v>45704.023784722223</v>
      </c>
      <c r="D1020" t="s">
        <v>82</v>
      </c>
      <c r="E1020" s="4">
        <v>1.6479999999999999</v>
      </c>
      <c r="F1020" s="4">
        <v>63960.438000000002</v>
      </c>
      <c r="G1020" s="4">
        <v>63962.086000000003</v>
      </c>
      <c r="H1020" s="5">
        <f>100 / 86400</f>
        <v>1.1574074074074073E-3</v>
      </c>
      <c r="I1020" t="s">
        <v>219</v>
      </c>
      <c r="J1020" t="s">
        <v>86</v>
      </c>
      <c r="K1020" s="5">
        <f>445 / 86400</f>
        <v>5.1504629629629626E-3</v>
      </c>
      <c r="L1020" s="5">
        <f>40616 / 86400</f>
        <v>0.47009259259259262</v>
      </c>
    </row>
    <row r="1021" spans="1:12" x14ac:dyDescent="0.25">
      <c r="A1021" s="3">
        <v>45704.493877314817</v>
      </c>
      <c r="B1021" t="s">
        <v>82</v>
      </c>
      <c r="C1021" s="3">
        <v>45704.726064814815</v>
      </c>
      <c r="D1021" t="s">
        <v>377</v>
      </c>
      <c r="E1021" s="4">
        <v>123.36199999999999</v>
      </c>
      <c r="F1021" s="4">
        <v>63962.086000000003</v>
      </c>
      <c r="G1021" s="4">
        <v>64085.447999999997</v>
      </c>
      <c r="H1021" s="5">
        <f>6578 / 86400</f>
        <v>7.6134259259259263E-2</v>
      </c>
      <c r="I1021" t="s">
        <v>32</v>
      </c>
      <c r="J1021" t="s">
        <v>20</v>
      </c>
      <c r="K1021" s="5">
        <f>20060 / 86400</f>
        <v>0.23217592592592592</v>
      </c>
      <c r="L1021" s="5">
        <f>2 / 86400</f>
        <v>2.3148148148148147E-5</v>
      </c>
    </row>
    <row r="1022" spans="1:12" x14ac:dyDescent="0.25">
      <c r="A1022" s="3">
        <v>45704.726087962961</v>
      </c>
      <c r="B1022" t="s">
        <v>377</v>
      </c>
      <c r="C1022" s="3">
        <v>45704.761932870373</v>
      </c>
      <c r="D1022" t="s">
        <v>140</v>
      </c>
      <c r="E1022" s="4">
        <v>4.62</v>
      </c>
      <c r="F1022" s="4">
        <v>64085.447999999997</v>
      </c>
      <c r="G1022" s="4">
        <v>64090.067999999999</v>
      </c>
      <c r="H1022" s="5">
        <f>2306 / 86400</f>
        <v>2.6689814814814816E-2</v>
      </c>
      <c r="I1022" t="s">
        <v>172</v>
      </c>
      <c r="J1022" t="s">
        <v>127</v>
      </c>
      <c r="K1022" s="5">
        <f>3097 / 86400</f>
        <v>3.5844907407407409E-2</v>
      </c>
      <c r="L1022" s="5">
        <f>155 / 86400</f>
        <v>1.7939814814814815E-3</v>
      </c>
    </row>
    <row r="1023" spans="1:12" x14ac:dyDescent="0.25">
      <c r="A1023" s="3">
        <v>45704.763726851852</v>
      </c>
      <c r="B1023" t="s">
        <v>140</v>
      </c>
      <c r="C1023" s="3">
        <v>45704.968043981484</v>
      </c>
      <c r="D1023" t="s">
        <v>376</v>
      </c>
      <c r="E1023" s="4">
        <v>95.863</v>
      </c>
      <c r="F1023" s="4">
        <v>64090.067999999999</v>
      </c>
      <c r="G1023" s="4">
        <v>64185.930999999997</v>
      </c>
      <c r="H1023" s="5">
        <f>5377 / 86400</f>
        <v>6.2233796296296294E-2</v>
      </c>
      <c r="I1023" t="s">
        <v>75</v>
      </c>
      <c r="J1023" t="s">
        <v>33</v>
      </c>
      <c r="K1023" s="5">
        <f>17653 / 86400</f>
        <v>0.20431712962962964</v>
      </c>
      <c r="L1023" s="5">
        <f>822 / 86400</f>
        <v>9.5138888888888894E-3</v>
      </c>
    </row>
    <row r="1024" spans="1:12" x14ac:dyDescent="0.25">
      <c r="A1024" s="3">
        <v>45704.97755787037</v>
      </c>
      <c r="B1024" t="s">
        <v>376</v>
      </c>
      <c r="C1024" s="3">
        <v>45704.983807870369</v>
      </c>
      <c r="D1024" t="s">
        <v>39</v>
      </c>
      <c r="E1024" s="4">
        <v>1.5740000000000001</v>
      </c>
      <c r="F1024" s="4">
        <v>64185.930999999997</v>
      </c>
      <c r="G1024" s="4">
        <v>64187.504999999997</v>
      </c>
      <c r="H1024" s="5">
        <f>180 / 86400</f>
        <v>2.0833333333333333E-3</v>
      </c>
      <c r="I1024" t="s">
        <v>170</v>
      </c>
      <c r="J1024" t="s">
        <v>151</v>
      </c>
      <c r="K1024" s="5">
        <f>540 / 86400</f>
        <v>6.2500000000000003E-3</v>
      </c>
      <c r="L1024" s="5">
        <f>1398 / 86400</f>
        <v>1.6180555555555556E-2</v>
      </c>
    </row>
    <row r="1025" spans="1:1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</row>
    <row r="1026" spans="1:1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s="10" customFormat="1" ht="20.100000000000001" customHeight="1" x14ac:dyDescent="0.35">
      <c r="A1027" s="15" t="s">
        <v>428</v>
      </c>
      <c r="B1027" s="15"/>
      <c r="C1027" s="15"/>
      <c r="D1027" s="15"/>
      <c r="E1027" s="15"/>
      <c r="F1027" s="15"/>
      <c r="G1027" s="15"/>
      <c r="H1027" s="15"/>
      <c r="I1027" s="15"/>
      <c r="J1027" s="15"/>
    </row>
    <row r="1028" spans="1:1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</row>
    <row r="1029" spans="1:12" ht="30" x14ac:dyDescent="0.25">
      <c r="A1029" s="2" t="s">
        <v>6</v>
      </c>
      <c r="B1029" s="2" t="s">
        <v>7</v>
      </c>
      <c r="C1029" s="2" t="s">
        <v>8</v>
      </c>
      <c r="D1029" s="2" t="s">
        <v>9</v>
      </c>
      <c r="E1029" s="2" t="s">
        <v>10</v>
      </c>
      <c r="F1029" s="2" t="s">
        <v>11</v>
      </c>
      <c r="G1029" s="2" t="s">
        <v>12</v>
      </c>
      <c r="H1029" s="2" t="s">
        <v>13</v>
      </c>
      <c r="I1029" s="2" t="s">
        <v>14</v>
      </c>
      <c r="J1029" s="2" t="s">
        <v>15</v>
      </c>
      <c r="K1029" s="2" t="s">
        <v>16</v>
      </c>
      <c r="L1029" s="2" t="s">
        <v>17</v>
      </c>
    </row>
    <row r="1030" spans="1:12" x14ac:dyDescent="0.25">
      <c r="A1030" s="3">
        <v>45704</v>
      </c>
      <c r="B1030" t="s">
        <v>109</v>
      </c>
      <c r="C1030" s="3">
        <v>45704.080983796295</v>
      </c>
      <c r="D1030" t="s">
        <v>294</v>
      </c>
      <c r="E1030" s="4">
        <v>48.383000000000003</v>
      </c>
      <c r="F1030" s="4">
        <v>292212.76400000002</v>
      </c>
      <c r="G1030" s="4">
        <v>292261.147</v>
      </c>
      <c r="H1030" s="5">
        <f>1961 / 86400</f>
        <v>2.269675925925926E-2</v>
      </c>
      <c r="I1030" t="s">
        <v>38</v>
      </c>
      <c r="J1030" t="s">
        <v>122</v>
      </c>
      <c r="K1030" s="5">
        <f>6997 / 86400</f>
        <v>8.098379629629629E-2</v>
      </c>
      <c r="L1030" s="5">
        <f>956 / 86400</f>
        <v>1.1064814814814816E-2</v>
      </c>
    </row>
    <row r="1031" spans="1:12" x14ac:dyDescent="0.25">
      <c r="A1031" s="3">
        <v>45704.092048611114</v>
      </c>
      <c r="B1031" t="s">
        <v>294</v>
      </c>
      <c r="C1031" s="3">
        <v>45704.104178240741</v>
      </c>
      <c r="D1031" t="s">
        <v>39</v>
      </c>
      <c r="E1031" s="4">
        <v>1.204</v>
      </c>
      <c r="F1031" s="4">
        <v>292261.147</v>
      </c>
      <c r="G1031" s="4">
        <v>292262.35100000002</v>
      </c>
      <c r="H1031" s="5">
        <f>800 / 86400</f>
        <v>9.2592592592592587E-3</v>
      </c>
      <c r="I1031" t="s">
        <v>161</v>
      </c>
      <c r="J1031" t="s">
        <v>137</v>
      </c>
      <c r="K1031" s="5">
        <f>1048 / 86400</f>
        <v>1.2129629629629629E-2</v>
      </c>
      <c r="L1031" s="5">
        <f>16406 / 86400</f>
        <v>0.18988425925925925</v>
      </c>
    </row>
    <row r="1032" spans="1:12" x14ac:dyDescent="0.25">
      <c r="A1032" s="3">
        <v>45704.294062500005</v>
      </c>
      <c r="B1032" t="s">
        <v>39</v>
      </c>
      <c r="C1032" s="3">
        <v>45704.423009259262</v>
      </c>
      <c r="D1032" t="s">
        <v>378</v>
      </c>
      <c r="E1032" s="4">
        <v>53.484000000000002</v>
      </c>
      <c r="F1032" s="4">
        <v>292262.35100000002</v>
      </c>
      <c r="G1032" s="4">
        <v>292315.83500000002</v>
      </c>
      <c r="H1032" s="5">
        <f>4079 / 86400</f>
        <v>4.7210648148148147E-2</v>
      </c>
      <c r="I1032" t="s">
        <v>57</v>
      </c>
      <c r="J1032" t="s">
        <v>48</v>
      </c>
      <c r="K1032" s="5">
        <f>11140 / 86400</f>
        <v>0.12893518518518518</v>
      </c>
      <c r="L1032" s="5">
        <f>1971 / 86400</f>
        <v>2.2812499999999999E-2</v>
      </c>
    </row>
    <row r="1033" spans="1:12" x14ac:dyDescent="0.25">
      <c r="A1033" s="3">
        <v>45704.445821759262</v>
      </c>
      <c r="B1033" t="s">
        <v>378</v>
      </c>
      <c r="C1033" s="3">
        <v>45704.902708333335</v>
      </c>
      <c r="D1033" t="s">
        <v>39</v>
      </c>
      <c r="E1033" s="4">
        <v>215.495</v>
      </c>
      <c r="F1033" s="4">
        <v>292315.83500000002</v>
      </c>
      <c r="G1033" s="4">
        <v>292531.33</v>
      </c>
      <c r="H1033" s="5">
        <f>13100 / 86400</f>
        <v>0.15162037037037038</v>
      </c>
      <c r="I1033" t="s">
        <v>110</v>
      </c>
      <c r="J1033" t="s">
        <v>33</v>
      </c>
      <c r="K1033" s="5">
        <f>39475 / 86400</f>
        <v>0.45688657407407407</v>
      </c>
      <c r="L1033" s="5">
        <f>8405 / 86400</f>
        <v>9.7280092592592599E-2</v>
      </c>
    </row>
    <row r="1034" spans="1:12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</row>
    <row r="1035" spans="1:12" x14ac:dyDescent="0.25">
      <c r="A1035" s="12" t="s">
        <v>112</v>
      </c>
      <c r="B1035" s="12"/>
      <c r="C1035" s="12"/>
      <c r="D1035" s="12"/>
      <c r="E1035" s="12"/>
      <c r="F1035" s="12"/>
      <c r="G1035" s="12"/>
      <c r="H1035" s="12"/>
      <c r="I1035" s="12"/>
      <c r="J1035" s="12"/>
    </row>
  </sheetData>
  <mergeCells count="210">
    <mergeCell ref="A1027:J1027"/>
    <mergeCell ref="A1028:J1028"/>
    <mergeCell ref="A1034:J1034"/>
    <mergeCell ref="A1035:J1035"/>
    <mergeCell ref="A984:J984"/>
    <mergeCell ref="A985:J985"/>
    <mergeCell ref="A986:J986"/>
    <mergeCell ref="A1014:J1014"/>
    <mergeCell ref="A1015:J1015"/>
    <mergeCell ref="A1016:J1016"/>
    <mergeCell ref="A1017:J1017"/>
    <mergeCell ref="A1025:J1025"/>
    <mergeCell ref="A1026:J1026"/>
    <mergeCell ref="A962:J962"/>
    <mergeCell ref="A963:J963"/>
    <mergeCell ref="A964:J964"/>
    <mergeCell ref="A965:J965"/>
    <mergeCell ref="A971:J971"/>
    <mergeCell ref="A972:J972"/>
    <mergeCell ref="A973:J973"/>
    <mergeCell ref="A974:J974"/>
    <mergeCell ref="A983:J983"/>
    <mergeCell ref="A912:J912"/>
    <mergeCell ref="A924:J924"/>
    <mergeCell ref="A925:J925"/>
    <mergeCell ref="A926:J926"/>
    <mergeCell ref="A927:J927"/>
    <mergeCell ref="A951:J951"/>
    <mergeCell ref="A952:J952"/>
    <mergeCell ref="A953:J953"/>
    <mergeCell ref="A954:J954"/>
    <mergeCell ref="A881:J881"/>
    <mergeCell ref="A882:J882"/>
    <mergeCell ref="A895:J895"/>
    <mergeCell ref="A896:J896"/>
    <mergeCell ref="A897:J897"/>
    <mergeCell ref="A898:J898"/>
    <mergeCell ref="A909:J909"/>
    <mergeCell ref="A910:J910"/>
    <mergeCell ref="A911:J911"/>
    <mergeCell ref="A860:J860"/>
    <mergeCell ref="A861:J861"/>
    <mergeCell ref="A862:J862"/>
    <mergeCell ref="A867:J867"/>
    <mergeCell ref="A868:J868"/>
    <mergeCell ref="A869:J869"/>
    <mergeCell ref="A870:J870"/>
    <mergeCell ref="A879:J879"/>
    <mergeCell ref="A880:J880"/>
    <mergeCell ref="A829:J829"/>
    <mergeCell ref="A830:J830"/>
    <mergeCell ref="A831:J831"/>
    <mergeCell ref="A832:J832"/>
    <mergeCell ref="A843:J843"/>
    <mergeCell ref="A844:J844"/>
    <mergeCell ref="A845:J845"/>
    <mergeCell ref="A846:J846"/>
    <mergeCell ref="A859:J859"/>
    <mergeCell ref="A804:J804"/>
    <mergeCell ref="A813:J813"/>
    <mergeCell ref="A814:J814"/>
    <mergeCell ref="A815:J815"/>
    <mergeCell ref="A816:J816"/>
    <mergeCell ref="A822:J822"/>
    <mergeCell ref="A823:J823"/>
    <mergeCell ref="A824:J824"/>
    <mergeCell ref="A825:J825"/>
    <mergeCell ref="A760:J760"/>
    <mergeCell ref="A761:J761"/>
    <mergeCell ref="A780:J780"/>
    <mergeCell ref="A781:J781"/>
    <mergeCell ref="A782:J782"/>
    <mergeCell ref="A783:J783"/>
    <mergeCell ref="A801:J801"/>
    <mergeCell ref="A802:J802"/>
    <mergeCell ref="A803:J803"/>
    <mergeCell ref="A738:J738"/>
    <mergeCell ref="A739:J739"/>
    <mergeCell ref="A740:J740"/>
    <mergeCell ref="A751:J751"/>
    <mergeCell ref="A752:J752"/>
    <mergeCell ref="A753:J753"/>
    <mergeCell ref="A754:J754"/>
    <mergeCell ref="A758:J758"/>
    <mergeCell ref="A759:J759"/>
    <mergeCell ref="A691:J691"/>
    <mergeCell ref="A692:J692"/>
    <mergeCell ref="A693:J693"/>
    <mergeCell ref="A694:J694"/>
    <mergeCell ref="A720:J720"/>
    <mergeCell ref="A721:J721"/>
    <mergeCell ref="A722:J722"/>
    <mergeCell ref="A723:J723"/>
    <mergeCell ref="A737:J737"/>
    <mergeCell ref="A633:J633"/>
    <mergeCell ref="A677:J677"/>
    <mergeCell ref="A678:J678"/>
    <mergeCell ref="A679:J679"/>
    <mergeCell ref="A680:J680"/>
    <mergeCell ref="A683:J683"/>
    <mergeCell ref="A684:J684"/>
    <mergeCell ref="A685:J685"/>
    <mergeCell ref="A686:J686"/>
    <mergeCell ref="A610:J610"/>
    <mergeCell ref="A611:J611"/>
    <mergeCell ref="A624:J624"/>
    <mergeCell ref="A625:J625"/>
    <mergeCell ref="A626:J626"/>
    <mergeCell ref="A627:J627"/>
    <mergeCell ref="A630:J630"/>
    <mergeCell ref="A631:J631"/>
    <mergeCell ref="A632:J632"/>
    <mergeCell ref="A587:J587"/>
    <mergeCell ref="A588:J588"/>
    <mergeCell ref="A589:J589"/>
    <mergeCell ref="A597:J597"/>
    <mergeCell ref="A598:J598"/>
    <mergeCell ref="A599:J599"/>
    <mergeCell ref="A600:J600"/>
    <mergeCell ref="A608:J608"/>
    <mergeCell ref="A609:J609"/>
    <mergeCell ref="A557:J557"/>
    <mergeCell ref="A558:J558"/>
    <mergeCell ref="A559:J559"/>
    <mergeCell ref="A560:J560"/>
    <mergeCell ref="A573:J573"/>
    <mergeCell ref="A574:J574"/>
    <mergeCell ref="A575:J575"/>
    <mergeCell ref="A576:J576"/>
    <mergeCell ref="A586:J586"/>
    <mergeCell ref="A503:J503"/>
    <mergeCell ref="A515:J515"/>
    <mergeCell ref="A516:J516"/>
    <mergeCell ref="A517:J517"/>
    <mergeCell ref="A518:J518"/>
    <mergeCell ref="A536:J536"/>
    <mergeCell ref="A537:J537"/>
    <mergeCell ref="A538:J538"/>
    <mergeCell ref="A539:J539"/>
    <mergeCell ref="A470:J470"/>
    <mergeCell ref="A471:J471"/>
    <mergeCell ref="A494:J494"/>
    <mergeCell ref="A495:J495"/>
    <mergeCell ref="A496:J496"/>
    <mergeCell ref="A497:J497"/>
    <mergeCell ref="A500:J500"/>
    <mergeCell ref="A501:J501"/>
    <mergeCell ref="A502:J502"/>
    <mergeCell ref="A435:J435"/>
    <mergeCell ref="A436:J436"/>
    <mergeCell ref="A437:J437"/>
    <mergeCell ref="A451:J451"/>
    <mergeCell ref="A452:J452"/>
    <mergeCell ref="A453:J453"/>
    <mergeCell ref="A454:J454"/>
    <mergeCell ref="A468:J468"/>
    <mergeCell ref="A469:J469"/>
    <mergeCell ref="A406:J406"/>
    <mergeCell ref="A407:J407"/>
    <mergeCell ref="A408:J408"/>
    <mergeCell ref="A409:J409"/>
    <mergeCell ref="A420:J420"/>
    <mergeCell ref="A421:J421"/>
    <mergeCell ref="A422:J422"/>
    <mergeCell ref="A423:J423"/>
    <mergeCell ref="A434:J434"/>
    <mergeCell ref="A153:J153"/>
    <mergeCell ref="A171:J171"/>
    <mergeCell ref="A172:J172"/>
    <mergeCell ref="A173:J173"/>
    <mergeCell ref="A174:J174"/>
    <mergeCell ref="A394:J394"/>
    <mergeCell ref="A395:J395"/>
    <mergeCell ref="A396:J396"/>
    <mergeCell ref="A397:J397"/>
    <mergeCell ref="A116:J116"/>
    <mergeCell ref="A117:J117"/>
    <mergeCell ref="A132:J132"/>
    <mergeCell ref="A133:J133"/>
    <mergeCell ref="A134:J134"/>
    <mergeCell ref="A135:J135"/>
    <mergeCell ref="A150:J150"/>
    <mergeCell ref="A151:J151"/>
    <mergeCell ref="A152:J152"/>
    <mergeCell ref="A96:J96"/>
    <mergeCell ref="A97:J97"/>
    <mergeCell ref="A98:J98"/>
    <mergeCell ref="A107:J107"/>
    <mergeCell ref="A108:J108"/>
    <mergeCell ref="A109:J109"/>
    <mergeCell ref="A110:J110"/>
    <mergeCell ref="A114:J114"/>
    <mergeCell ref="A115:J115"/>
    <mergeCell ref="A61:J61"/>
    <mergeCell ref="A62:J62"/>
    <mergeCell ref="A63:J63"/>
    <mergeCell ref="A64:J64"/>
    <mergeCell ref="A82:J82"/>
    <mergeCell ref="A83:J83"/>
    <mergeCell ref="A84:J84"/>
    <mergeCell ref="A85:J85"/>
    <mergeCell ref="A95:J95"/>
    <mergeCell ref="A1:J1"/>
    <mergeCell ref="A2:J2"/>
    <mergeCell ref="A3:J3"/>
    <mergeCell ref="A4:J4"/>
    <mergeCell ref="A5:J5"/>
    <mergeCell ref="A6:J6"/>
    <mergeCell ref="A59:J59"/>
    <mergeCell ref="A60:J60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2025-09-22T19:52:38Z</dcterms:created>
  <dcterms:modified xsi:type="dcterms:W3CDTF">2025-09-23T05:35:27Z</dcterms:modified>
</cp:coreProperties>
</file>