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C29DCE6C-343E-4D04-89F5-127052C9324C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426" i="1" l="1"/>
  <c r="K1426" i="1"/>
  <c r="H1426" i="1"/>
  <c r="L1425" i="1"/>
  <c r="K1425" i="1"/>
  <c r="H1425" i="1"/>
  <c r="L1424" i="1"/>
  <c r="K1424" i="1"/>
  <c r="H1424" i="1"/>
  <c r="L1423" i="1"/>
  <c r="K1423" i="1"/>
  <c r="H1423" i="1"/>
  <c r="L1422" i="1"/>
  <c r="K1422" i="1"/>
  <c r="H1422" i="1"/>
  <c r="L1421" i="1"/>
  <c r="K1421" i="1"/>
  <c r="H1421" i="1"/>
  <c r="L1420" i="1"/>
  <c r="K1420" i="1"/>
  <c r="H1420" i="1"/>
  <c r="L1414" i="1"/>
  <c r="K1414" i="1"/>
  <c r="H1414" i="1"/>
  <c r="L1413" i="1"/>
  <c r="K1413" i="1"/>
  <c r="H1413" i="1"/>
  <c r="L1412" i="1"/>
  <c r="K1412" i="1"/>
  <c r="H1412" i="1"/>
  <c r="L1411" i="1"/>
  <c r="K1411" i="1"/>
  <c r="H1411" i="1"/>
  <c r="L1410" i="1"/>
  <c r="K1410" i="1"/>
  <c r="H1410" i="1"/>
  <c r="L1409" i="1"/>
  <c r="K1409" i="1"/>
  <c r="H1409" i="1"/>
  <c r="L1408" i="1"/>
  <c r="K1408" i="1"/>
  <c r="H1408" i="1"/>
  <c r="L1407" i="1"/>
  <c r="K1407" i="1"/>
  <c r="H1407" i="1"/>
  <c r="L1406" i="1"/>
  <c r="K1406" i="1"/>
  <c r="H1406" i="1"/>
  <c r="L1400" i="1"/>
  <c r="K1400" i="1"/>
  <c r="H1400" i="1"/>
  <c r="L1399" i="1"/>
  <c r="K1399" i="1"/>
  <c r="H1399" i="1"/>
  <c r="L1398" i="1"/>
  <c r="K1398" i="1"/>
  <c r="H1398" i="1"/>
  <c r="L1397" i="1"/>
  <c r="K1397" i="1"/>
  <c r="H1397" i="1"/>
  <c r="L1396" i="1"/>
  <c r="K1396" i="1"/>
  <c r="H1396" i="1"/>
  <c r="L1395" i="1"/>
  <c r="K1395" i="1"/>
  <c r="H1395" i="1"/>
  <c r="L1394" i="1"/>
  <c r="K1394" i="1"/>
  <c r="H1394" i="1"/>
  <c r="L1393" i="1"/>
  <c r="K1393" i="1"/>
  <c r="H1393" i="1"/>
  <c r="L1392" i="1"/>
  <c r="K1392" i="1"/>
  <c r="H1392" i="1"/>
  <c r="L1391" i="1"/>
  <c r="K1391" i="1"/>
  <c r="H1391" i="1"/>
  <c r="L1390" i="1"/>
  <c r="K1390" i="1"/>
  <c r="H1390" i="1"/>
  <c r="L1389" i="1"/>
  <c r="K1389" i="1"/>
  <c r="H1389" i="1"/>
  <c r="L1388" i="1"/>
  <c r="K1388" i="1"/>
  <c r="H1388" i="1"/>
  <c r="L1387" i="1"/>
  <c r="K1387" i="1"/>
  <c r="H1387" i="1"/>
  <c r="L1386" i="1"/>
  <c r="K1386" i="1"/>
  <c r="H1386" i="1"/>
  <c r="L1385" i="1"/>
  <c r="K1385" i="1"/>
  <c r="H1385" i="1"/>
  <c r="L1384" i="1"/>
  <c r="K1384" i="1"/>
  <c r="H1384" i="1"/>
  <c r="L1383" i="1"/>
  <c r="K1383" i="1"/>
  <c r="H1383" i="1"/>
  <c r="L1382" i="1"/>
  <c r="K1382" i="1"/>
  <c r="H1382" i="1"/>
  <c r="L1381" i="1"/>
  <c r="K1381" i="1"/>
  <c r="H1381" i="1"/>
  <c r="L1380" i="1"/>
  <c r="K1380" i="1"/>
  <c r="H1380" i="1"/>
  <c r="L1379" i="1"/>
  <c r="K1379" i="1"/>
  <c r="H1379" i="1"/>
  <c r="L1373" i="1"/>
  <c r="K1373" i="1"/>
  <c r="H1373" i="1"/>
  <c r="L1372" i="1"/>
  <c r="K1372" i="1"/>
  <c r="H1372" i="1"/>
  <c r="L1371" i="1"/>
  <c r="K1371" i="1"/>
  <c r="H1371" i="1"/>
  <c r="L1370" i="1"/>
  <c r="K1370" i="1"/>
  <c r="H1370" i="1"/>
  <c r="L1369" i="1"/>
  <c r="K1369" i="1"/>
  <c r="H1369" i="1"/>
  <c r="L1368" i="1"/>
  <c r="K1368" i="1"/>
  <c r="H1368" i="1"/>
  <c r="L1367" i="1"/>
  <c r="K1367" i="1"/>
  <c r="H1367" i="1"/>
  <c r="L1366" i="1"/>
  <c r="K1366" i="1"/>
  <c r="H1366" i="1"/>
  <c r="L1365" i="1"/>
  <c r="K1365" i="1"/>
  <c r="H1365" i="1"/>
  <c r="L1364" i="1"/>
  <c r="K1364" i="1"/>
  <c r="H1364" i="1"/>
  <c r="L1358" i="1"/>
  <c r="K1358" i="1"/>
  <c r="H1358" i="1"/>
  <c r="L1357" i="1"/>
  <c r="K1357" i="1"/>
  <c r="H1357" i="1"/>
  <c r="L1356" i="1"/>
  <c r="K1356" i="1"/>
  <c r="H1356" i="1"/>
  <c r="L1355" i="1"/>
  <c r="K1355" i="1"/>
  <c r="H1355" i="1"/>
  <c r="L1354" i="1"/>
  <c r="K1354" i="1"/>
  <c r="H1354" i="1"/>
  <c r="L1353" i="1"/>
  <c r="K1353" i="1"/>
  <c r="H1353" i="1"/>
  <c r="L1352" i="1"/>
  <c r="K1352" i="1"/>
  <c r="H1352" i="1"/>
  <c r="L1351" i="1"/>
  <c r="K1351" i="1"/>
  <c r="H1351" i="1"/>
  <c r="L1350" i="1"/>
  <c r="K1350" i="1"/>
  <c r="H1350" i="1"/>
  <c r="L1349" i="1"/>
  <c r="K1349" i="1"/>
  <c r="H1349" i="1"/>
  <c r="L1348" i="1"/>
  <c r="K1348" i="1"/>
  <c r="H1348" i="1"/>
  <c r="L1347" i="1"/>
  <c r="K1347" i="1"/>
  <c r="H1347" i="1"/>
  <c r="L1346" i="1"/>
  <c r="K1346" i="1"/>
  <c r="H1346" i="1"/>
  <c r="L1345" i="1"/>
  <c r="K1345" i="1"/>
  <c r="H1345" i="1"/>
  <c r="L1344" i="1"/>
  <c r="K1344" i="1"/>
  <c r="H1344" i="1"/>
  <c r="L1343" i="1"/>
  <c r="K1343" i="1"/>
  <c r="H1343" i="1"/>
  <c r="L1337" i="1"/>
  <c r="K1337" i="1"/>
  <c r="H1337" i="1"/>
  <c r="L1336" i="1"/>
  <c r="K1336" i="1"/>
  <c r="H1336" i="1"/>
  <c r="L1335" i="1"/>
  <c r="K1335" i="1"/>
  <c r="H1335" i="1"/>
  <c r="L1334" i="1"/>
  <c r="K1334" i="1"/>
  <c r="H1334" i="1"/>
  <c r="L1333" i="1"/>
  <c r="K1333" i="1"/>
  <c r="H1333" i="1"/>
  <c r="L1332" i="1"/>
  <c r="K1332" i="1"/>
  <c r="H1332" i="1"/>
  <c r="L1331" i="1"/>
  <c r="K1331" i="1"/>
  <c r="H1331" i="1"/>
  <c r="L1330" i="1"/>
  <c r="K1330" i="1"/>
  <c r="H1330" i="1"/>
  <c r="L1329" i="1"/>
  <c r="K1329" i="1"/>
  <c r="H1329" i="1"/>
  <c r="L1328" i="1"/>
  <c r="K1328" i="1"/>
  <c r="H1328" i="1"/>
  <c r="L1327" i="1"/>
  <c r="K1327" i="1"/>
  <c r="H1327" i="1"/>
  <c r="L1326" i="1"/>
  <c r="K1326" i="1"/>
  <c r="H1326" i="1"/>
  <c r="L1325" i="1"/>
  <c r="K1325" i="1"/>
  <c r="H1325" i="1"/>
  <c r="L1324" i="1"/>
  <c r="K1324" i="1"/>
  <c r="H1324" i="1"/>
  <c r="L1323" i="1"/>
  <c r="K1323" i="1"/>
  <c r="H1323" i="1"/>
  <c r="L1317" i="1"/>
  <c r="K1317" i="1"/>
  <c r="H1317" i="1"/>
  <c r="L1316" i="1"/>
  <c r="K1316" i="1"/>
  <c r="H1316" i="1"/>
  <c r="L1315" i="1"/>
  <c r="K1315" i="1"/>
  <c r="H1315" i="1"/>
  <c r="L1314" i="1"/>
  <c r="K1314" i="1"/>
  <c r="H1314" i="1"/>
  <c r="L1313" i="1"/>
  <c r="K1313" i="1"/>
  <c r="H1313" i="1"/>
  <c r="L1312" i="1"/>
  <c r="K1312" i="1"/>
  <c r="H1312" i="1"/>
  <c r="L1306" i="1"/>
  <c r="K1306" i="1"/>
  <c r="H1306" i="1"/>
  <c r="L1305" i="1"/>
  <c r="K1305" i="1"/>
  <c r="H1305" i="1"/>
  <c r="L1304" i="1"/>
  <c r="K1304" i="1"/>
  <c r="H1304" i="1"/>
  <c r="L1303" i="1"/>
  <c r="K1303" i="1"/>
  <c r="H1303" i="1"/>
  <c r="L1302" i="1"/>
  <c r="K1302" i="1"/>
  <c r="H1302" i="1"/>
  <c r="L1296" i="1"/>
  <c r="K1296" i="1"/>
  <c r="H1296" i="1"/>
  <c r="L1295" i="1"/>
  <c r="K1295" i="1"/>
  <c r="H1295" i="1"/>
  <c r="L1294" i="1"/>
  <c r="K1294" i="1"/>
  <c r="H1294" i="1"/>
  <c r="L1293" i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6" i="1"/>
  <c r="K1286" i="1"/>
  <c r="H1286" i="1"/>
  <c r="L1280" i="1"/>
  <c r="K1280" i="1"/>
  <c r="H1280" i="1"/>
  <c r="L1279" i="1"/>
  <c r="K1279" i="1"/>
  <c r="H1279" i="1"/>
  <c r="L1278" i="1"/>
  <c r="K1278" i="1"/>
  <c r="H1278" i="1"/>
  <c r="L1277" i="1"/>
  <c r="K1277" i="1"/>
  <c r="H1277" i="1"/>
  <c r="L1276" i="1"/>
  <c r="K1276" i="1"/>
  <c r="H1276" i="1"/>
  <c r="L1275" i="1"/>
  <c r="K1275" i="1"/>
  <c r="H1275" i="1"/>
  <c r="L1274" i="1"/>
  <c r="K1274" i="1"/>
  <c r="H1274" i="1"/>
  <c r="L1268" i="1"/>
  <c r="K1268" i="1"/>
  <c r="H1268" i="1"/>
  <c r="L1267" i="1"/>
  <c r="K1267" i="1"/>
  <c r="H1267" i="1"/>
  <c r="L1266" i="1"/>
  <c r="K1266" i="1"/>
  <c r="H1266" i="1"/>
  <c r="L1265" i="1"/>
  <c r="K1265" i="1"/>
  <c r="H1265" i="1"/>
  <c r="L1264" i="1"/>
  <c r="K1264" i="1"/>
  <c r="H1264" i="1"/>
  <c r="L1263" i="1"/>
  <c r="K1263" i="1"/>
  <c r="H1263" i="1"/>
  <c r="L1262" i="1"/>
  <c r="K1262" i="1"/>
  <c r="H1262" i="1"/>
  <c r="L1261" i="1"/>
  <c r="K1261" i="1"/>
  <c r="H1261" i="1"/>
  <c r="L1260" i="1"/>
  <c r="K1260" i="1"/>
  <c r="H1260" i="1"/>
  <c r="L1259" i="1"/>
  <c r="K1259" i="1"/>
  <c r="H1259" i="1"/>
  <c r="L1258" i="1"/>
  <c r="K1258" i="1"/>
  <c r="H1258" i="1"/>
  <c r="L1252" i="1"/>
  <c r="K1252" i="1"/>
  <c r="H1252" i="1"/>
  <c r="L1251" i="1"/>
  <c r="K1251" i="1"/>
  <c r="H1251" i="1"/>
  <c r="L1250" i="1"/>
  <c r="K1250" i="1"/>
  <c r="H1250" i="1"/>
  <c r="L1249" i="1"/>
  <c r="K1249" i="1"/>
  <c r="H1249" i="1"/>
  <c r="L1248" i="1"/>
  <c r="K1248" i="1"/>
  <c r="H1248" i="1"/>
  <c r="L1247" i="1"/>
  <c r="K1247" i="1"/>
  <c r="H1247" i="1"/>
  <c r="L1246" i="1"/>
  <c r="K1246" i="1"/>
  <c r="H1246" i="1"/>
  <c r="L1240" i="1"/>
  <c r="K1240" i="1"/>
  <c r="H1240" i="1"/>
  <c r="L1239" i="1"/>
  <c r="K1239" i="1"/>
  <c r="H1239" i="1"/>
  <c r="L1238" i="1"/>
  <c r="K1238" i="1"/>
  <c r="H1238" i="1"/>
  <c r="L1237" i="1"/>
  <c r="K1237" i="1"/>
  <c r="H1237" i="1"/>
  <c r="L1236" i="1"/>
  <c r="K1236" i="1"/>
  <c r="H1236" i="1"/>
  <c r="L1235" i="1"/>
  <c r="K1235" i="1"/>
  <c r="H1235" i="1"/>
  <c r="L1234" i="1"/>
  <c r="K1234" i="1"/>
  <c r="H1234" i="1"/>
  <c r="L1233" i="1"/>
  <c r="K1233" i="1"/>
  <c r="H1233" i="1"/>
  <c r="L1232" i="1"/>
  <c r="K1232" i="1"/>
  <c r="H1232" i="1"/>
  <c r="L1231" i="1"/>
  <c r="K1231" i="1"/>
  <c r="H1231" i="1"/>
  <c r="L1230" i="1"/>
  <c r="K1230" i="1"/>
  <c r="H1230" i="1"/>
  <c r="L1229" i="1"/>
  <c r="K1229" i="1"/>
  <c r="H1229" i="1"/>
  <c r="L1228" i="1"/>
  <c r="K1228" i="1"/>
  <c r="H1228" i="1"/>
  <c r="L1227" i="1"/>
  <c r="K1227" i="1"/>
  <c r="H1227" i="1"/>
  <c r="L1226" i="1"/>
  <c r="K1226" i="1"/>
  <c r="H1226" i="1"/>
  <c r="L1220" i="1"/>
  <c r="K1220" i="1"/>
  <c r="H1220" i="1"/>
  <c r="L1219" i="1"/>
  <c r="K1219" i="1"/>
  <c r="H1219" i="1"/>
  <c r="L1218" i="1"/>
  <c r="K1218" i="1"/>
  <c r="H1218" i="1"/>
  <c r="L1217" i="1"/>
  <c r="K1217" i="1"/>
  <c r="H1217" i="1"/>
  <c r="L1216" i="1"/>
  <c r="K1216" i="1"/>
  <c r="H1216" i="1"/>
  <c r="L1215" i="1"/>
  <c r="K1215" i="1"/>
  <c r="H1215" i="1"/>
  <c r="L1214" i="1"/>
  <c r="K1214" i="1"/>
  <c r="H1214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4" i="1"/>
  <c r="K1204" i="1"/>
  <c r="H1204" i="1"/>
  <c r="L1203" i="1"/>
  <c r="K1203" i="1"/>
  <c r="H1203" i="1"/>
  <c r="L1202" i="1"/>
  <c r="K1202" i="1"/>
  <c r="H1202" i="1"/>
  <c r="L1201" i="1"/>
  <c r="K1201" i="1"/>
  <c r="H1201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6" i="1"/>
  <c r="K1186" i="1"/>
  <c r="H1186" i="1"/>
  <c r="L1185" i="1"/>
  <c r="K1185" i="1"/>
  <c r="H1185" i="1"/>
  <c r="L1179" i="1"/>
  <c r="K1179" i="1"/>
  <c r="H1179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68" i="1"/>
  <c r="K1168" i="1"/>
  <c r="H1168" i="1"/>
  <c r="L1167" i="1"/>
  <c r="K1167" i="1"/>
  <c r="H1167" i="1"/>
  <c r="L1166" i="1"/>
  <c r="K1166" i="1"/>
  <c r="H1166" i="1"/>
  <c r="L1165" i="1"/>
  <c r="K1165" i="1"/>
  <c r="H1165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9" i="1"/>
  <c r="K1159" i="1"/>
  <c r="H1159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7" i="1"/>
  <c r="K1147" i="1"/>
  <c r="H1147" i="1"/>
  <c r="L1146" i="1"/>
  <c r="K1146" i="1"/>
  <c r="H1146" i="1"/>
  <c r="L1145" i="1"/>
  <c r="K1145" i="1"/>
  <c r="H1145" i="1"/>
  <c r="L1144" i="1"/>
  <c r="K1144" i="1"/>
  <c r="H1144" i="1"/>
  <c r="L1143" i="1"/>
  <c r="K1143" i="1"/>
  <c r="H1143" i="1"/>
  <c r="L1142" i="1"/>
  <c r="K1142" i="1"/>
  <c r="H1142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32" i="1"/>
  <c r="K1132" i="1"/>
  <c r="H1132" i="1"/>
  <c r="L1131" i="1"/>
  <c r="K1131" i="1"/>
  <c r="H1131" i="1"/>
  <c r="L1130" i="1"/>
  <c r="K1130" i="1"/>
  <c r="H1130" i="1"/>
  <c r="L1129" i="1"/>
  <c r="K1129" i="1"/>
  <c r="H1129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09" i="1"/>
  <c r="K1109" i="1"/>
  <c r="H1109" i="1"/>
  <c r="L1108" i="1"/>
  <c r="K1108" i="1"/>
  <c r="H1108" i="1"/>
  <c r="L1107" i="1"/>
  <c r="K1107" i="1"/>
  <c r="H1107" i="1"/>
  <c r="L1106" i="1"/>
  <c r="K1106" i="1"/>
  <c r="H1106" i="1"/>
  <c r="L1105" i="1"/>
  <c r="K1105" i="1"/>
  <c r="H1105" i="1"/>
  <c r="L1104" i="1"/>
  <c r="K1104" i="1"/>
  <c r="H1104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8" i="1"/>
  <c r="K1078" i="1"/>
  <c r="H1078" i="1"/>
  <c r="L1072" i="1"/>
  <c r="K1072" i="1"/>
  <c r="H1072" i="1"/>
  <c r="L1071" i="1"/>
  <c r="K1071" i="1"/>
  <c r="H1071" i="1"/>
  <c r="L1070" i="1"/>
  <c r="K1070" i="1"/>
  <c r="H1070" i="1"/>
  <c r="L1069" i="1"/>
  <c r="K1069" i="1"/>
  <c r="H1069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58" i="1"/>
  <c r="K1058" i="1"/>
  <c r="H1058" i="1"/>
  <c r="L1057" i="1"/>
  <c r="K1057" i="1"/>
  <c r="H1057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34" i="1"/>
  <c r="K1034" i="1"/>
  <c r="H1034" i="1"/>
  <c r="L1033" i="1"/>
  <c r="K1033" i="1"/>
  <c r="H1033" i="1"/>
  <c r="L1032" i="1"/>
  <c r="K1032" i="1"/>
  <c r="H1032" i="1"/>
  <c r="L1031" i="1"/>
  <c r="K1031" i="1"/>
  <c r="H1031" i="1"/>
  <c r="L1030" i="1"/>
  <c r="K1030" i="1"/>
  <c r="H1030" i="1"/>
  <c r="L1029" i="1"/>
  <c r="K1029" i="1"/>
  <c r="H1029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13" i="1"/>
  <c r="K1013" i="1"/>
  <c r="H1013" i="1"/>
  <c r="L1012" i="1"/>
  <c r="K1012" i="1"/>
  <c r="H1012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1000" i="1"/>
  <c r="K1000" i="1"/>
  <c r="H1000" i="1"/>
  <c r="L999" i="1"/>
  <c r="K999" i="1"/>
  <c r="H999" i="1"/>
  <c r="L998" i="1"/>
  <c r="K998" i="1"/>
  <c r="H998" i="1"/>
  <c r="L997" i="1"/>
  <c r="K997" i="1"/>
  <c r="H997" i="1"/>
  <c r="L996" i="1"/>
  <c r="K996" i="1"/>
  <c r="H996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4" i="1"/>
  <c r="K984" i="1"/>
  <c r="H984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2" i="1"/>
  <c r="K972" i="1"/>
  <c r="H972" i="1"/>
  <c r="L971" i="1"/>
  <c r="K971" i="1"/>
  <c r="H971" i="1"/>
  <c r="L970" i="1"/>
  <c r="K970" i="1"/>
  <c r="H970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1" i="1"/>
  <c r="K951" i="1"/>
  <c r="H951" i="1"/>
  <c r="L950" i="1"/>
  <c r="K950" i="1"/>
  <c r="H950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2" i="1"/>
  <c r="K892" i="1"/>
  <c r="H892" i="1"/>
  <c r="L891" i="1"/>
  <c r="K891" i="1"/>
  <c r="H891" i="1"/>
  <c r="L890" i="1"/>
  <c r="K890" i="1"/>
  <c r="H890" i="1"/>
  <c r="L889" i="1"/>
  <c r="K889" i="1"/>
  <c r="H889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84" i="1"/>
  <c r="K884" i="1"/>
  <c r="H884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9" i="1"/>
  <c r="K859" i="1"/>
  <c r="H859" i="1"/>
  <c r="L853" i="1"/>
  <c r="K853" i="1"/>
  <c r="H853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4" i="1"/>
  <c r="K834" i="1"/>
  <c r="H834" i="1"/>
  <c r="L833" i="1"/>
  <c r="K833" i="1"/>
  <c r="H833" i="1"/>
  <c r="L832" i="1"/>
  <c r="K832" i="1"/>
  <c r="H832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91" i="1"/>
  <c r="K791" i="1"/>
  <c r="H791" i="1"/>
  <c r="L790" i="1"/>
  <c r="K790" i="1"/>
  <c r="H790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76" i="1"/>
  <c r="K776" i="1"/>
  <c r="H776" i="1"/>
  <c r="L775" i="1"/>
  <c r="K775" i="1"/>
  <c r="H775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62" i="1"/>
  <c r="K762" i="1"/>
  <c r="H762" i="1"/>
  <c r="L756" i="1"/>
  <c r="K756" i="1"/>
  <c r="H756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2" i="1"/>
  <c r="K742" i="1"/>
  <c r="H742" i="1"/>
  <c r="L741" i="1"/>
  <c r="K741" i="1"/>
  <c r="H741" i="1"/>
  <c r="L740" i="1"/>
  <c r="K740" i="1"/>
  <c r="H740" i="1"/>
  <c r="L739" i="1"/>
  <c r="K739" i="1"/>
  <c r="H739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93" i="1"/>
  <c r="K693" i="1"/>
  <c r="H693" i="1"/>
  <c r="L692" i="1"/>
  <c r="K692" i="1"/>
  <c r="H692" i="1"/>
  <c r="L691" i="1"/>
  <c r="K691" i="1"/>
  <c r="H691" i="1"/>
  <c r="L690" i="1"/>
  <c r="K690" i="1"/>
  <c r="H690" i="1"/>
  <c r="L689" i="1"/>
  <c r="K689" i="1"/>
  <c r="H689" i="1"/>
  <c r="L688" i="1"/>
  <c r="K688" i="1"/>
  <c r="H688" i="1"/>
  <c r="L687" i="1"/>
  <c r="K687" i="1"/>
  <c r="H687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4" i="1"/>
  <c r="K104" i="1"/>
  <c r="H104" i="1"/>
  <c r="L103" i="1"/>
  <c r="K103" i="1"/>
  <c r="H103" i="1"/>
  <c r="L102" i="1"/>
  <c r="K102" i="1"/>
  <c r="H102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<sst xmlns="http://schemas.openxmlformats.org/spreadsheetml/2006/main" count="5315" uniqueCount="504">
  <si>
    <t>Informe de trayectos</t>
  </si>
  <si>
    <t>Periodo: 17 de febrero de 2025 0:00 - 17 de febrero de 2025 23:59</t>
  </si>
  <si>
    <t>Informe generado</t>
  </si>
  <si>
    <t>a: 22 de septiembre de 2025 14:18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</si>
  <si>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</si>
  <si>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</si>
  <si>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</si>
  <si>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</si>
  <si>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</si>
  <si>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</si>
  <si>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</si>
  <si>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</si>
  <si>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</si>
  <si>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</si>
  <si>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</si>
  <si>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</si>
  <si>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</si>
  <si>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</si>
  <si>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</si>
  <si>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86 km/h</t>
  </si>
  <si>
    <t>20 km/h</t>
  </si>
  <si>
    <t>Avenida Lima Norte, Santa Eulalia, Lima Metropolitana, Lima, 15468, Perú</t>
  </si>
  <si>
    <t>88 km/h</t>
  </si>
  <si>
    <t>18 km/h</t>
  </si>
  <si>
    <t>Avenida Los Incas, Ate, Lima Metropolitana, Lima, 15483, Perú</t>
  </si>
  <si>
    <t>Los Huancas, Ate, Lima Metropolitana, Lima, 15483, Perú</t>
  </si>
  <si>
    <t>81 km/h</t>
  </si>
  <si>
    <t>19 km/h</t>
  </si>
  <si>
    <t>Ate, Lima Metropolitana, Lima, 15483, Perú</t>
  </si>
  <si>
    <t>82 km/h</t>
  </si>
  <si>
    <t>15 km/h</t>
  </si>
  <si>
    <t>Calle Manantiales de Vida, Ate, Lima Metropolitana, Lima, 15487, Perú</t>
  </si>
  <si>
    <t>17 km/h</t>
  </si>
  <si>
    <t>72 km/h</t>
  </si>
  <si>
    <t>77 km/h</t>
  </si>
  <si>
    <t>Jirón Tacna, Chosica, Lima Metropolitana, Lima, 15468, Perú, (Ruta4507nueva era 23-10-23)</t>
  </si>
  <si>
    <t>Calle 2, Ate, Lima Metropolitana, Lima, 15487, Perú</t>
  </si>
  <si>
    <t>83 km/h</t>
  </si>
  <si>
    <t>21 km/h</t>
  </si>
  <si>
    <t>Carretera Central, Chaclacayo, Lima Metropolitana, Lima, 15476, Perú</t>
  </si>
  <si>
    <t>Calle los Alamos, Chosica, Lima Metropolitana, Lima, 15468, Perú</t>
  </si>
  <si>
    <t>Avenida Las Retamas, Ricardo Palma, Huarochirí, Lima, 15468, Perú</t>
  </si>
  <si>
    <t>78 km/h</t>
  </si>
  <si>
    <t>Calle Las Gardenias, Ricardo Palma, Huarochirí, Lima, 15468, Perú</t>
  </si>
  <si>
    <t>71 km/h</t>
  </si>
  <si>
    <t>11 km/h</t>
  </si>
  <si>
    <t>Capitan Gamarra, Ricardo Palma, Huarochirí, Lima, 15468, Perú, (Ruta4507nueva era 23-10-23)</t>
  </si>
  <si>
    <t>69 km/h</t>
  </si>
  <si>
    <t>Lurigancho, Lima Metropolitana, Lima, 15468, Perú</t>
  </si>
  <si>
    <t>94 km/h</t>
  </si>
  <si>
    <t>Jirón Coronel Miguel Baquero, 210, Lima, Lima Metropolitana, Lima, 15082, Perú</t>
  </si>
  <si>
    <t>Avenida José Carlos Mariátegui, Ricardo Palma, Huarochirí, Lima, 15468, Perú</t>
  </si>
  <si>
    <t>95 km/h</t>
  </si>
  <si>
    <t>Calle Atahualpa, 200, Chaclacayo, Lima Metropolitana, Lima, 15474, Perú</t>
  </si>
  <si>
    <t>Carretera Central, 200, Chaclacayo, Lima Metropolitana, Lima, 15476, Perú</t>
  </si>
  <si>
    <t>121 km/h</t>
  </si>
  <si>
    <t>Avenida José Carlos Mariátegui, Ate, Lima Metropolitana, Lima, 15487, Perú</t>
  </si>
  <si>
    <t>Calle Nueva Los Alamos, Santa Eulalia, Huarochirí, Lima, 15468, Perú</t>
  </si>
  <si>
    <t>89 km/h</t>
  </si>
  <si>
    <t>Calle Cerro de Pasco, Ate, Lima Metropolitana, Lima, 15498, Perú</t>
  </si>
  <si>
    <t>76 km/h</t>
  </si>
  <si>
    <t>75 km/h</t>
  </si>
  <si>
    <t>16 km/h</t>
  </si>
  <si>
    <t>Avenida Bernard de Balaguer, Lurigancho, Lima Metropolitana, Lima, 15464, Perú</t>
  </si>
  <si>
    <t>90 km/h</t>
  </si>
  <si>
    <t>74 km/h</t>
  </si>
  <si>
    <t>13 km/h</t>
  </si>
  <si>
    <t>Calle 1, Ate, Lima Metropolitana, Lima, 15483, Perú</t>
  </si>
  <si>
    <t>Avenida Las Retamas, Chaclacayo, Lima Metropolitana, Lima, 15474, Perú</t>
  </si>
  <si>
    <t>Avenida Nicolás Ayllón, Ate, Lima Metropolitana, Lima, 15019, Perú, (Ruta4507nueva era 23-10-23)</t>
  </si>
  <si>
    <t>Calle Leoncio Prado, Santa Eulalia, Huarochirí, Lima, 15468, Perú</t>
  </si>
  <si>
    <t>91 km/h</t>
  </si>
  <si>
    <t>Calle Estocolmo, Ate, Lima Metropolitana, Lima, 15498, Perú</t>
  </si>
  <si>
    <t>0 km/h</t>
  </si>
  <si>
    <t>Calle Las Tunas, Santa Anita, Lima Metropolitana, Lima, 15007, Perú</t>
  </si>
  <si>
    <t>14 km/h</t>
  </si>
  <si>
    <t>Calle Los Topacios, Lurigancho, Lima Metropolitana, Lima, 15472, Perú</t>
  </si>
  <si>
    <t>Avenida Los Ruiseñores, Santa Anita, Lima Metropolitana, Lima, 15008, Perú</t>
  </si>
  <si>
    <t>Avenida Alfonso Cobián, Chaclacayo, Lima Metropolitana, Lima, 15476, Perú</t>
  </si>
  <si>
    <t>Carretera Central, Ate, Lima Metropolitana, Lima, 15487, Perú, (Ruta4507nueva era 23-10-23)</t>
  </si>
  <si>
    <t>Avenida Simón Bolívar, Santa Eulalia, Huarochirí, Lima, 15468, Perú</t>
  </si>
  <si>
    <t>Chaclacayo, Lima Metropolitana, Lima, 15474, Perú, (Ruta4507nueva era 23-10-23)</t>
  </si>
  <si>
    <t>Ate, Lima Metropolitana, Lima, 15474, Perú</t>
  </si>
  <si>
    <t>Avenida República de Venezuela, Breña, Lima Metropolitana, Lima, 15082, Perú</t>
  </si>
  <si>
    <t>3 km/h</t>
  </si>
  <si>
    <t>Calle Los Álamos, Ate, Lima Metropolitana, Lima, 15483, Perú</t>
  </si>
  <si>
    <t>43 km/h</t>
  </si>
  <si>
    <t>Avenida Lima Sur, Chosica, Lima Metropolitana, Lima, 15468, Perú</t>
  </si>
  <si>
    <t>Avenida Enrique Guzmán y Valle, Chosica, Lima Metropolitana, Lima, 15468, Perú</t>
  </si>
  <si>
    <t>Carretera Central, Ate, Lima Metropolitana, Lima, 15474, Perú, (Horacio Zeballos, Ruta4507nueva era 23-10-23)</t>
  </si>
  <si>
    <t>96 km/h</t>
  </si>
  <si>
    <t>92 km/h</t>
  </si>
  <si>
    <t>80 km/h</t>
  </si>
  <si>
    <t>Santa Eulalia, Huarochirí, Lima, 15468, Perú</t>
  </si>
  <si>
    <t>Avenida José Santos Chocano, Ricardo Palma, Huarochirí, Lima, 15468, Perú</t>
  </si>
  <si>
    <t>87 km/h</t>
  </si>
  <si>
    <t>Avenida Nicolás de Ayllón, Ate, Lima Metropolitana, Lima, 15487, Perú, (Ruta4507nueva era 23-10-23)</t>
  </si>
  <si>
    <t>67 km/h</t>
  </si>
  <si>
    <t>Ate, Lima Metropolitana, Lima, 15487, Perú</t>
  </si>
  <si>
    <t>79 km/h</t>
  </si>
  <si>
    <t>Corcona, Huarochirí, Lima, Perú</t>
  </si>
  <si>
    <t>73 km/h</t>
  </si>
  <si>
    <t>Avenida Huancaray, Santa Anita, Lima Metropolitana, Lima, 15007, Perú, (RUTA DESVIO TEM.  4507)</t>
  </si>
  <si>
    <t>Avenida 28 de Julio, Lima, Lima Metropolitana, Lima, 15083, Perú</t>
  </si>
  <si>
    <t>100 km/h</t>
  </si>
  <si>
    <t>Calle Junín, Ate, Lima Metropolitana, Lima, 15487, Perú</t>
  </si>
  <si>
    <t>50 km/h</t>
  </si>
  <si>
    <t>8 km/h</t>
  </si>
  <si>
    <t>Calle 3, Chosica, Lima Metropolitana, Lima, 15468, Perú</t>
  </si>
  <si>
    <t>Avenida Colectora, Chosica, Lima Metropolitana, Lima, 15468, Perú</t>
  </si>
  <si>
    <t>Avenida Micaela Bastidas, 561, Santa Eulalia, Huarochirí, Lima, 15468, Perú</t>
  </si>
  <si>
    <t>Carretera Central, Ate, Lima Metropolitana, Lima, 15474, Perú</t>
  </si>
  <si>
    <t>Micaela Bastidas, Ate, Lima Metropolitana, Lima, 15498, Perú</t>
  </si>
  <si>
    <t>Avenida Nicolás de Ayllón, Ate, Lima Metropolitana, Lima, 15498, Perú, (Ruta4507nueva era 23-10-23, RUTA DESVIO TEM.  4507)</t>
  </si>
  <si>
    <t>Avenida Lima Norte, Chosica, Lima Metropolitana, Lima, 15468, Perú, (Ruta4507nueva era 23-10-23)</t>
  </si>
  <si>
    <t>Avenida Lima Norte, Chosica, Lima Metropolitana, Lima, 15468, Perú</t>
  </si>
  <si>
    <t>85 km/h</t>
  </si>
  <si>
    <t>28 km/h</t>
  </si>
  <si>
    <t>10 km/h</t>
  </si>
  <si>
    <t>84 km/h</t>
  </si>
  <si>
    <t>Avenida Nicolás Ayllón, Chaclacayo, Lima Metropolitana, Lima, 15464, Perú, (Ruta4507nueva era 23-10-23)</t>
  </si>
  <si>
    <t>Carretera Central, Chaclacayo, Lima Metropolitana, Lima, 15474, Perú, (S07ÑAÑA, Ruta4507nueva era 23-10-23)</t>
  </si>
  <si>
    <t>Avenida Petit Thouars, 115, Lima, Lima Metropolitana, Lima, 15083, Perú</t>
  </si>
  <si>
    <t>Jirón Chucuito, 187, Chosica, Lima Metropolitana, Lima, 15468, Perú</t>
  </si>
  <si>
    <t>98 km/h</t>
  </si>
  <si>
    <t>Totales:</t>
  </si>
  <si>
    <t/>
  </si>
  <si>
    <t>* Los datos de combustible se calculan de acuerdo con el consumo medio de combustible del vehículo especificado en su configuración</t>
  </si>
  <si>
    <t>Jose Carlos Mariátegui, Ricardo Palma, Lima Metropolitana, Lima, 15468, Perú, (PARADERO RICARDO PALMA)</t>
  </si>
  <si>
    <t>24 km/h</t>
  </si>
  <si>
    <t>Jose Carlos Mariátegui, Chosica, Lima Metropolitana, Lima, 15468, Perú, (PARADERO RICARDO PALMA)</t>
  </si>
  <si>
    <t>Avenida Nicolás de Ayllón, Ate, Lima Metropolitana, Lima, 15002, Perú, (Ruta4507nueva era 23-10-23)</t>
  </si>
  <si>
    <t>Avenida Nicolás de Ayllón, Ate, Lima Metropolitana, Lima, 15008, Perú, (Ruta4507nueva era 23-10-23, RUTA DESVIO TEM.  4507)</t>
  </si>
  <si>
    <t>9 km/h</t>
  </si>
  <si>
    <t>Avenida Río Perene, Ate, Lima Metropolitana, Lima, 15498, Perú</t>
  </si>
  <si>
    <t>22 km/h</t>
  </si>
  <si>
    <t>Avenida Los Ángeles, Ate, Lima Metropolitana, Lima, 15498, Perú</t>
  </si>
  <si>
    <t>Simón Bolívar, Ricardo Palma, Huarochirí, Lima, 15468, Perú</t>
  </si>
  <si>
    <t>Metropolitano, Lima, Lima Metropolitana, Lima, 15001, Perú, (Ruta4507nueva era 23-10-23)</t>
  </si>
  <si>
    <t>Calle Berlín, Ate, Lima Metropolitana, Lima, 15498, Perú</t>
  </si>
  <si>
    <t>70 km/h</t>
  </si>
  <si>
    <t>23 km/h</t>
  </si>
  <si>
    <t>5 km/h</t>
  </si>
  <si>
    <t>2 km/h</t>
  </si>
  <si>
    <t>1 km/h</t>
  </si>
  <si>
    <t>31 km/h</t>
  </si>
  <si>
    <t>Chosica, Lima Metropolitana, Lima, 15468, Perú</t>
  </si>
  <si>
    <t>46 km/h</t>
  </si>
  <si>
    <t>4 km/h</t>
  </si>
  <si>
    <t>Calle Los Robles, Chaclacayo, Lima Metropolitana, Lima, 15472, Perú, (Ruta4507nueva era 23-10-23)</t>
  </si>
  <si>
    <t>29 km/h</t>
  </si>
  <si>
    <t>7 km/h</t>
  </si>
  <si>
    <t>30 km/h</t>
  </si>
  <si>
    <t>6 km/h</t>
  </si>
  <si>
    <t>Avenida Thomas Edison, Ate, Lima Metropolitana, Lima, 15002, Perú</t>
  </si>
  <si>
    <t>Avenida Nicolás de Ayllón, Ate, Lima Metropolitana, Lima, 15002, Perú</t>
  </si>
  <si>
    <t>Avenida Calca, Ate, Lima Metropolitana, Lima, 15008, Perú</t>
  </si>
  <si>
    <t>36 km/h</t>
  </si>
  <si>
    <t>Avenida De Las Torres, San Luis, Lima Metropolitana, Lima, 15022, Perú</t>
  </si>
  <si>
    <t>60 km/h</t>
  </si>
  <si>
    <t>55 km/h</t>
  </si>
  <si>
    <t>Avenida Simón Bolívar, Santa Eulalia, Huarochirí, Lima, 15468, Perú, (Ruta4507nueva era 23-10-23)</t>
  </si>
  <si>
    <t>12 km/h</t>
  </si>
  <si>
    <t>25 km/h</t>
  </si>
  <si>
    <t>Ricardo Palma, Huarochirí, Lima, 15468, Perú, (CURVA RICARDO PALMA, Ruta4507nueva era 23-10-23)</t>
  </si>
  <si>
    <t>Pasaje Gould, Lima, Lima Metropolitana, Lima, 15082, Perú</t>
  </si>
  <si>
    <t>Avenida José Carlos Mariátegui, Ate, Lima Metropolitana, Lima, 15483, Perú</t>
  </si>
  <si>
    <t>59 km/h</t>
  </si>
  <si>
    <t>Avenida José Carlos Mariátegui, Ricardo Palma, Huarochirí, Lima, 15468, Perú, (Ruta4507nueva era 23-10-23)</t>
  </si>
  <si>
    <t>Jirón Sánchez Pinillos, Lima, Lima Metropolitana, Lima, 15082, Perú</t>
  </si>
  <si>
    <t>Avenida Iquitos, Lima, Lima Metropolitana, Lima, 15001, Perú, (Ruta4507nueva era 23-10-23)</t>
  </si>
  <si>
    <t>Carretera Central, Chaclacayo, Lima Metropolitana, Lima, 15474, Perú</t>
  </si>
  <si>
    <t>62 km/h</t>
  </si>
  <si>
    <t>57 km/h</t>
  </si>
  <si>
    <t>Avenida Andrés Avelino Cáceres, Ate, Lima Metropolitana, Lima, 15483, Perú</t>
  </si>
  <si>
    <t>Chaclacayo, Lima Metropolitana, Lima, 15476, Perú</t>
  </si>
  <si>
    <t>49 km/h</t>
  </si>
  <si>
    <t>Pasaje Gould, Lima, Lima Metropolitana, Lima, 15082, Perú, (PARADERO DESTINO ASCOPE)</t>
  </si>
  <si>
    <t>Carretera Central, Ricardo Palma, Huarochirí, Lima, 15468, Perú</t>
  </si>
  <si>
    <t>61 km/h</t>
  </si>
  <si>
    <t>65 km/h</t>
  </si>
  <si>
    <t>52 km/h</t>
  </si>
  <si>
    <t>Calle Córdova, Ricardo Palma, Huarochirí, Lima, 15468, Perú, (Ruta4507nueva era 23-10-23)</t>
  </si>
  <si>
    <t>Jirón Trujillo Sur, Chosica, Lima Metropolitana, Lima, 15468, Perú, (Ruta4507nueva era 23-10-23)</t>
  </si>
  <si>
    <t>Calle Berlin, Ate, Lima Metropolitana, Lima, 15498, Perú</t>
  </si>
  <si>
    <t>Calle Berlín, Ate, Lima Metropolitana, Lima, 15498, Perú, (RUTA DESVIO TEM.  4507)</t>
  </si>
  <si>
    <t>Avenida Lima Sur, Chosica, Lima Metropolitana, Lima, 15468, Perú, (Ruta4507nueva era 23-10-23)</t>
  </si>
  <si>
    <t>Avenida Las Flores, Chosica, Lima Metropolitana, Lima, 15468, Perú, (Ruta4507nueva era 23-10-23)</t>
  </si>
  <si>
    <t>Avenida Las Flores, Lurigancho, Lima Metropolitana, Lima, 15468, Perú, (Ruta4507nueva era 23-10-23)</t>
  </si>
  <si>
    <t>53 km/h</t>
  </si>
  <si>
    <t>Carretera Central, Lurigancho, Lima Metropolitana, Lima, 15472, Perú, (Ruta4507nueva era 23-10-23)</t>
  </si>
  <si>
    <t>Avenida Nicolás Ayllón, Chaclacayo, Lima Metropolitana, Lima, 15472, Perú, (Ruta4507nueva era 23-10-23)</t>
  </si>
  <si>
    <t>64 km/h</t>
  </si>
  <si>
    <t>37 km/h</t>
  </si>
  <si>
    <t>48 km/h</t>
  </si>
  <si>
    <t>Carretera Central, Chaclacayo, Lima Metropolitana, Lima, 15476, Perú, (Ruta4507nueva era 23-10-23)</t>
  </si>
  <si>
    <t>42 km/h</t>
  </si>
  <si>
    <t>58 km/h</t>
  </si>
  <si>
    <t>Carretera Central, Chaclacayo, Lima Metropolitana, Lima, 15474, Perú, (Ruta4507nueva era 23-10-23)</t>
  </si>
  <si>
    <t>34 km/h</t>
  </si>
  <si>
    <t>Carretera Central, Km. 17.5, Chaclacayo, Lima Metropolitana, Lima, 15474, Perú, (Ruta4507nueva era 23-10-23)</t>
  </si>
  <si>
    <t>Carretera Central, Ate, Lima Metropolitana, Lima, 15474, Perú, (Ruta4507nueva era 23-10-23)</t>
  </si>
  <si>
    <t>40 km/h</t>
  </si>
  <si>
    <t>Carretera Central, Lurigancho, Lima Metropolitana, Lima, 15483, Perú, (Ruta4507nueva era 23-10-23)</t>
  </si>
  <si>
    <t>Avenida Jaime Zubieta Calderón, Ate, Lima Metropolitana, Lima, 15483, Perú, (Ruta4507nueva era 23-10-23)</t>
  </si>
  <si>
    <t>Avenida Jaime Zubieta Calderón, Ate, Lima Metropolitana, Lima, 15483, Perú</t>
  </si>
  <si>
    <t>33 km/h</t>
  </si>
  <si>
    <t>Avenida Lima Sur, 1471, Chosica, Lima Metropolitana, Lima, 15468, Perú, (Ruta4507nueva era 23-10-23)</t>
  </si>
  <si>
    <t>Jirón Trujillo Norte, Chosica, Lima Metropolitana, Lima, 15468, Perú, (Ruta4507nueva era 23-10-23)</t>
  </si>
  <si>
    <t>Jirón Tacna, 430, Chosica, Lima Metropolitana, Lima, 15468, Perú, (Ruta4507nueva era 23-10-23)</t>
  </si>
  <si>
    <t>Jirón Tacna, Chosica, Lima Metropolitana, Lima, 15468, Perú</t>
  </si>
  <si>
    <t>Avenida Lima Sur, 765, Chosica, Lima Metropolitana, Lima, 15468, Perú, (Ruta4507nueva era 23-10-23)</t>
  </si>
  <si>
    <t>Avenida Lima Sur, Chosica, Lima Metropolitana, Lima, 15468, Perú, (S09 CHOSICA/ PEDREGAL, Ruta4507nueva era 23-10-23)</t>
  </si>
  <si>
    <t>Calle Los Geranios, Chosica, Lima Metropolitana, Lima, 15468, Perú, (Ruta4507nueva era 23-10-23)</t>
  </si>
  <si>
    <t>56 km/h</t>
  </si>
  <si>
    <t>44 km/h</t>
  </si>
  <si>
    <t>35 km/h</t>
  </si>
  <si>
    <t>Avenida Malecón Manco Cápac, Chaclacayo, Lima Metropolitana, Lima, 15472, Perú, (Ruta4507nueva era 23-10-23)</t>
  </si>
  <si>
    <t>51 km/h</t>
  </si>
  <si>
    <t>Carretera Central, Chaclacayo, Lima Metropolitana, Lima, 15464, Perú</t>
  </si>
  <si>
    <t>Carretera Central, Chaclacayo, Lima Metropolitana, Lima, 15464, Perú, (Ruta4507nueva era 23-10-23)</t>
  </si>
  <si>
    <t>68 km/h</t>
  </si>
  <si>
    <t>63 km/h</t>
  </si>
  <si>
    <t>Carretera Central, Ate, Lima Metropolitana, Lima, 15487, Perú, (S06 SANTA CLARA, Ruta4507nueva era 23-10-23)</t>
  </si>
  <si>
    <t>Avenida Nicolás de Ayllón, 816-818, Ate, Lima Metropolitana, Lima, 15487, Perú, (Ruta4507nueva era 23-10-23)</t>
  </si>
  <si>
    <t>Avenida Nicolás de Ayllón, Ate, Lima Metropolitana, Lima, 15498, Perú, (Ruta4507nueva era 23-10-23)</t>
  </si>
  <si>
    <t>Ate, Lima Metropolitana, Lima, 15498, Perú, (Ruta4507nueva era 23-10-23)</t>
  </si>
  <si>
    <t>41 km/h</t>
  </si>
  <si>
    <t>Avenida Nicolás de Ayllón, Ate, Lima Metropolitana, Lima, 15498, Perú</t>
  </si>
  <si>
    <t>Víctor Raúl Haya de la Torre, Ate, Lima Metropolitana, Lima, 15498, Perú, (Ruta4507nueva era 23-10-23)</t>
  </si>
  <si>
    <t>Avenida Nicolás de Ayllón, Santa Anita, Lima Metropolitana, Lima, 15498, Perú, (Ruta4507nueva era 23-10-23)</t>
  </si>
  <si>
    <t>Avenida Nicolás de Ayllón, Santa Anita, Lima Metropolitana, Lima, 15009, Perú, (Ruta4507nueva era 23-10-23)</t>
  </si>
  <si>
    <t>27 km/h</t>
  </si>
  <si>
    <t>Las Alondras, Santa Anita, Lima Metropolitana, Lima, 15008, Perú, (Ruta4507nueva era 23-10-23)</t>
  </si>
  <si>
    <t>Avenida Nicolás de Ayllón, Santa Anita, Lima Metropolitana, Lima, 15008, Perú, (Ruta4507nueva era 23-10-23)</t>
  </si>
  <si>
    <t>Avenida Nicolás de Ayllón, Ate, Lima Metropolitana, Lima, 15008, Perú, (Ruta4507nueva era 23-10-23)</t>
  </si>
  <si>
    <t>Vía de Evitamiento, Ate, Lima Metropolitana, Lima, 15008, Perú, (Ruta4507nueva era 23-10-23)</t>
  </si>
  <si>
    <t>Avenida Nicolás de Ayllón, El Agustino, Lima Metropolitana, Lima, 15008, Perú, (Ruta4507nueva era 23-10-23, RUTA DESVIO TEM.  4507)</t>
  </si>
  <si>
    <t>Avenida Nicolás de Ayllón, Ate, Lima Metropolitana, Lima, 15002, Perú, (Ruta4507nueva era 23-10-23, RUTA DESVIO TEM.  4507)</t>
  </si>
  <si>
    <t>Jirón Los Lirios, Ate, Lima Metropolitana, Lima, 15019, Perú</t>
  </si>
  <si>
    <t>45 km/h</t>
  </si>
  <si>
    <t>Avenida Andrés Avelino Cáceres, Ate, Lima Metropolitana, Lima, 15019, Perú</t>
  </si>
  <si>
    <t>Avenida Inca Garcilazo de la Vega, Lima, Lima Metropolitana, Lima, 15004, Perú</t>
  </si>
  <si>
    <t>Avenida Inca Garcilazo de la Vega, El Agustino, Lima Metropolitana, Lima, 15004, Perú, (Ruta4507nueva era 23-10-23)</t>
  </si>
  <si>
    <t>Avenida Nicolás Ayllón, 137, Lima, Lima Metropolitana, Lima, 15011, Perú, (Ruta4507nueva era 23-10-23)</t>
  </si>
  <si>
    <t>Avenida Almirante Miguel Grau, 1553, Lima, Lima Metropolitana, Lima, 15011, Perú, (Ruta4507nueva era 23-10-23)</t>
  </si>
  <si>
    <t>Avenida Almirante Miguel Grau, 1518, Lima, Lima Metropolitana, Lima, 15011, Perú, (Ruta4507nueva era 23-10-23)</t>
  </si>
  <si>
    <t>Avenida Almirante Miguel Grau, 1110, La Victoria, Lima Metropolitana, Lima, 15011, Perú, (Ruta4507nueva era 23-10-23)</t>
  </si>
  <si>
    <t>47 km/h</t>
  </si>
  <si>
    <t>Avenida Almirante Miguel Grau, 848, Lima, Lima Metropolitana, Lima, 15001, Perú, (Ruta4507nueva era 23-10-23)</t>
  </si>
  <si>
    <t>Avenida Almirante Miguel Grau, 619, Lima, Lima Metropolitana, Lima, 15001, Perú, (S02 AV.GRAU/ JR ANDAHUAYLAS, Ruta4507nueva era 23-10-23)</t>
  </si>
  <si>
    <t>54 km/h</t>
  </si>
  <si>
    <t>Avenida Paseo de la República, Lima, Lima Metropolitana, Lima, 15083, Perú, (Ruta4507nueva era 23-10-23)</t>
  </si>
  <si>
    <t>Avenida Paseo de la República, 400, Jesús María, Lima Metropolitana, Lima, 15001, Perú</t>
  </si>
  <si>
    <t>Avenida Paseo de la República, Lima, Lima Metropolitana, Lima, 15083, Perú</t>
  </si>
  <si>
    <t>Avenida Paseo de la República, 571, La Victoria, Lima Metropolitana, Lima, 15083, Perú</t>
  </si>
  <si>
    <t>Avenida Paseo de la República, 683, La Victoria, Lima Metropolitana, Lima, 15083, Perú</t>
  </si>
  <si>
    <t>Avenida Paseo de la República, 385, La Victoria, Lima Metropolitana, Lima, 15001, Perú</t>
  </si>
  <si>
    <t>Vía Expresa Almirante Miguel Grau, La Victoria, Lima Metropolitana, Lima, 15001, Perú, (Ruta4507nueva era 23-10-23)</t>
  </si>
  <si>
    <t>Avenida Almirante Miguel Grau, 199, Lima, Lima Metropolitana, Lima, 15001, Perú, (Ruta4507nueva era 23-10-23)</t>
  </si>
  <si>
    <t>Avenida Almirante Miguel Grau, La Victoria, Lima Metropolitana, Lima, 15001, Perú, (Ruta4507nueva era 23-10-23)</t>
  </si>
  <si>
    <t>Avenida Almirante Miguel Grau, 354, Lima, Lima Metropolitana, Lima, 15001, Perú, (Ruta4507nueva era 23-10-23)</t>
  </si>
  <si>
    <t>Vía Expresa Almirante Miguel Grau, Lima, Lima Metropolitana, Lima, 15001, Perú, (Ruta4507nueva era 23-10-23)</t>
  </si>
  <si>
    <t>Avenida Almirante Miguel Grau, 800, La Victoria, Lima Metropolitana, Lima, 15011, Perú, (Ruta4507nueva era 23-10-23)</t>
  </si>
  <si>
    <t>Vía Expresa Almirante Miguel Grau, La Victoria, Lima Metropolitana, Lima, 15011, Perú, (Ruta4507nueva era 23-10-23)</t>
  </si>
  <si>
    <t>32 km/h</t>
  </si>
  <si>
    <t>Vía Expresa Almirante Miguel Grau, Lima, Lima Metropolitana, Lima, 15011, Perú, (Ruta4507nueva era 23-10-23)</t>
  </si>
  <si>
    <t>Avenida Almirante Miguel Grau, Lima, Lima Metropolitana, Lima, 15011, Perú, (Ruta4507nueva era 23-10-23)</t>
  </si>
  <si>
    <t>Avenida Nicolás Ayllón, Lima, Lima Metropolitana, Lima, 15011, Perú, (Ruta4507nueva era 23-10-23)</t>
  </si>
  <si>
    <t>Avenida Nicolás de Ayllón, Lima, Lima Metropolitana, Lima, 15011, Perú, (Ruta4507nueva era 23-10-23)</t>
  </si>
  <si>
    <t>Auxiliar Avenida Circunvalación, La Victoria, Lima Metropolitana, Lima, 15019, Perú</t>
  </si>
  <si>
    <t>Avenida Circunvalación, San Luis, Lima Metropolitana, Lima, 15019, Perú</t>
  </si>
  <si>
    <t>Avenida Nicolás Arriola, San Luis, Lima Metropolitana, Lima, 15019, Perú, (RUTA DESVIO TEM.  4507)</t>
  </si>
  <si>
    <t>Avenida Nicolás de Ayllón, San Luis, Lima Metropolitana, Lima, 15022, Perú, (Ruta4507nueva era 23-10-23, RUTA DESVIO TEM.  4507)</t>
  </si>
  <si>
    <t>Avenida Los Castillos, Ate, Lima Metropolitana, Lima, 15008, Perú</t>
  </si>
  <si>
    <t>Avenida Nicolás de Ayllón, Ate, Lima Metropolitana, Lima, 15009, Perú, (Ruta4507nueva era 23-10-23)</t>
  </si>
  <si>
    <t>Víctor Raúl Haya de la Torre, Ate, Lima Metropolitana, Lima, 15498, Perú</t>
  </si>
  <si>
    <t>Victor Raul Haya de la Torre, Ate, Lima Metropolitana, Lima, 15498, Perú, (Ruta4507nueva era 23-10-23, RUTA DESVIO TEM.  4507)</t>
  </si>
  <si>
    <t>Victor Raul Haya de la Torre, Ate, Lima Metropolitana, Lima, 15498, Perú</t>
  </si>
  <si>
    <t>Avenida José Carlos Mariátegui, Ate, Lima Metropolitana, Lima, 15498, Perú, (S05Vitarte/ ALT. Hospital, Ruta4507nueva era 23-10-23)</t>
  </si>
  <si>
    <t>Calle El Trabajo, Ate, Lima Metropolitana, Lima, 15498, Perú, (Ruta4507nueva era 23-10-23)</t>
  </si>
  <si>
    <t>Avenida Esperanza, Ate, Lima Metropolitana, Lima, 15487, Perú, (Ruta4507nueva era 23-10-23)</t>
  </si>
  <si>
    <t>Carretera Central, 1030, Ate, Lima Metropolitana, Lima, 15487, Perú, (Ruta4507nueva era 23-10-23)</t>
  </si>
  <si>
    <t>Avenida Gloria Grande, Ate, Lima Metropolitana, Lima, 15483, Perú, (Ruta4507nueva era 23-10-23)</t>
  </si>
  <si>
    <t>Avenida Jaime Zubieta Calderon, Ate, Lima Metropolitana, Lima, 15483, Perú, (Ruta4507nueva era 23-10-23)</t>
  </si>
  <si>
    <t>66 km/h</t>
  </si>
  <si>
    <t>Avenida Nicolás Ayllón, 477, Chaclacayo, Lima Metropolitana, Lima, 15472, Perú, (Ruta4507nueva era 23-10-23)</t>
  </si>
  <si>
    <t>Avenida Nicolás Ayllón, 582-598, Chaclacayo, Lima Metropolitana, Lima, 15472, Perú, (Ruta4507nueva era 23-10-23)</t>
  </si>
  <si>
    <t>26 km/h</t>
  </si>
  <si>
    <t>Avenida Lima Sur, 275, Chosica, Lima Metropolitana, Lima, 15468, Perú, (Ruta4507nueva era 23-10-23)</t>
  </si>
  <si>
    <t>Calle Salaverry, 280, Chosica, Lima Metropolitana, Lima, 15468, Perú, (Ruta4507nueva era 23-10-23)</t>
  </si>
  <si>
    <t>Jirón Trujillo Sur, 496, Chosica, Lima Metropolitana, Lima, 15468, Perú, (Ruta4507nueva era 23-10-23)</t>
  </si>
  <si>
    <t>Avenida Nicolás Ayllón, 2274, Chaclacayo, Lima Metropolitana, Lima, 15472, Perú, (Ruta4507nueva era 23-10-23)</t>
  </si>
  <si>
    <t>Ate, Lima Metropolitana, Lima, 15487, Perú, (Ruta4507nueva era 23-10-23)</t>
  </si>
  <si>
    <t>39 km/h</t>
  </si>
  <si>
    <t>Avenida Nicolás de Ayllón, 836, Ate, Lima Metropolitana, Lima, 15487, Perú, (Ruta4507nueva era 23-10-23)</t>
  </si>
  <si>
    <t>Avenida Central, Ate, Lima Metropolitana, Lima, 15498, Perú, (Ruta4507nueva era 23-10-23, RUTA DESVIO TEM.  4507)</t>
  </si>
  <si>
    <t>Avenida Nicolás de Ayllón, 500, Ate, Lima Metropolitana, Lima, 15498, Perú, (Ruta4507nueva era 23-10-23)</t>
  </si>
  <si>
    <t>Victor Raul Haya de la Torre, Ate, Lima Metropolitana, Lima, 15498, Perú, (Ruta4507nueva era 23-10-23)</t>
  </si>
  <si>
    <t>Avenida Separadora Industrial, Ate, Lima Metropolitana, Lima, 15498, Perú, (Ruta4507nueva era 23-10-23)</t>
  </si>
  <si>
    <t>Avenida Nicolás de Ayllón, 1113, Santa Anita, Lima Metropolitana, Lima, 15009, Perú, (Ruta4507nueva era 23-10-23)</t>
  </si>
  <si>
    <t>Las Alondras, 237, Santa Anita, Lima Metropolitana, Lima, 15008, Perú, (Ruta4507nueva era 23-10-23)</t>
  </si>
  <si>
    <t>Las Alondras, Santa Anita, Lima Metropolitana, Lima, 15008, Perú</t>
  </si>
  <si>
    <t>Las Alondras, 175, Santa Anita, Lima Metropolitana, Lima, 15008, Perú, (Ruta4507nueva era 23-10-23)</t>
  </si>
  <si>
    <t>Avenida Francisco Bolognesi, Santa Anita, Lima Metropolitana, Lima, 15008, Perú, (Ruta4507nueva era 23-10-23)</t>
  </si>
  <si>
    <t>Vía de Evitamiento, Ate, Lima Metropolitana, Lima, 15008, Perú, (Ruta4507nueva era 23-10-23, RUTA DESVIO TEM.  4507)</t>
  </si>
  <si>
    <t>Avenida Nicolás de Ayllón, El Agustino, Lima Metropolitana, Lima, 15002, Perú, (Ruta4507nueva era 23-10-23, RUTA DESVIO TEM.  4507)</t>
  </si>
  <si>
    <t>Avenida 26 de Julio, Ate, Lima Metropolitana, Lima, 15019, Perú</t>
  </si>
  <si>
    <t>Calle Ollanta, San Luis, Lima Metropolitana, Lima, 15019, Perú</t>
  </si>
  <si>
    <t>Avenida Inca Garcilazo de la Vega, El Agustino, Lima Metropolitana, Lima, 15004, Perú</t>
  </si>
  <si>
    <t>Avenida José de la Riva Aguero, Lima, Lima Metropolitana, Lima, 15004, Perú</t>
  </si>
  <si>
    <t>Avenida Nicolás de Ayllón, 248-250, Lima, Lima Metropolitana, Lima, 15011, Perú, (Ruta4507nueva era 23-10-23)</t>
  </si>
  <si>
    <t>Avenida Almirante Miguel Grau, 1233, Lima, Lima Metropolitana, Lima, 15011, Perú, (Ruta4507nueva era 23-10-23)</t>
  </si>
  <si>
    <t>Avenida Almirante Miguel Grau, 1200, Lima, Lima Metropolitana, Lima, 15011, Perú, (Ruta4507nueva era 23-10-23)</t>
  </si>
  <si>
    <t>Avenida Almirante Miguel Grau, 369, Lima, Lima Metropolitana, Lima, 15001, Perú, (Ruta4507nueva era 23-10-23)</t>
  </si>
  <si>
    <t>Avenida Almirante Miguel Grau, 243, Lima, Lima Metropolitana, Lima, 15001, Perú, (Ruta4507nueva era 23-10-23)</t>
  </si>
  <si>
    <t>Avenida 28 de Julio, 970, Jesús María, Lima Metropolitana, Lima, 15083, Perú</t>
  </si>
  <si>
    <t>Avenida 28 de Julio, 715, Jesús María, Lima Metropolitana, Lima, 15083, Perú</t>
  </si>
  <si>
    <t>Avenida Guzmán Blanco, 439, Lima, Lima Metropolitana, Lima, 15046, Perú</t>
  </si>
  <si>
    <t>Plaza Francisco Bolognesi, Lima, Lima Metropolitana, Lima, 15083, Perú, (Ruta4507nueva era 23-10-23)</t>
  </si>
  <si>
    <t>Plaza Francisco Bolognesi, 590, Jesús María, Lima Metropolitana, Lima, 15083, Perú, (Ruta4507nueva era 23-10-23)</t>
  </si>
  <si>
    <t>Avenida Alfonso Ugarte, 1439, Lima, Lima Metropolitana, Lima, 15083, Perú, (Ruta4507nueva era 23-10-23)</t>
  </si>
  <si>
    <t>Avenida Alfonso Ugarte, Lima, Lima Metropolitana, Lima, 15083, Perú, (Ruta4507nueva era 23-10-23)</t>
  </si>
  <si>
    <t>Avenida Alfonso Ugarte, 1409, Lima, Lima Metropolitana, Lima, 15083, Perú, (Ruta4507nueva era 23-10-23)</t>
  </si>
  <si>
    <t>Avenida Alfonso Ugarte, 1302, Breña, Lima Metropolitana, Lima, 15083, Perú, (Ruta4507nueva era 23-10-23)</t>
  </si>
  <si>
    <t>Avenida Alfonso Ugarte, 1227, Breña, Lima Metropolitana, Lima, 15083, Perú, (Ruta4507nueva era 23-10-23)</t>
  </si>
  <si>
    <t>Jirón Zepita, 101, Lima, Lima Metropolitana, Lima, 15082, Perú, (Ruta4507nueva era 23-10-23)</t>
  </si>
  <si>
    <t>Avenida Alfonso Ugarte, Lima, Lima Metropolitana, Lima, 15082, Perú, (Ruta4507nueva era 23-10-23)</t>
  </si>
  <si>
    <t>Jirón Sánchez Pinillos, 189, Lima, Lima Metropolitana, Lima, 15082, Perú, (Ruta4507nueva era 23-10-23)</t>
  </si>
  <si>
    <t>Jirón Huarochirí, 643, Lima, Lima Metropolitana, Lima, 15082, Perú</t>
  </si>
  <si>
    <t>Avenida Óscar Raimundo Benavides, 150, Lima, Lima Metropolitana, Lima, 15082, Perú, (Ruta4507nueva era 23-10-23)</t>
  </si>
  <si>
    <t>Ciclovía Colonial, Lima, Lima Metropolitana, Lima, 15082, Perú, (Ruta4507nueva era 23-10-23)</t>
  </si>
  <si>
    <t>Avenida Alfonso Ugarte, 1006, Lima, Lima Metropolitana, Lima, 15082, Perú, (Ruta4507nueva era 23-10-23)</t>
  </si>
  <si>
    <t>38 km/h</t>
  </si>
  <si>
    <t>Avenida Alfonso Ugarte, 1280, Breña, Lima Metropolitana, Lima, 15083, Perú, (Ruta4507nueva era 23-10-23)</t>
  </si>
  <si>
    <t>Avenida Alfonso Ugarte, 1356, Breña, Lima Metropolitana, Lima, 15083, Perú</t>
  </si>
  <si>
    <t>Avenida Alfonso Ugarte, 1356, Breña, Lima Metropolitana, Lima, 15083, Perú, (Ruta4507nueva era 23-10-23)</t>
  </si>
  <si>
    <t>Avenida Alfonso Ugarte, 494, Breña, Lima Metropolitana, Lima, 15083, Perú, (Ruta4507nueva era 23-10-23)</t>
  </si>
  <si>
    <t>Plaza Jorge Chávez, Jesús María, Lima Metropolitana, Lima, 15083, Perú</t>
  </si>
  <si>
    <t>Avenida República de Chile, Jesús María, Lima Metropolitana, Lima, 15083, Perú</t>
  </si>
  <si>
    <t>Vía Expresa Luis Fernán Bedoya Reyes, La Victoria, Lima Metropolitana, Lima, 15001, Perú</t>
  </si>
  <si>
    <t>Vía Expresa Luis Fernán Bedoya Reyes, La Victoria, Lima Metropolitana, Lima, 15001, Perú, (Ruta4507nueva era 23-10-23)</t>
  </si>
  <si>
    <t>Avenida Almirante Miguel Grau, 1400, Lima, Lima Metropolitana, Lima, 15011, Perú, (Ruta4507nueva era 23-10-23)</t>
  </si>
  <si>
    <t>Avenida Almirante Miguel Grau, 1380, Lima, Lima Metropolitana, Lima, 15011, Perú, (Ruta4507nueva era 23-10-23)</t>
  </si>
  <si>
    <t>Avenida Almirante Miguel Grau, Lima, Lima Metropolitana, Lima, 15011, Perú</t>
  </si>
  <si>
    <t>Prolongación Avenida San Pablo, Lima, Lima Metropolitana, Lima, 15011, Perú, (Ruta4507nueva era 23-10-23)</t>
  </si>
  <si>
    <t>Avenida Nicolás de Ayllón, San Luis, Lima Metropolitana, Lima, 15019, Perú, (Ruta4507nueva era 23-10-23)</t>
  </si>
  <si>
    <t>Avenida Circunvalación, La Victoria, Lima Metropolitana, Lima, 15019, Perú</t>
  </si>
  <si>
    <t>Auxiliar Avenida Nicolás Arriola, San Luis, Lima Metropolitana, Lima, 15019, Perú, (RUTA DESVIO TEM.  4507)</t>
  </si>
  <si>
    <t>Avenida De Las Torres, San Luis, Lima Metropolitana, Lima, 15022, Perú, (Ruta4507nueva era 23-10-23, RUTA DESVIO TEM.  4507)</t>
  </si>
  <si>
    <t>Calle Santa Inés, Ate, Lima Metropolitana, Lima, 15008, Perú, (Ruta4507nueva era 23-10-23, RUTA DESVIO TEM.  4507)</t>
  </si>
  <si>
    <t>Avenida Nicolás de Ayllón, 2950, Ate, Lima Metropolitana, Lima, 15008, Perú, (Ruta4507nueva era 23-10-23)</t>
  </si>
  <si>
    <t>Avenida La Molina, Ate, Lima Metropolitana, Lima, 15008, Perú, (Ruta4507nueva era 23-10-23)</t>
  </si>
  <si>
    <t>Calle Julieta, 104, Ate, Lima Metropolitana, Lima, 15009, Perú, (Ruta4507nueva era 23-10-23)</t>
  </si>
  <si>
    <t>Avenida Nicolás de Ayllón, Km. 3.5, Santa Anita, Lima Metropolitana, Lima, 00051, Perú, (Ruta4507nueva era 23-10-23)</t>
  </si>
  <si>
    <t>Avenida Nicolás de Ayllón, 4770, Ate, Lima Metropolitana, Lima, 15498, Perú, (Ruta4507nueva era 23-10-23)</t>
  </si>
  <si>
    <t>Avenida Nicolás de Ayllón, Ate, Lima Metropolitana, Lima, 15498, Perú, (S05Vitarte/ ALT. Hospital)</t>
  </si>
  <si>
    <t>Avenida José Carlos Mariátegui, Ate, Lima Metropolitana, Lima, 15498, Perú, (S05Vitarte/ ALT. Hospital)</t>
  </si>
  <si>
    <t>Avenida Nicolás de Ayllón, 6376, Ate, Lima Metropolitana, Lima, 15498, Perú, (Ruta4507nueva era 23-10-23)</t>
  </si>
  <si>
    <t>Avenida Nicolás de Ayllón, Ate, Lima Metropolitana, Lima, 15487, Perú</t>
  </si>
  <si>
    <t>Carretera Central, Ate, Lima Metropolitana, Lima, 15487, Perú</t>
  </si>
  <si>
    <t>Carretera Central, Ate, Lima Metropolitana, Lima, 15474, Perú, (Horacio Zeballos)</t>
  </si>
  <si>
    <t>Avenida José Carlos Mariátegui, Ate, Lima Metropolitana, Lima, 15474, Perú, (Horacio Zeballos)</t>
  </si>
  <si>
    <t>Avenida Nicolás Ayllón, 161 C, Chaclacayo, Lima Metropolitana, Lima, 15464, Perú, (Ruta4507nueva era 23-10-23)</t>
  </si>
  <si>
    <t>Avenida Nicolás Ayllón, 900, Chaclacayo, Lima Metropolitana, Lima, 15472, Perú, (Ruta4507nueva era 23-10-23)</t>
  </si>
  <si>
    <t>Jirón Trujillo Sur, Chosica, Lima Metropolitana, Lima, 15468, Perú</t>
  </si>
  <si>
    <t>Avenida Lima Sur, 824, Chosica, Lima Metropolitana, Lima, 15468, Perú, (Ruta4507nueva era 23-10-23)</t>
  </si>
  <si>
    <t>Avenida Unión, Chaclacayo, Lima Metropolitana, Lima, 15476, Perú, (Ruta4507nueva era 23-10-23)</t>
  </si>
  <si>
    <t>Carretera Central, Ate, Lima Metropolitana, Lima, 15483, Perú, (Ruta4507nueva era 23-10-23)</t>
  </si>
  <si>
    <t>Carretera Central, Lurigancho, Lima Metropolitana, Lima, 15483, Perú</t>
  </si>
  <si>
    <t>Calle Cesar Vallejo, Ricardo Palma, Huarochirí, Lima, 15468, Perú</t>
  </si>
  <si>
    <t>Calle Digoberto Ojeda, Ricardo Palma, Huarochirí, Lima, 15468, Perú</t>
  </si>
  <si>
    <t>Calle Abraham Valdelomar, 108, Ricardo Palma, Huarochirí, Lima, 15468, Perú</t>
  </si>
  <si>
    <t>Avenida 5 de Setiembre, Ricardo Palma, Huarochirí, Lima, 15468, Perú</t>
  </si>
  <si>
    <t>Abraham Valdelomar, Ricardo Palma, Huarochirí, Lima, 15468, Perú</t>
  </si>
  <si>
    <t>Calle Los Olivos, Ricardo Palma, Huarochirí, Lima, 15468, Perú</t>
  </si>
  <si>
    <t>Ciclovía Colonial, Lima, Lima Metropolitana, Lima, 15082, Perú</t>
  </si>
  <si>
    <t>Ricardo Palma, Huarochirí, Lima, 15468, Perú, (Ruta4507nueva era 23-10-23)</t>
  </si>
  <si>
    <t>Lima, Lima Metropolitana, Lima, 15082, Perú</t>
  </si>
  <si>
    <t>93 km/h</t>
  </si>
  <si>
    <t>Avenida Almirante Miguel Grau, 171, Lima, Lima Metropolitana, Lima, 15001, Perú, (Ruta4507nueva era 23-10-23)</t>
  </si>
  <si>
    <t>Avenida Óscar Raimundo Benavides, 150, Lima, Lima Metropolitana, Lima, 15082, Perú</t>
  </si>
  <si>
    <t>Calle Alhelíes, Chaclacayo, Lima Metropolitana, Lima, 15476, Perú</t>
  </si>
  <si>
    <t>Pasaje 6, Chaclacayo, Lima Metropolitana, Lima, 15476, Perú</t>
  </si>
  <si>
    <t>Jirón Zorritos, 612, Lima, Lima Metropolitana, Lima, 15082, Perú</t>
  </si>
  <si>
    <t>Avenida Guzmán Blanco, 391, Lima, Lima Metropolitana, Lima, 15046, Perú</t>
  </si>
  <si>
    <t>Avenida Lima Norte, Santa Eulalia, Huarochirí, Lima, 15468, Perú, (Ruta4507nueva era 23-10-23)</t>
  </si>
  <si>
    <t>Calle Beta, 234, Ate, Lima Metropolitana, Lima, 15498, Perú</t>
  </si>
  <si>
    <t>Calle Arequipa, Ate, Lima Metropolitana, Lima, 15498, Perú</t>
  </si>
  <si>
    <t>Avenida Almirante Miguel Grau, 113, Lima, Lima Metropolitana, Lima, 15001, Perú, (Ruta4507nueva era 23-10-23)</t>
  </si>
  <si>
    <t>Calle Atahualpa, Chaclacayo, Lima Metropolitana, Lima, 15474, Perú</t>
  </si>
  <si>
    <t>Calle Alameda Ñaña, Lurigancho, Lima Metropolitana, Lima, 15474, Perú</t>
  </si>
  <si>
    <t>Simón Bolívar, Ricardo Palma, Huarochirí, Lima, 15468, Perú, (Ruta4507nueva era 23-10-23)</t>
  </si>
  <si>
    <t>Auxiliar Avenida Nicolás Arriola, San Luis, Lima Metropolitana, Lima, 15019, Perú</t>
  </si>
  <si>
    <t>Venta, Ate, Lima Metropolitana, Lima, 15474, Perú</t>
  </si>
  <si>
    <t>Avenida Jaime Zubieta Calderon, Ate, Lima Metropolitana, Lima, 15483, Perú</t>
  </si>
  <si>
    <t>Com Pedrito, Ate, Lima Metropolitana, Lima, 15483, Perú</t>
  </si>
  <si>
    <t>Avenida San Martín, Santa Eulalia, Huarochirí, Lima, 15468, Perú</t>
  </si>
  <si>
    <t>Avenida 9 de Diciembre, Lima, Lima Metropolitana, Lima, 15083, Perú, (Ruta4507nueva era 23-10-23)</t>
  </si>
  <si>
    <t>Jirón Breña, Breña, Lima Metropolitana, Lima, 15083, Perú</t>
  </si>
  <si>
    <t>Calle Salaverry, 280, Chosica, Lima Metropolitana, Lima, 15468, Perú</t>
  </si>
  <si>
    <t>Jirón Huarochirí, Lima, Lima Metropolitana, Lima, 15082, Perú</t>
  </si>
  <si>
    <t>Avenida Óscar Raimundo Benavides, 153, Lima, Lima Metropolitana, Lima, 15082, Perú</t>
  </si>
  <si>
    <t>Jirón Trujillo Sur, 344, Chosica, Lima Metropolitana, Lima, 15468, Perú</t>
  </si>
  <si>
    <t>Avenida José de la Riva Aguero, El Agustino, Lima Metropolitana, Lima, 15004, Perú</t>
  </si>
  <si>
    <t>Calle Andrés Avelino Cáceres, El Agustino, Lima Metropolitana, Lima, 15004, Perú</t>
  </si>
  <si>
    <t>Avenida Almirante Miguel Grau, 1259, Lima, Lima Metropolitana, Lima, 15011, Perú, (Ruta4507nueva era 23-10-23)</t>
  </si>
  <si>
    <t>Avenida Almirante Miguel Grau, 1005, Lima, Lima Metropolitana, Lima, 15011, Perú, (Ruta4507nueva era 23-10-23)</t>
  </si>
  <si>
    <t>Calle Ollanta, Lima, Lima Metropolitana, Lima, 15019, Perú</t>
  </si>
  <si>
    <t>Calle Los Pinos, Ate, Lima Metropolitana, Lima, 15483, Perú</t>
  </si>
  <si>
    <t>Jirón Argentina, Chosica, Lima Metropolitana, Lima, 15468, Perú</t>
  </si>
  <si>
    <t>Avenida Lima Norte, Santa Eulalia, Huarochirí, Lima, 15468, Perú</t>
  </si>
  <si>
    <t>Chaclacayo, Lima Metropolitana, Lima, 15474, Perú</t>
  </si>
  <si>
    <t>Avenida José Carlos Mariátegui, Ricardo Palma, Huarochirí, Lima, 15468, Perú, (CURVA RICARDO PALMA, Ruta4507nueva era 23-10-23)</t>
  </si>
  <si>
    <t>Jirón Cornelio Borda, Breña, Lima Metropolitana, Lima, 15082, Perú, (Ruta4507nueva era 23-10-23)</t>
  </si>
  <si>
    <t>Prolongación Javier Prado Este, Ate, Lima Metropolitana, Lima, 15498, Perú, (RUTA DESVIO TEM.  4507)</t>
  </si>
  <si>
    <t>Prolongación Javier Prado Este, Ate, Lima Metropolitana, Lima, 15498, Perú</t>
  </si>
  <si>
    <t>Carretera Central, Corcona, Huarochirí, Lima, Perú</t>
  </si>
  <si>
    <t>Calle 20 de Enero, Santa Eulalia, Huarochirí, Lima, 15468, Perú</t>
  </si>
  <si>
    <t>Avenida Nicolás de Ayllón, 2691, El Agustino, Lima Metropolitana, Lima, 15002, Perú, (Ruta4507nueva era 23-10-23, RUTA DESVIO TEM.  4507)</t>
  </si>
  <si>
    <t>Avenida Colectora, Ate, Lima Metropolitana, Lima, 15483, Perú</t>
  </si>
  <si>
    <t>Avenida Lima Norte, Santa Eulalia, Lima Metropolitana, Lima, 15468, Perú, (Ruta4507nueva era 23-10-23)</t>
  </si>
  <si>
    <t>Pasaje José Balta, Ate, Lima Metropolitana, Lima, 15487, Perú</t>
  </si>
  <si>
    <t>Avenida Esperanza, Ate, Lima Metropolitana, Lima, 15487, Perú</t>
  </si>
  <si>
    <t>Santa Eulalia, Huarochirí, Lima, 15468, Perú, (Ruta4507nueva era 23-10-23)</t>
  </si>
  <si>
    <t>Carretera Central, A10, Corcona, Huarochirí, Lima, Perú</t>
  </si>
  <si>
    <t>Avenida Colón, San Bartolomé, Huarochirí, Lima, Perú</t>
  </si>
  <si>
    <t>Calle Camino Real, Chosica, Lima Metropolitana, Lima, 15468, Perú</t>
  </si>
  <si>
    <t>Calle 5, Santa Eulalia, Lima Metropolitana, Lima, 15468, Perú</t>
  </si>
  <si>
    <t>Alameda E, Chaclacayo, Lima Metropolitana, Lima, 15476, Perú</t>
  </si>
  <si>
    <t>Jirón Cornelio Borda, Lima, Lima Metropolitana, Lima, 15082, Perú, (Ruta4507nueva era 23-10-23)</t>
  </si>
  <si>
    <t>Marcos Puente Llanos, Ate, Lima Metropolitana, Lima, 15498, Perú, (RUTA DESVIO TEM.  4507)</t>
  </si>
  <si>
    <t>Vista Alegre, Ate, Lima Metropolitana, Lima, 15498, Perú</t>
  </si>
  <si>
    <t>Calle Córdova, 103, Ricardo Palma, Huarochirí, Lima, 15468, Perú, (Ruta4507nueva era 23-10-23)</t>
  </si>
  <si>
    <t>Jirón Trujillo Norte, Chosica, Lima Metropolitana, Lima, 15468, Perú</t>
  </si>
  <si>
    <t>Calle 8, Ate, Lima Metropolitana, Lima, 15483, Perú</t>
  </si>
  <si>
    <t>99 km/h</t>
  </si>
  <si>
    <t>Jirón Los Próceres, Santa Eulalia, Huarochirí, Lima, 15468, Perú</t>
  </si>
  <si>
    <t>Satuchi, Santa Anita, Lima Metropolitana, Lima, 15008, Perú, (RUTA DESVIO TEM.  4507)</t>
  </si>
  <si>
    <t>Avenida Los Cipreses, Santa Anita, Lima Metropolitana, Lima, 15008, Perú, (RUTA DESVIO TEM.  4507)</t>
  </si>
  <si>
    <t>Alameda 28 de Julio, Lima, Lima Metropolitana, Lima, 15083,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</si>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</sst>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428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3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spans="1:13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3" s="1" customFormat="1" x14ac:dyDescent="0.25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441</v>
      </c>
      <c r="B8" s="3">
        <v>45705.223912037036</v>
      </c>
      <c r="C8" t="s">
        <v>18</v>
      </c>
      <c r="D8" s="3">
        <v>45705.891273148147</v>
      </c>
      <c r="E8" t="s">
        <v>18</v>
      </c>
      <c r="F8" s="4">
        <v>266.68900000000002</v>
      </c>
      <c r="G8" s="4">
        <v>514825.946</v>
      </c>
      <c r="H8" s="4">
        <v>515092.63500000001</v>
      </c>
      <c r="I8" s="5">
        <f>12103 / 86400</f>
        <v>0.14008101851851851</v>
      </c>
      <c r="J8" t="s">
        <v>19</v>
      </c>
      <c r="K8" t="s">
        <v>20</v>
      </c>
      <c r="L8" s="5">
        <f>47037 / 86400</f>
        <v>0.54440972222222217</v>
      </c>
      <c r="M8" s="5">
        <f>39360 / 86400</f>
        <v>0.45555555555555555</v>
      </c>
    </row>
    <row r="9" spans="1:13" x14ac:dyDescent="0.25">
      <c r="A9" t="s">
        <v>442</v>
      </c>
      <c r="B9" s="3">
        <v>45705.094097222223</v>
      </c>
      <c r="C9" t="s">
        <v>21</v>
      </c>
      <c r="D9" s="3">
        <v>45705.909907407404</v>
      </c>
      <c r="E9" t="s">
        <v>21</v>
      </c>
      <c r="F9" s="4">
        <v>290.411</v>
      </c>
      <c r="G9" s="4">
        <v>20202.331999999999</v>
      </c>
      <c r="H9" s="4">
        <v>20492.742999999999</v>
      </c>
      <c r="I9" s="5">
        <f>17317 / 86400</f>
        <v>0.20042824074074075</v>
      </c>
      <c r="J9" t="s">
        <v>22</v>
      </c>
      <c r="K9" t="s">
        <v>23</v>
      </c>
      <c r="L9" s="5">
        <f>57647 / 86400</f>
        <v>0.66721064814814812</v>
      </c>
      <c r="M9" s="5">
        <f>28751 / 86400</f>
        <v>0.33276620370370369</v>
      </c>
    </row>
    <row r="10" spans="1:13" x14ac:dyDescent="0.25">
      <c r="A10" t="s">
        <v>443</v>
      </c>
      <c r="B10" s="3">
        <v>45705.236516203702</v>
      </c>
      <c r="C10" t="s">
        <v>24</v>
      </c>
      <c r="D10" s="3">
        <v>45705.869085648148</v>
      </c>
      <c r="E10" t="s">
        <v>25</v>
      </c>
      <c r="F10" s="4">
        <v>235.76400000000001</v>
      </c>
      <c r="G10" s="4">
        <v>329313.31599999999</v>
      </c>
      <c r="H10" s="4">
        <v>329549.08</v>
      </c>
      <c r="I10" s="5">
        <f>13840 / 86400</f>
        <v>0.16018518518518518</v>
      </c>
      <c r="J10" t="s">
        <v>26</v>
      </c>
      <c r="K10" t="s">
        <v>27</v>
      </c>
      <c r="L10" s="5">
        <f>45798 / 86400</f>
        <v>0.53006944444444448</v>
      </c>
      <c r="M10" s="5">
        <f>40593 / 86400</f>
        <v>0.46982638888888889</v>
      </c>
    </row>
    <row r="11" spans="1:13" x14ac:dyDescent="0.25">
      <c r="A11" t="s">
        <v>444</v>
      </c>
      <c r="B11" s="3">
        <v>45705.288171296299</v>
      </c>
      <c r="C11" t="s">
        <v>28</v>
      </c>
      <c r="D11" s="3">
        <v>45705.954247685186</v>
      </c>
      <c r="E11" t="s">
        <v>28</v>
      </c>
      <c r="F11" s="4">
        <v>210.85400000000001</v>
      </c>
      <c r="G11" s="4">
        <v>20988.405999999999</v>
      </c>
      <c r="H11" s="4">
        <v>21199.26</v>
      </c>
      <c r="I11" s="5">
        <f>16492 / 86400</f>
        <v>0.19087962962962962</v>
      </c>
      <c r="J11" t="s">
        <v>29</v>
      </c>
      <c r="K11" t="s">
        <v>30</v>
      </c>
      <c r="L11" s="5">
        <f>49472 / 86400</f>
        <v>0.57259259259259254</v>
      </c>
      <c r="M11" s="5">
        <f>36920 / 86400</f>
        <v>0.42731481481481481</v>
      </c>
    </row>
    <row r="12" spans="1:13" x14ac:dyDescent="0.25">
      <c r="A12" t="s">
        <v>445</v>
      </c>
      <c r="B12" s="3">
        <v>45705.243981481486</v>
      </c>
      <c r="C12" t="s">
        <v>31</v>
      </c>
      <c r="D12" s="3">
        <v>45705.927951388891</v>
      </c>
      <c r="E12" t="s">
        <v>31</v>
      </c>
      <c r="F12" s="4">
        <v>220.46600000000001</v>
      </c>
      <c r="G12" s="4">
        <v>514201.75799999997</v>
      </c>
      <c r="H12" s="4">
        <v>514422.22399999999</v>
      </c>
      <c r="I12" s="5">
        <f>15445 / 86400</f>
        <v>0.17876157407407409</v>
      </c>
      <c r="J12" t="s">
        <v>29</v>
      </c>
      <c r="K12" t="s">
        <v>32</v>
      </c>
      <c r="L12" s="5">
        <f>46501 / 86400</f>
        <v>0.53820601851851857</v>
      </c>
      <c r="M12" s="5">
        <f>39894 / 86400</f>
        <v>0.46173611111111112</v>
      </c>
    </row>
    <row r="13" spans="1:13" x14ac:dyDescent="0.25">
      <c r="A13" t="s">
        <v>446</v>
      </c>
      <c r="B13" s="3">
        <v>45705.204930555556</v>
      </c>
      <c r="C13" t="s">
        <v>28</v>
      </c>
      <c r="D13" s="3">
        <v>45705.884224537032</v>
      </c>
      <c r="E13" t="s">
        <v>28</v>
      </c>
      <c r="F13" s="4">
        <v>198.792</v>
      </c>
      <c r="G13" s="4">
        <v>93168.445999999996</v>
      </c>
      <c r="H13" s="4">
        <v>93367.237999999998</v>
      </c>
      <c r="I13" s="5">
        <f>14995 / 86400</f>
        <v>0.17355324074074074</v>
      </c>
      <c r="J13" t="s">
        <v>33</v>
      </c>
      <c r="K13" t="s">
        <v>30</v>
      </c>
      <c r="L13" s="5">
        <f>48482 / 86400</f>
        <v>0.5611342592592593</v>
      </c>
      <c r="M13" s="5">
        <f>37915 / 86400</f>
        <v>0.43883101851851852</v>
      </c>
    </row>
    <row r="14" spans="1:13" x14ac:dyDescent="0.25">
      <c r="A14" t="s">
        <v>447</v>
      </c>
      <c r="B14" s="3">
        <v>45705.172337962962</v>
      </c>
      <c r="C14" t="s">
        <v>18</v>
      </c>
      <c r="D14" s="3">
        <v>45705.802025462966</v>
      </c>
      <c r="E14" t="s">
        <v>18</v>
      </c>
      <c r="F14" s="4">
        <v>255.63899999999998</v>
      </c>
      <c r="G14" s="4">
        <v>138919.65</v>
      </c>
      <c r="H14" s="4">
        <v>139175.28899999999</v>
      </c>
      <c r="I14" s="5">
        <f>14934 / 86400</f>
        <v>0.17284722222222224</v>
      </c>
      <c r="J14" t="s">
        <v>34</v>
      </c>
      <c r="K14" t="s">
        <v>23</v>
      </c>
      <c r="L14" s="5">
        <f>49910 / 86400</f>
        <v>0.577662037037037</v>
      </c>
      <c r="M14" s="5">
        <f>36482 / 86400</f>
        <v>0.42224537037037035</v>
      </c>
    </row>
    <row r="15" spans="1:13" x14ac:dyDescent="0.25">
      <c r="A15" t="s">
        <v>448</v>
      </c>
      <c r="B15" s="3">
        <v>45705.012800925921</v>
      </c>
      <c r="C15" t="s">
        <v>35</v>
      </c>
      <c r="D15" s="3">
        <v>45705.948819444442</v>
      </c>
      <c r="E15" t="s">
        <v>36</v>
      </c>
      <c r="F15" s="4">
        <v>229.36383672994376</v>
      </c>
      <c r="G15" s="4">
        <v>348466.61613095173</v>
      </c>
      <c r="H15" s="4">
        <v>348709.86170143023</v>
      </c>
      <c r="I15" s="5">
        <f>0 / 86400</f>
        <v>0</v>
      </c>
      <c r="J15" t="s">
        <v>37</v>
      </c>
      <c r="K15" t="s">
        <v>38</v>
      </c>
      <c r="L15" s="5">
        <f>39678 / 86400</f>
        <v>0.45923611111111112</v>
      </c>
      <c r="M15" s="5">
        <f>46721 / 86400</f>
        <v>0.54075231481481478</v>
      </c>
    </row>
    <row r="16" spans="1:13" x14ac:dyDescent="0.25">
      <c r="A16" t="s">
        <v>449</v>
      </c>
      <c r="B16" s="3">
        <v>45705.172685185185</v>
      </c>
      <c r="C16" t="s">
        <v>39</v>
      </c>
      <c r="D16" s="3">
        <v>45705.70244212963</v>
      </c>
      <c r="E16" t="s">
        <v>39</v>
      </c>
      <c r="F16" s="4">
        <v>196.25299999999999</v>
      </c>
      <c r="G16" s="4">
        <v>484524.70199999999</v>
      </c>
      <c r="H16" s="4">
        <v>484720.95500000002</v>
      </c>
      <c r="I16" s="5">
        <f>13439 / 86400</f>
        <v>0.15554398148148149</v>
      </c>
      <c r="J16" t="s">
        <v>33</v>
      </c>
      <c r="K16" t="s">
        <v>32</v>
      </c>
      <c r="L16" s="5">
        <f>41626 / 86400</f>
        <v>0.48178240740740741</v>
      </c>
      <c r="M16" s="5">
        <f>44771 / 86400</f>
        <v>0.51818287037037036</v>
      </c>
    </row>
    <row r="17" spans="1:13" x14ac:dyDescent="0.25">
      <c r="A17" t="s">
        <v>450</v>
      </c>
      <c r="B17" s="3">
        <v>45705.284791666665</v>
      </c>
      <c r="C17" t="s">
        <v>40</v>
      </c>
      <c r="D17" s="3">
        <v>45705.91138888889</v>
      </c>
      <c r="E17" t="s">
        <v>41</v>
      </c>
      <c r="F17" s="4">
        <v>194.142</v>
      </c>
      <c r="G17" s="4">
        <v>508739.46799999999</v>
      </c>
      <c r="H17" s="4">
        <v>508933.61</v>
      </c>
      <c r="I17" s="5">
        <f>15175 / 86400</f>
        <v>0.17563657407407407</v>
      </c>
      <c r="J17" t="s">
        <v>42</v>
      </c>
      <c r="K17" t="s">
        <v>30</v>
      </c>
      <c r="L17" s="5">
        <f>45755 / 86400</f>
        <v>0.52957175925925926</v>
      </c>
      <c r="M17" s="5">
        <f>40638 / 86400</f>
        <v>0.47034722222222225</v>
      </c>
    </row>
    <row r="18" spans="1:13" x14ac:dyDescent="0.25">
      <c r="A18" t="s">
        <v>451</v>
      </c>
      <c r="B18" s="3">
        <v>45705.235983796301</v>
      </c>
      <c r="C18" t="s">
        <v>43</v>
      </c>
      <c r="D18" s="3">
        <v>45705.898194444446</v>
      </c>
      <c r="E18" t="s">
        <v>43</v>
      </c>
      <c r="F18" s="4">
        <v>105.92400000000001</v>
      </c>
      <c r="G18" s="4">
        <v>408074.96899999998</v>
      </c>
      <c r="H18" s="4">
        <v>408180.89299999998</v>
      </c>
      <c r="I18" s="5">
        <f>16894 / 86400</f>
        <v>0.1955324074074074</v>
      </c>
      <c r="J18" t="s">
        <v>44</v>
      </c>
      <c r="K18" t="s">
        <v>45</v>
      </c>
      <c r="L18" s="5">
        <f>35081 / 86400</f>
        <v>0.4060300925925926</v>
      </c>
      <c r="M18" s="5">
        <f>51312 / 86400</f>
        <v>0.59388888888888891</v>
      </c>
    </row>
    <row r="19" spans="1:13" x14ac:dyDescent="0.25">
      <c r="A19" t="s">
        <v>452</v>
      </c>
      <c r="B19" s="3">
        <v>45705.21575231482</v>
      </c>
      <c r="C19" t="s">
        <v>46</v>
      </c>
      <c r="D19" s="3">
        <v>45705.746446759258</v>
      </c>
      <c r="E19" t="s">
        <v>46</v>
      </c>
      <c r="F19" s="4">
        <v>198.833</v>
      </c>
      <c r="G19" s="4">
        <v>438102.39600000001</v>
      </c>
      <c r="H19" s="4">
        <v>438301.22899999999</v>
      </c>
      <c r="I19" s="5">
        <f>11224 / 86400</f>
        <v>0.12990740740740742</v>
      </c>
      <c r="J19" t="s">
        <v>47</v>
      </c>
      <c r="K19" t="s">
        <v>23</v>
      </c>
      <c r="L19" s="5">
        <f>40608 / 86400</f>
        <v>0.47</v>
      </c>
      <c r="M19" s="5">
        <f>45788 / 86400</f>
        <v>0.52995370370370365</v>
      </c>
    </row>
    <row r="20" spans="1:13" x14ac:dyDescent="0.25">
      <c r="A20" t="s">
        <v>453</v>
      </c>
      <c r="B20" s="3">
        <v>45705.132465277777</v>
      </c>
      <c r="C20" t="s">
        <v>21</v>
      </c>
      <c r="D20" s="3">
        <v>45705.853032407409</v>
      </c>
      <c r="E20" t="s">
        <v>48</v>
      </c>
      <c r="F20" s="4">
        <v>303.41200000000003</v>
      </c>
      <c r="G20" s="4">
        <v>55091.017</v>
      </c>
      <c r="H20" s="4">
        <v>55394.428999999996</v>
      </c>
      <c r="I20" s="5">
        <f>17439 / 86400</f>
        <v>0.20184027777777777</v>
      </c>
      <c r="J20" t="s">
        <v>49</v>
      </c>
      <c r="K20" t="s">
        <v>27</v>
      </c>
      <c r="L20" s="5">
        <f>57787 / 86400</f>
        <v>0.66883101851851856</v>
      </c>
      <c r="M20" s="5">
        <f>28600 / 86400</f>
        <v>0.33101851851851855</v>
      </c>
    </row>
    <row r="21" spans="1:13" x14ac:dyDescent="0.25">
      <c r="A21" t="s">
        <v>454</v>
      </c>
      <c r="B21" s="3">
        <v>45705.211979166663</v>
      </c>
      <c r="C21" t="s">
        <v>50</v>
      </c>
      <c r="D21" s="3">
        <v>45705.903368055559</v>
      </c>
      <c r="E21" t="s">
        <v>51</v>
      </c>
      <c r="F21" s="4">
        <v>225.32900000000001</v>
      </c>
      <c r="G21" s="4">
        <v>216984.06400000001</v>
      </c>
      <c r="H21" s="4">
        <v>217209.39300000001</v>
      </c>
      <c r="I21" s="5">
        <f>14276 / 86400</f>
        <v>0.16523148148148148</v>
      </c>
      <c r="J21" t="s">
        <v>52</v>
      </c>
      <c r="K21" t="s">
        <v>23</v>
      </c>
      <c r="L21" s="5">
        <f>45109 / 86400</f>
        <v>0.52209490740740738</v>
      </c>
      <c r="M21" s="5">
        <f>41285 / 86400</f>
        <v>0.47783564814814816</v>
      </c>
    </row>
    <row r="22" spans="1:13" x14ac:dyDescent="0.25">
      <c r="A22" t="s">
        <v>455</v>
      </c>
      <c r="B22" s="3">
        <v>45705.252615740741</v>
      </c>
      <c r="C22" t="s">
        <v>53</v>
      </c>
      <c r="D22" s="3">
        <v>45705.84884259259</v>
      </c>
      <c r="E22" t="s">
        <v>54</v>
      </c>
      <c r="F22" s="4">
        <v>183.03399999994039</v>
      </c>
      <c r="G22" s="4">
        <v>525887.57799999998</v>
      </c>
      <c r="H22" s="4">
        <v>526070.61199999996</v>
      </c>
      <c r="I22" s="5">
        <f>16131 / 86400</f>
        <v>0.18670138888888888</v>
      </c>
      <c r="J22" t="s">
        <v>55</v>
      </c>
      <c r="K22" t="s">
        <v>30</v>
      </c>
      <c r="L22" s="5">
        <f>44293 / 86400</f>
        <v>0.51265046296296302</v>
      </c>
      <c r="M22" s="5">
        <f>42100 / 86400</f>
        <v>0.48726851851851855</v>
      </c>
    </row>
    <row r="23" spans="1:13" x14ac:dyDescent="0.25">
      <c r="A23" t="s">
        <v>456</v>
      </c>
      <c r="B23" s="3">
        <v>45705.214282407411</v>
      </c>
      <c r="C23" t="s">
        <v>56</v>
      </c>
      <c r="D23" s="3">
        <v>45705.855092592596</v>
      </c>
      <c r="E23" t="s">
        <v>57</v>
      </c>
      <c r="F23" s="4">
        <v>233.98999999999998</v>
      </c>
      <c r="G23" s="4">
        <v>345328.734</v>
      </c>
      <c r="H23" s="4">
        <v>345562.72399999999</v>
      </c>
      <c r="I23" s="5">
        <f>14555 / 86400</f>
        <v>0.16846064814814815</v>
      </c>
      <c r="J23" t="s">
        <v>58</v>
      </c>
      <c r="K23" t="s">
        <v>23</v>
      </c>
      <c r="L23" s="5">
        <f>47273 / 86400</f>
        <v>0.54714120370370367</v>
      </c>
      <c r="M23" s="5">
        <f>39124 / 86400</f>
        <v>0.4528240740740741</v>
      </c>
    </row>
    <row r="24" spans="1:13" x14ac:dyDescent="0.25">
      <c r="A24" t="s">
        <v>457</v>
      </c>
      <c r="B24" s="3">
        <v>45705.253275462965</v>
      </c>
      <c r="C24" t="s">
        <v>59</v>
      </c>
      <c r="D24" s="3">
        <v>45705.828611111108</v>
      </c>
      <c r="E24" t="s">
        <v>59</v>
      </c>
      <c r="F24" s="4">
        <v>187.87700000000001</v>
      </c>
      <c r="G24" s="4">
        <v>426505.25699999998</v>
      </c>
      <c r="H24" s="4">
        <v>426693.13400000002</v>
      </c>
      <c r="I24" s="5">
        <f>11436 / 86400</f>
        <v>0.13236111111111112</v>
      </c>
      <c r="J24" t="s">
        <v>60</v>
      </c>
      <c r="K24" t="s">
        <v>23</v>
      </c>
      <c r="L24" s="5">
        <f>38616 / 86400</f>
        <v>0.44694444444444442</v>
      </c>
      <c r="M24" s="5">
        <f>47777 / 86400</f>
        <v>0.55297453703703703</v>
      </c>
    </row>
    <row r="25" spans="1:13" x14ac:dyDescent="0.25">
      <c r="A25" t="s">
        <v>458</v>
      </c>
      <c r="B25" s="3">
        <v>45705.232581018514</v>
      </c>
      <c r="C25" t="s">
        <v>28</v>
      </c>
      <c r="D25" s="3">
        <v>45705.787314814814</v>
      </c>
      <c r="E25" t="s">
        <v>28</v>
      </c>
      <c r="F25" s="4">
        <v>193.244</v>
      </c>
      <c r="G25" s="4">
        <v>13372.308999999999</v>
      </c>
      <c r="H25" s="4">
        <v>13565.553</v>
      </c>
      <c r="I25" s="5">
        <f>15730 / 86400</f>
        <v>0.18206018518518519</v>
      </c>
      <c r="J25" t="s">
        <v>61</v>
      </c>
      <c r="K25" t="s">
        <v>62</v>
      </c>
      <c r="L25" s="5">
        <f>43263 / 86400</f>
        <v>0.50072916666666667</v>
      </c>
      <c r="M25" s="5">
        <f>43125 / 86400</f>
        <v>0.49913194444444442</v>
      </c>
    </row>
    <row r="26" spans="1:13" x14ac:dyDescent="0.25">
      <c r="A26" t="s">
        <v>459</v>
      </c>
      <c r="B26" s="3">
        <v>45705.189687499995</v>
      </c>
      <c r="C26" t="s">
        <v>63</v>
      </c>
      <c r="D26" s="3">
        <v>45705.775370370371</v>
      </c>
      <c r="E26" t="s">
        <v>63</v>
      </c>
      <c r="F26" s="4">
        <v>219.38200000000001</v>
      </c>
      <c r="G26" s="4">
        <v>138934.04500000001</v>
      </c>
      <c r="H26" s="4">
        <v>139153.427</v>
      </c>
      <c r="I26" s="5">
        <f>12634 / 86400</f>
        <v>0.14622685185185186</v>
      </c>
      <c r="J26" t="s">
        <v>64</v>
      </c>
      <c r="K26" t="s">
        <v>23</v>
      </c>
      <c r="L26" s="5">
        <f>42906 / 86400</f>
        <v>0.49659722222222225</v>
      </c>
      <c r="M26" s="5">
        <f>43491 / 86400</f>
        <v>0.50336805555555553</v>
      </c>
    </row>
    <row r="27" spans="1:13" x14ac:dyDescent="0.25">
      <c r="A27" t="s">
        <v>460</v>
      </c>
      <c r="B27" s="3">
        <v>45705.232997685191</v>
      </c>
      <c r="C27" t="s">
        <v>28</v>
      </c>
      <c r="D27" s="3">
        <v>45705.921435185184</v>
      </c>
      <c r="E27" t="s">
        <v>28</v>
      </c>
      <c r="F27" s="4">
        <v>171.983</v>
      </c>
      <c r="G27" s="4">
        <v>5969.549</v>
      </c>
      <c r="H27" s="4">
        <v>6141.5320000000002</v>
      </c>
      <c r="I27" s="5">
        <f>24945 / 86400</f>
        <v>0.28871527777777778</v>
      </c>
      <c r="J27" t="s">
        <v>65</v>
      </c>
      <c r="K27" t="s">
        <v>66</v>
      </c>
      <c r="L27" s="5">
        <f>48794 / 86400</f>
        <v>0.56474537037037043</v>
      </c>
      <c r="M27" s="5">
        <f>37603 / 86400</f>
        <v>0.4352199074074074</v>
      </c>
    </row>
    <row r="28" spans="1:13" x14ac:dyDescent="0.25">
      <c r="A28" t="s">
        <v>461</v>
      </c>
      <c r="B28" s="3">
        <v>45705.209178240737</v>
      </c>
      <c r="C28" t="s">
        <v>39</v>
      </c>
      <c r="D28" s="3">
        <v>45705.788356481484</v>
      </c>
      <c r="E28" t="s">
        <v>39</v>
      </c>
      <c r="F28" s="4">
        <v>198.60599999999999</v>
      </c>
      <c r="G28" s="4">
        <v>387555.06300000002</v>
      </c>
      <c r="H28" s="4">
        <v>387753.66899999999</v>
      </c>
      <c r="I28" s="5">
        <f>14516 / 86400</f>
        <v>0.16800925925925925</v>
      </c>
      <c r="J28" t="s">
        <v>60</v>
      </c>
      <c r="K28" t="s">
        <v>32</v>
      </c>
      <c r="L28" s="5">
        <f>42557 / 86400</f>
        <v>0.49255787037037035</v>
      </c>
      <c r="M28" s="5">
        <f>43833 / 86400</f>
        <v>0.50732638888888892</v>
      </c>
    </row>
    <row r="29" spans="1:13" x14ac:dyDescent="0.25">
      <c r="A29" t="s">
        <v>462</v>
      </c>
      <c r="B29" s="3">
        <v>45705.146643518514</v>
      </c>
      <c r="C29" t="s">
        <v>67</v>
      </c>
      <c r="D29" s="3">
        <v>45705.811747685184</v>
      </c>
      <c r="E29" t="s">
        <v>67</v>
      </c>
      <c r="F29" s="4">
        <v>251.745</v>
      </c>
      <c r="G29" s="4">
        <v>524025.875</v>
      </c>
      <c r="H29" s="4">
        <v>524277.62</v>
      </c>
      <c r="I29" s="5">
        <f>13394 / 86400</f>
        <v>0.15502314814814816</v>
      </c>
      <c r="J29" t="s">
        <v>58</v>
      </c>
      <c r="K29" t="s">
        <v>27</v>
      </c>
      <c r="L29" s="5">
        <f>47631 / 86400</f>
        <v>0.55128472222222225</v>
      </c>
      <c r="M29" s="5">
        <f>38763 / 86400</f>
        <v>0.44864583333333335</v>
      </c>
    </row>
    <row r="30" spans="1:13" x14ac:dyDescent="0.25">
      <c r="A30" t="s">
        <v>463</v>
      </c>
      <c r="B30" s="3">
        <v>45705.394155092596</v>
      </c>
      <c r="C30" t="s">
        <v>68</v>
      </c>
      <c r="D30" s="3">
        <v>45705.99998842593</v>
      </c>
      <c r="E30" t="s">
        <v>69</v>
      </c>
      <c r="F30" s="4">
        <v>170.494</v>
      </c>
      <c r="G30" s="4">
        <v>412411.92700000003</v>
      </c>
      <c r="H30" s="4">
        <v>412582.42099999997</v>
      </c>
      <c r="I30" s="5">
        <f>12962 / 86400</f>
        <v>0.15002314814814816</v>
      </c>
      <c r="J30" t="s">
        <v>33</v>
      </c>
      <c r="K30" t="s">
        <v>62</v>
      </c>
      <c r="L30" s="5">
        <f>39448 / 86400</f>
        <v>0.45657407407407408</v>
      </c>
      <c r="M30" s="5">
        <f>46949 / 86400</f>
        <v>0.54339120370370375</v>
      </c>
    </row>
    <row r="31" spans="1:13" x14ac:dyDescent="0.25">
      <c r="A31" t="s">
        <v>464</v>
      </c>
      <c r="B31" s="3">
        <v>45705.302708333329</v>
      </c>
      <c r="C31" t="s">
        <v>70</v>
      </c>
      <c r="D31" s="3">
        <v>45705.879826388889</v>
      </c>
      <c r="E31" t="s">
        <v>70</v>
      </c>
      <c r="F31" s="4">
        <v>176.483</v>
      </c>
      <c r="G31" s="4">
        <v>403352.15899999999</v>
      </c>
      <c r="H31" s="4">
        <v>403528.64199999999</v>
      </c>
      <c r="I31" s="5">
        <f>13191 / 86400</f>
        <v>0.15267361111111111</v>
      </c>
      <c r="J31" t="s">
        <v>71</v>
      </c>
      <c r="K31" t="s">
        <v>62</v>
      </c>
      <c r="L31" s="5">
        <f>38757 / 86400</f>
        <v>0.4485763888888889</v>
      </c>
      <c r="M31" s="5">
        <f>47632 / 86400</f>
        <v>0.55129629629629628</v>
      </c>
    </row>
    <row r="32" spans="1:13" x14ac:dyDescent="0.25">
      <c r="A32" t="s">
        <v>465</v>
      </c>
      <c r="B32" s="3">
        <v>45705.318113425921</v>
      </c>
      <c r="C32" t="s">
        <v>72</v>
      </c>
      <c r="D32" s="3">
        <v>45705.743020833332</v>
      </c>
      <c r="E32" t="s">
        <v>72</v>
      </c>
      <c r="F32" s="4">
        <v>1.6E-2</v>
      </c>
      <c r="G32" s="4">
        <v>407811.32299999997</v>
      </c>
      <c r="H32" s="4">
        <v>407811.33899999998</v>
      </c>
      <c r="I32" s="5">
        <f>138 / 86400</f>
        <v>1.5972222222222223E-3</v>
      </c>
      <c r="J32" t="s">
        <v>73</v>
      </c>
      <c r="K32" t="s">
        <v>73</v>
      </c>
      <c r="L32" s="5">
        <f>151 / 86400</f>
        <v>1.7476851851851852E-3</v>
      </c>
      <c r="M32" s="5">
        <f>86246 / 86400</f>
        <v>0.99821759259259257</v>
      </c>
    </row>
    <row r="33" spans="1:13" x14ac:dyDescent="0.25">
      <c r="A33" t="s">
        <v>466</v>
      </c>
      <c r="B33" s="3">
        <v>45705.285486111112</v>
      </c>
      <c r="C33" t="s">
        <v>74</v>
      </c>
      <c r="D33" s="3">
        <v>45705.71873842593</v>
      </c>
      <c r="E33" t="s">
        <v>74</v>
      </c>
      <c r="F33" s="4">
        <v>119.67300000000002</v>
      </c>
      <c r="G33" s="4">
        <v>348420.04499999998</v>
      </c>
      <c r="H33" s="4">
        <v>348539.71799999999</v>
      </c>
      <c r="I33" s="5">
        <f>11079 / 86400</f>
        <v>0.12822916666666667</v>
      </c>
      <c r="J33" t="s">
        <v>29</v>
      </c>
      <c r="K33" t="s">
        <v>75</v>
      </c>
      <c r="L33" s="5">
        <f>30132 / 86400</f>
        <v>0.34875</v>
      </c>
      <c r="M33" s="5">
        <f>56264 / 86400</f>
        <v>0.65120370370370373</v>
      </c>
    </row>
    <row r="34" spans="1:13" x14ac:dyDescent="0.25">
      <c r="A34" t="s">
        <v>467</v>
      </c>
      <c r="B34" s="3">
        <v>45705.002256944441</v>
      </c>
      <c r="C34" t="s">
        <v>76</v>
      </c>
      <c r="D34" s="3">
        <v>45705.002870370372</v>
      </c>
      <c r="E34" t="s">
        <v>76</v>
      </c>
      <c r="F34" s="4">
        <v>5.0000000000000001E-3</v>
      </c>
      <c r="G34" s="4">
        <v>41808.247000000003</v>
      </c>
      <c r="H34" s="4">
        <v>41808.252</v>
      </c>
      <c r="I34" s="5">
        <f>39 / 86400</f>
        <v>4.5138888888888887E-4</v>
      </c>
      <c r="J34" t="s">
        <v>73</v>
      </c>
      <c r="K34" t="s">
        <v>73</v>
      </c>
      <c r="L34" s="5">
        <f>53 / 86400</f>
        <v>6.134259259259259E-4</v>
      </c>
      <c r="M34" s="5">
        <f>86346 / 86400</f>
        <v>0.99937500000000001</v>
      </c>
    </row>
    <row r="35" spans="1:13" x14ac:dyDescent="0.25">
      <c r="A35" t="s">
        <v>468</v>
      </c>
      <c r="B35" s="3">
        <v>45705.178449074076</v>
      </c>
      <c r="C35" t="s">
        <v>39</v>
      </c>
      <c r="D35" s="3">
        <v>45705.99998842593</v>
      </c>
      <c r="E35" t="s">
        <v>77</v>
      </c>
      <c r="F35" s="4">
        <v>301.95699999999999</v>
      </c>
      <c r="G35" s="4">
        <v>47296.035000000003</v>
      </c>
      <c r="H35" s="4">
        <v>47597.991999999998</v>
      </c>
      <c r="I35" s="5">
        <f>23749 / 86400</f>
        <v>0.27487268518518521</v>
      </c>
      <c r="J35" t="s">
        <v>58</v>
      </c>
      <c r="K35" t="s">
        <v>62</v>
      </c>
      <c r="L35" s="5">
        <f>66499 / 86400</f>
        <v>0.76966435185185189</v>
      </c>
      <c r="M35" s="5">
        <f>19899 / 86400</f>
        <v>0.2303125</v>
      </c>
    </row>
    <row r="36" spans="1:13" x14ac:dyDescent="0.25">
      <c r="A36" t="s">
        <v>469</v>
      </c>
      <c r="B36" s="3">
        <v>45705.186851851853</v>
      </c>
      <c r="C36" t="s">
        <v>78</v>
      </c>
      <c r="D36" s="3">
        <v>45705.99998842593</v>
      </c>
      <c r="E36" t="s">
        <v>79</v>
      </c>
      <c r="F36" s="4">
        <v>313.07700000005957</v>
      </c>
      <c r="G36" s="4">
        <v>528692.30900000001</v>
      </c>
      <c r="H36" s="4">
        <v>529005.38600000006</v>
      </c>
      <c r="I36" s="5">
        <f>20821 / 86400</f>
        <v>0.24098379629629629</v>
      </c>
      <c r="J36" t="s">
        <v>58</v>
      </c>
      <c r="K36" t="s">
        <v>23</v>
      </c>
      <c r="L36" s="5">
        <f>61462 / 86400</f>
        <v>0.71136574074074077</v>
      </c>
      <c r="M36" s="5">
        <f>24926 / 86400</f>
        <v>0.28849537037037037</v>
      </c>
    </row>
    <row r="37" spans="1:13" x14ac:dyDescent="0.25">
      <c r="A37" t="s">
        <v>470</v>
      </c>
      <c r="B37" s="3">
        <v>45705.191250000003</v>
      </c>
      <c r="C37" t="s">
        <v>28</v>
      </c>
      <c r="D37" s="3">
        <v>45705.861655092594</v>
      </c>
      <c r="E37" t="s">
        <v>39</v>
      </c>
      <c r="F37" s="4">
        <v>205.166</v>
      </c>
      <c r="G37" s="4">
        <v>568755.027</v>
      </c>
      <c r="H37" s="4">
        <v>568960.19299999997</v>
      </c>
      <c r="I37" s="5">
        <f>17060 / 86400</f>
        <v>0.19745370370370371</v>
      </c>
      <c r="J37" t="s">
        <v>37</v>
      </c>
      <c r="K37" t="s">
        <v>62</v>
      </c>
      <c r="L37" s="5">
        <f>46919 / 86400</f>
        <v>0.54304398148148147</v>
      </c>
      <c r="M37" s="5">
        <f>39475 / 86400</f>
        <v>0.45688657407407407</v>
      </c>
    </row>
    <row r="38" spans="1:13" x14ac:dyDescent="0.25">
      <c r="A38" t="s">
        <v>471</v>
      </c>
      <c r="B38" s="3">
        <v>45705.217476851853</v>
      </c>
      <c r="C38" t="s">
        <v>80</v>
      </c>
      <c r="D38" s="3">
        <v>45705.858877314815</v>
      </c>
      <c r="E38" t="s">
        <v>51</v>
      </c>
      <c r="F38" s="4">
        <v>204.08</v>
      </c>
      <c r="G38" s="4">
        <v>516242.96899999998</v>
      </c>
      <c r="H38" s="4">
        <v>516448.29800000001</v>
      </c>
      <c r="I38" s="5">
        <f>16946 / 86400</f>
        <v>0.19613425925925926</v>
      </c>
      <c r="J38" t="s">
        <v>26</v>
      </c>
      <c r="K38" t="s">
        <v>30</v>
      </c>
      <c r="L38" s="5">
        <f>47645 / 86400</f>
        <v>0.55144675925925923</v>
      </c>
      <c r="M38" s="5">
        <f>38754 / 86400</f>
        <v>0.44854166666666667</v>
      </c>
    </row>
    <row r="39" spans="1:13" x14ac:dyDescent="0.25">
      <c r="A39" t="s">
        <v>472</v>
      </c>
      <c r="B39" s="3">
        <v>45705.230763888889</v>
      </c>
      <c r="C39" t="s">
        <v>81</v>
      </c>
      <c r="D39" s="3">
        <v>45705.794548611113</v>
      </c>
      <c r="E39" t="s">
        <v>82</v>
      </c>
      <c r="F39" s="4">
        <v>204.488</v>
      </c>
      <c r="G39" s="4">
        <v>505879.28399999999</v>
      </c>
      <c r="H39" s="4">
        <v>506083.772</v>
      </c>
      <c r="I39" s="5">
        <f>19727 / 86400</f>
        <v>0.22832175925925927</v>
      </c>
      <c r="J39" t="s">
        <v>42</v>
      </c>
      <c r="K39" t="s">
        <v>30</v>
      </c>
      <c r="L39" s="5">
        <f>48562 / 86400</f>
        <v>0.56206018518518519</v>
      </c>
      <c r="M39" s="5">
        <f>37836 / 86400</f>
        <v>0.43791666666666668</v>
      </c>
    </row>
    <row r="40" spans="1:13" x14ac:dyDescent="0.25">
      <c r="A40" t="s">
        <v>473</v>
      </c>
      <c r="B40" s="3">
        <v>45705.427071759259</v>
      </c>
      <c r="C40" t="s">
        <v>83</v>
      </c>
      <c r="D40" s="3">
        <v>45705.433865740742</v>
      </c>
      <c r="E40" t="s">
        <v>83</v>
      </c>
      <c r="F40" s="4">
        <v>3.4000000000000002E-2</v>
      </c>
      <c r="G40" s="4">
        <v>352508.30499999999</v>
      </c>
      <c r="H40" s="4">
        <v>352508.33899999998</v>
      </c>
      <c r="I40" s="5">
        <f>318 / 86400</f>
        <v>3.6805555555555554E-3</v>
      </c>
      <c r="J40" t="s">
        <v>84</v>
      </c>
      <c r="K40" t="s">
        <v>73</v>
      </c>
      <c r="L40" s="5">
        <f>373 / 86400</f>
        <v>4.31712962962963E-3</v>
      </c>
      <c r="M40" s="5">
        <f>86026 / 86400</f>
        <v>0.99567129629629625</v>
      </c>
    </row>
    <row r="41" spans="1:13" x14ac:dyDescent="0.25">
      <c r="A41" t="s">
        <v>474</v>
      </c>
      <c r="B41" s="3">
        <v>45705.220543981486</v>
      </c>
      <c r="C41" t="s">
        <v>85</v>
      </c>
      <c r="D41" s="3">
        <v>45705.799525462964</v>
      </c>
      <c r="E41" t="s">
        <v>85</v>
      </c>
      <c r="F41" s="4">
        <v>209.00399999999999</v>
      </c>
      <c r="G41" s="4">
        <v>411453.228</v>
      </c>
      <c r="H41" s="4">
        <v>411662.23200000002</v>
      </c>
      <c r="I41" s="5">
        <f>13782 / 86400</f>
        <v>0.1595138888888889</v>
      </c>
      <c r="J41" t="s">
        <v>60</v>
      </c>
      <c r="K41" t="s">
        <v>23</v>
      </c>
      <c r="L41" s="5">
        <f>41807 / 86400</f>
        <v>0.48387731481481483</v>
      </c>
      <c r="M41" s="5">
        <f>44588 / 86400</f>
        <v>0.51606481481481481</v>
      </c>
    </row>
    <row r="42" spans="1:13" x14ac:dyDescent="0.25">
      <c r="A42" t="s">
        <v>475</v>
      </c>
      <c r="B42" s="3">
        <v>45705.348287037035</v>
      </c>
      <c r="C42" t="s">
        <v>28</v>
      </c>
      <c r="D42" s="3">
        <v>45705.583692129629</v>
      </c>
      <c r="E42" t="s">
        <v>28</v>
      </c>
      <c r="F42" s="4">
        <v>10.183</v>
      </c>
      <c r="G42" s="4">
        <v>442389.66700000002</v>
      </c>
      <c r="H42" s="4">
        <v>442399.85</v>
      </c>
      <c r="I42" s="5">
        <f>218 / 86400</f>
        <v>2.5231481481481481E-3</v>
      </c>
      <c r="J42" t="s">
        <v>86</v>
      </c>
      <c r="K42" t="s">
        <v>32</v>
      </c>
      <c r="L42" s="5">
        <f>2163 / 86400</f>
        <v>2.5034722222222222E-2</v>
      </c>
      <c r="M42" s="5">
        <f>84235 / 86400</f>
        <v>0.97494212962962967</v>
      </c>
    </row>
    <row r="43" spans="1:13" x14ac:dyDescent="0.25">
      <c r="A43" t="s">
        <v>476</v>
      </c>
      <c r="B43" s="3">
        <v>45705.001817129625</v>
      </c>
      <c r="C43" t="s">
        <v>87</v>
      </c>
      <c r="D43" s="3">
        <v>45705.758622685185</v>
      </c>
      <c r="E43" t="s">
        <v>88</v>
      </c>
      <c r="F43" s="4">
        <v>191.29900000000001</v>
      </c>
      <c r="G43" s="4">
        <v>474553.50900000002</v>
      </c>
      <c r="H43" s="4">
        <v>474744.80800000002</v>
      </c>
      <c r="I43" s="5">
        <f>15620 / 86400</f>
        <v>0.18078703703703702</v>
      </c>
      <c r="J43" t="s">
        <v>52</v>
      </c>
      <c r="K43" t="s">
        <v>62</v>
      </c>
      <c r="L43" s="5">
        <f>43602 / 86400</f>
        <v>0.50465277777777773</v>
      </c>
      <c r="M43" s="5">
        <f>42793 / 86400</f>
        <v>0.49528935185185186</v>
      </c>
    </row>
    <row r="44" spans="1:13" x14ac:dyDescent="0.25">
      <c r="A44" t="s">
        <v>477</v>
      </c>
      <c r="B44" s="3">
        <v>45705.166319444441</v>
      </c>
      <c r="C44" t="s">
        <v>82</v>
      </c>
      <c r="D44" s="3">
        <v>45705.99998842593</v>
      </c>
      <c r="E44" t="s">
        <v>89</v>
      </c>
      <c r="F44" s="4">
        <v>267.548</v>
      </c>
      <c r="G44" s="4">
        <v>414822.32799999998</v>
      </c>
      <c r="H44" s="4">
        <v>415089.87599999999</v>
      </c>
      <c r="I44" s="5">
        <f>15414 / 86400</f>
        <v>0.17840277777777777</v>
      </c>
      <c r="J44" t="s">
        <v>90</v>
      </c>
      <c r="K44" t="s">
        <v>27</v>
      </c>
      <c r="L44" s="5">
        <f>49406 / 86400</f>
        <v>0.57182870370370376</v>
      </c>
      <c r="M44" s="5">
        <f>36982 / 86400</f>
        <v>0.42803240740740739</v>
      </c>
    </row>
    <row r="45" spans="1:13" x14ac:dyDescent="0.25">
      <c r="A45" t="s">
        <v>478</v>
      </c>
      <c r="B45" s="3">
        <v>45705.17287037037</v>
      </c>
      <c r="C45" t="s">
        <v>28</v>
      </c>
      <c r="D45" s="3">
        <v>45705.998356481483</v>
      </c>
      <c r="E45" t="s">
        <v>24</v>
      </c>
      <c r="F45" s="4">
        <v>303.43799999999999</v>
      </c>
      <c r="G45" s="4">
        <v>328809.90500000003</v>
      </c>
      <c r="H45" s="4">
        <v>329113.34299999999</v>
      </c>
      <c r="I45" s="5">
        <f>20728 / 86400</f>
        <v>0.2399074074074074</v>
      </c>
      <c r="J45" t="s">
        <v>91</v>
      </c>
      <c r="K45" t="s">
        <v>32</v>
      </c>
      <c r="L45" s="5">
        <f>62941 / 86400</f>
        <v>0.72848379629629634</v>
      </c>
      <c r="M45" s="5">
        <f>23456 / 86400</f>
        <v>0.27148148148148149</v>
      </c>
    </row>
    <row r="46" spans="1:13" x14ac:dyDescent="0.25">
      <c r="A46" t="s">
        <v>479</v>
      </c>
      <c r="B46" s="3">
        <v>45705.275358796294</v>
      </c>
      <c r="C46" t="s">
        <v>28</v>
      </c>
      <c r="D46" s="3">
        <v>45705.949293981481</v>
      </c>
      <c r="E46" t="s">
        <v>28</v>
      </c>
      <c r="F46" s="4">
        <v>237.45599999999999</v>
      </c>
      <c r="G46" s="4">
        <v>360855.364</v>
      </c>
      <c r="H46" s="4">
        <v>361092.82</v>
      </c>
      <c r="I46" s="5">
        <f>16336 / 86400</f>
        <v>0.18907407407407406</v>
      </c>
      <c r="J46" t="s">
        <v>92</v>
      </c>
      <c r="K46" t="s">
        <v>32</v>
      </c>
      <c r="L46" s="5">
        <f>49595 / 86400</f>
        <v>0.57401620370370365</v>
      </c>
      <c r="M46" s="5">
        <f>36803 / 86400</f>
        <v>0.42596064814814816</v>
      </c>
    </row>
    <row r="47" spans="1:13" x14ac:dyDescent="0.25">
      <c r="A47" t="s">
        <v>480</v>
      </c>
      <c r="B47" s="3">
        <v>45705.276423611111</v>
      </c>
      <c r="C47" t="s">
        <v>93</v>
      </c>
      <c r="D47" s="3">
        <v>45705.870567129634</v>
      </c>
      <c r="E47" t="s">
        <v>93</v>
      </c>
      <c r="F47" s="4">
        <v>178.679</v>
      </c>
      <c r="G47" s="4">
        <v>81917.442999999999</v>
      </c>
      <c r="H47" s="4">
        <v>82096.122000000003</v>
      </c>
      <c r="I47" s="5">
        <f>12373 / 86400</f>
        <v>0.14320601851851852</v>
      </c>
      <c r="J47" t="s">
        <v>64</v>
      </c>
      <c r="K47" t="s">
        <v>32</v>
      </c>
      <c r="L47" s="5">
        <f>36930 / 86400</f>
        <v>0.42743055555555554</v>
      </c>
      <c r="M47" s="5">
        <f>49465 / 86400</f>
        <v>0.57251157407407405</v>
      </c>
    </row>
    <row r="48" spans="1:13" x14ac:dyDescent="0.25">
      <c r="A48" t="s">
        <v>481</v>
      </c>
      <c r="B48" s="3">
        <v>45705.203611111108</v>
      </c>
      <c r="C48" t="s">
        <v>94</v>
      </c>
      <c r="D48" s="3">
        <v>45705.897974537038</v>
      </c>
      <c r="E48" t="s">
        <v>41</v>
      </c>
      <c r="F48" s="4">
        <v>204.65299999999999</v>
      </c>
      <c r="G48" s="4">
        <v>470499.68300000002</v>
      </c>
      <c r="H48" s="4">
        <v>470704.33600000001</v>
      </c>
      <c r="I48" s="5">
        <f>16475 / 86400</f>
        <v>0.19068287037037038</v>
      </c>
      <c r="J48" t="s">
        <v>95</v>
      </c>
      <c r="K48" t="s">
        <v>62</v>
      </c>
      <c r="L48" s="5">
        <f>44983 / 86400</f>
        <v>0.52063657407407404</v>
      </c>
      <c r="M48" s="5">
        <f>41413 / 86400</f>
        <v>0.47931712962962963</v>
      </c>
    </row>
    <row r="49" spans="1:13" x14ac:dyDescent="0.25">
      <c r="A49" t="s">
        <v>482</v>
      </c>
      <c r="B49" s="3">
        <v>45705.282164351855</v>
      </c>
      <c r="C49" t="s">
        <v>96</v>
      </c>
      <c r="D49" s="3">
        <v>45705.990277777775</v>
      </c>
      <c r="E49" t="s">
        <v>96</v>
      </c>
      <c r="F49" s="4">
        <v>0</v>
      </c>
      <c r="G49" s="4">
        <v>428213.33600000001</v>
      </c>
      <c r="H49" s="4">
        <v>428213.33600000001</v>
      </c>
      <c r="I49" s="5">
        <f>52281 / 86400</f>
        <v>0.60510416666666667</v>
      </c>
      <c r="J49" t="s">
        <v>73</v>
      </c>
      <c r="K49" t="s">
        <v>73</v>
      </c>
      <c r="L49" s="5">
        <f>52461 / 86400</f>
        <v>0.60718749999999999</v>
      </c>
      <c r="M49" s="5">
        <f>33932 / 86400</f>
        <v>0.39273148148148146</v>
      </c>
    </row>
    <row r="50" spans="1:13" x14ac:dyDescent="0.25">
      <c r="A50" t="s">
        <v>483</v>
      </c>
      <c r="B50" s="3">
        <v>45705.351400462961</v>
      </c>
      <c r="C50" t="s">
        <v>28</v>
      </c>
      <c r="D50" s="3">
        <v>45705.851423611108</v>
      </c>
      <c r="E50" t="s">
        <v>28</v>
      </c>
      <c r="F50" s="4">
        <v>41.653999999999996</v>
      </c>
      <c r="G50" s="4">
        <v>576155.14800000004</v>
      </c>
      <c r="H50" s="4">
        <v>576196.80200000003</v>
      </c>
      <c r="I50" s="5">
        <f>3753 / 86400</f>
        <v>4.3437499999999997E-2</v>
      </c>
      <c r="J50" t="s">
        <v>97</v>
      </c>
      <c r="K50" t="s">
        <v>66</v>
      </c>
      <c r="L50" s="5">
        <f>11976 / 86400</f>
        <v>0.1386111111111111</v>
      </c>
      <c r="M50" s="5">
        <f>74419 / 86400</f>
        <v>0.86133101851851857</v>
      </c>
    </row>
    <row r="51" spans="1:13" x14ac:dyDescent="0.25">
      <c r="A51" t="s">
        <v>484</v>
      </c>
      <c r="B51" s="3">
        <v>45705.240300925929</v>
      </c>
      <c r="C51" t="s">
        <v>98</v>
      </c>
      <c r="D51" s="3">
        <v>45705.846886574072</v>
      </c>
      <c r="E51" t="s">
        <v>98</v>
      </c>
      <c r="F51" s="4">
        <v>204.74299999999999</v>
      </c>
      <c r="G51" s="4">
        <v>416920.57500000001</v>
      </c>
      <c r="H51" s="4">
        <v>417125.31800000003</v>
      </c>
      <c r="I51" s="5">
        <f>17032 / 86400</f>
        <v>0.19712962962962963</v>
      </c>
      <c r="J51" t="s">
        <v>99</v>
      </c>
      <c r="K51" t="s">
        <v>30</v>
      </c>
      <c r="L51" s="5">
        <f>48043 / 86400</f>
        <v>0.5560532407407407</v>
      </c>
      <c r="M51" s="5">
        <f>38354 / 86400</f>
        <v>0.44391203703703702</v>
      </c>
    </row>
    <row r="52" spans="1:13" x14ac:dyDescent="0.25">
      <c r="A52" t="s">
        <v>485</v>
      </c>
      <c r="B52" s="3">
        <v>45705.252037037033</v>
      </c>
      <c r="C52" t="s">
        <v>100</v>
      </c>
      <c r="D52" s="3">
        <v>45705.990972222222</v>
      </c>
      <c r="E52" t="s">
        <v>100</v>
      </c>
      <c r="F52" s="4">
        <v>218.11600000000001</v>
      </c>
      <c r="G52" s="4">
        <v>401152.84700000001</v>
      </c>
      <c r="H52" s="4">
        <v>401370.96299999999</v>
      </c>
      <c r="I52" s="5">
        <f>17889 / 86400</f>
        <v>0.20704861111111111</v>
      </c>
      <c r="J52" t="s">
        <v>101</v>
      </c>
      <c r="K52" t="s">
        <v>62</v>
      </c>
      <c r="L52" s="5">
        <f>49718 / 86400</f>
        <v>0.57543981481481477</v>
      </c>
      <c r="M52" s="5">
        <f>36674 / 86400</f>
        <v>0.42446759259259259</v>
      </c>
    </row>
    <row r="53" spans="1:13" x14ac:dyDescent="0.25">
      <c r="A53" t="s">
        <v>486</v>
      </c>
      <c r="B53" s="3">
        <v>45705.19395833333</v>
      </c>
      <c r="C53" t="s">
        <v>28</v>
      </c>
      <c r="D53" s="3">
        <v>45705.828993055555</v>
      </c>
      <c r="E53" t="s">
        <v>28</v>
      </c>
      <c r="F53" s="4">
        <v>216.768</v>
      </c>
      <c r="G53" s="4">
        <v>382894.45199999999</v>
      </c>
      <c r="H53" s="4">
        <v>383111.22</v>
      </c>
      <c r="I53" s="5">
        <f>13987 / 86400</f>
        <v>0.16188657407407409</v>
      </c>
      <c r="J53" t="s">
        <v>60</v>
      </c>
      <c r="K53" t="s">
        <v>32</v>
      </c>
      <c r="L53" s="5">
        <f>44696 / 86400</f>
        <v>0.51731481481481478</v>
      </c>
      <c r="M53" s="5">
        <f>41697 / 86400</f>
        <v>0.48260416666666667</v>
      </c>
    </row>
    <row r="54" spans="1:13" x14ac:dyDescent="0.25">
      <c r="A54" t="s">
        <v>487</v>
      </c>
      <c r="B54" s="3">
        <v>45705.287893518514</v>
      </c>
      <c r="C54" t="s">
        <v>21</v>
      </c>
      <c r="D54" s="3">
        <v>45705.820509259254</v>
      </c>
      <c r="E54" t="s">
        <v>48</v>
      </c>
      <c r="F54" s="4">
        <v>197.49700000000001</v>
      </c>
      <c r="G54" s="4">
        <v>546698.79500000004</v>
      </c>
      <c r="H54" s="4">
        <v>546896.29200000002</v>
      </c>
      <c r="I54" s="5">
        <f>11518 / 86400</f>
        <v>0.1333101851851852</v>
      </c>
      <c r="J54" t="s">
        <v>44</v>
      </c>
      <c r="K54" t="s">
        <v>23</v>
      </c>
      <c r="L54" s="5">
        <f>40051 / 86400</f>
        <v>0.46355324074074072</v>
      </c>
      <c r="M54" s="5">
        <f>46347 / 86400</f>
        <v>0.53642361111111114</v>
      </c>
    </row>
    <row r="55" spans="1:13" x14ac:dyDescent="0.25">
      <c r="A55" t="s">
        <v>488</v>
      </c>
      <c r="B55" s="3">
        <v>45705</v>
      </c>
      <c r="C55" t="s">
        <v>102</v>
      </c>
      <c r="D55" s="3">
        <v>45705.99998842593</v>
      </c>
      <c r="E55" t="s">
        <v>103</v>
      </c>
      <c r="F55" s="4">
        <v>357.762</v>
      </c>
      <c r="G55" s="4">
        <v>104608.33100000001</v>
      </c>
      <c r="H55" s="4">
        <v>104966.09299999999</v>
      </c>
      <c r="I55" s="5">
        <f>21864 / 86400</f>
        <v>0.25305555555555553</v>
      </c>
      <c r="J55" t="s">
        <v>104</v>
      </c>
      <c r="K55" t="s">
        <v>20</v>
      </c>
      <c r="L55" s="5">
        <f>65277 / 86400</f>
        <v>0.75552083333333331</v>
      </c>
      <c r="M55" s="5">
        <f>21122 / 86400</f>
        <v>0.2444675925925926</v>
      </c>
    </row>
    <row r="56" spans="1:13" x14ac:dyDescent="0.25">
      <c r="A56" t="s">
        <v>489</v>
      </c>
      <c r="B56" s="3">
        <v>45705.484895833331</v>
      </c>
      <c r="C56" t="s">
        <v>105</v>
      </c>
      <c r="D56" s="3">
        <v>45705.809259259258</v>
      </c>
      <c r="E56" t="s">
        <v>56</v>
      </c>
      <c r="F56" s="4">
        <v>11.837</v>
      </c>
      <c r="G56" s="4">
        <v>54562.493000000002</v>
      </c>
      <c r="H56" s="4">
        <v>54574.33</v>
      </c>
      <c r="I56" s="5">
        <f>2574 / 86400</f>
        <v>2.9791666666666668E-2</v>
      </c>
      <c r="J56" t="s">
        <v>106</v>
      </c>
      <c r="K56" t="s">
        <v>107</v>
      </c>
      <c r="L56" s="5">
        <f>5331 / 86400</f>
        <v>6.1701388888888889E-2</v>
      </c>
      <c r="M56" s="5">
        <f>81068 / 86400</f>
        <v>0.93828703703703709</v>
      </c>
    </row>
    <row r="57" spans="1:13" x14ac:dyDescent="0.25">
      <c r="A57" t="s">
        <v>490</v>
      </c>
      <c r="B57" s="3">
        <v>45705.466678240744</v>
      </c>
      <c r="C57" t="s">
        <v>108</v>
      </c>
      <c r="D57" s="3">
        <v>45705.855138888888</v>
      </c>
      <c r="E57" t="s">
        <v>109</v>
      </c>
      <c r="F57" s="4">
        <v>43.037999999999997</v>
      </c>
      <c r="G57" s="4">
        <v>46465.338000000003</v>
      </c>
      <c r="H57" s="4">
        <v>46508.375999999997</v>
      </c>
      <c r="I57" s="5">
        <f>4571 / 86400</f>
        <v>5.2905092592592594E-2</v>
      </c>
      <c r="J57" t="s">
        <v>44</v>
      </c>
      <c r="K57" t="s">
        <v>30</v>
      </c>
      <c r="L57" s="5">
        <f>10494 / 86400</f>
        <v>0.12145833333333333</v>
      </c>
      <c r="M57" s="5">
        <f>75905 / 86400</f>
        <v>0.87853009259259263</v>
      </c>
    </row>
    <row r="58" spans="1:13" x14ac:dyDescent="0.25">
      <c r="A58" t="s">
        <v>491</v>
      </c>
      <c r="B58" s="3">
        <v>45705.155717592592</v>
      </c>
      <c r="C58" t="s">
        <v>110</v>
      </c>
      <c r="D58" s="3">
        <v>45705.897314814814</v>
      </c>
      <c r="E58" t="s">
        <v>110</v>
      </c>
      <c r="F58" s="4">
        <v>299.41800000000001</v>
      </c>
      <c r="G58" s="4">
        <v>79579.065000000002</v>
      </c>
      <c r="H58" s="4">
        <v>79878.482999999993</v>
      </c>
      <c r="I58" s="5">
        <f>16160 / 86400</f>
        <v>0.18703703703703703</v>
      </c>
      <c r="J58" t="s">
        <v>26</v>
      </c>
      <c r="K58" t="s">
        <v>20</v>
      </c>
      <c r="L58" s="5">
        <f>54133 / 86400</f>
        <v>0.62653935185185183</v>
      </c>
      <c r="M58" s="5">
        <f>32266 / 86400</f>
        <v>0.37344907407407407</v>
      </c>
    </row>
    <row r="59" spans="1:13" x14ac:dyDescent="0.25">
      <c r="A59" t="s">
        <v>492</v>
      </c>
      <c r="B59" s="3">
        <v>45705.008101851854</v>
      </c>
      <c r="C59" t="s">
        <v>111</v>
      </c>
      <c r="D59" s="3">
        <v>45705.99998842593</v>
      </c>
      <c r="E59" t="s">
        <v>79</v>
      </c>
      <c r="F59" s="4">
        <v>370.31</v>
      </c>
      <c r="G59" s="4">
        <v>41591.440999999999</v>
      </c>
      <c r="H59" s="4">
        <v>41961.750999999997</v>
      </c>
      <c r="I59" s="5">
        <f>19924 / 86400</f>
        <v>0.23060185185185186</v>
      </c>
      <c r="J59" t="s">
        <v>90</v>
      </c>
      <c r="K59" t="s">
        <v>20</v>
      </c>
      <c r="L59" s="5">
        <f>66848 / 86400</f>
        <v>0.77370370370370367</v>
      </c>
      <c r="M59" s="5">
        <f>19551 / 86400</f>
        <v>0.22628472222222223</v>
      </c>
    </row>
    <row r="60" spans="1:13" x14ac:dyDescent="0.25">
      <c r="A60" t="s">
        <v>493</v>
      </c>
      <c r="B60" s="3">
        <v>45705.291076388894</v>
      </c>
      <c r="C60" t="s">
        <v>112</v>
      </c>
      <c r="D60" s="3">
        <v>45705.99998842593</v>
      </c>
      <c r="E60" t="s">
        <v>113</v>
      </c>
      <c r="F60" s="4">
        <v>258.22500000000002</v>
      </c>
      <c r="G60" s="4">
        <v>192939.288</v>
      </c>
      <c r="H60" s="4">
        <v>193197.51300000001</v>
      </c>
      <c r="I60" s="5">
        <f>17091 / 86400</f>
        <v>0.1978125</v>
      </c>
      <c r="J60" t="s">
        <v>64</v>
      </c>
      <c r="K60" t="s">
        <v>32</v>
      </c>
      <c r="L60" s="5">
        <f>53423 / 86400</f>
        <v>0.61832175925925925</v>
      </c>
      <c r="M60" s="5">
        <f>32974 / 86400</f>
        <v>0.38164351851851852</v>
      </c>
    </row>
    <row r="61" spans="1:13" x14ac:dyDescent="0.25">
      <c r="A61" t="s">
        <v>494</v>
      </c>
      <c r="B61" s="3">
        <v>45705.211006944446</v>
      </c>
      <c r="C61" t="s">
        <v>93</v>
      </c>
      <c r="D61" s="3">
        <v>45705.99998842593</v>
      </c>
      <c r="E61" t="s">
        <v>114</v>
      </c>
      <c r="F61" s="4">
        <v>296.221</v>
      </c>
      <c r="G61" s="4">
        <v>523834.97600000002</v>
      </c>
      <c r="H61" s="4">
        <v>524131.19699999999</v>
      </c>
      <c r="I61" s="5">
        <f>21635 / 86400</f>
        <v>0.25040509259259258</v>
      </c>
      <c r="J61" t="s">
        <v>95</v>
      </c>
      <c r="K61" t="s">
        <v>32</v>
      </c>
      <c r="L61" s="5">
        <f>61610 / 86400</f>
        <v>0.71307870370370374</v>
      </c>
      <c r="M61" s="5">
        <f>24786 / 86400</f>
        <v>0.28687499999999999</v>
      </c>
    </row>
    <row r="62" spans="1:13" x14ac:dyDescent="0.25">
      <c r="A62" t="s">
        <v>495</v>
      </c>
      <c r="B62" s="3">
        <v>45705.262129629627</v>
      </c>
      <c r="C62" t="s">
        <v>115</v>
      </c>
      <c r="D62" s="3">
        <v>45705.888831018514</v>
      </c>
      <c r="E62" t="s">
        <v>115</v>
      </c>
      <c r="F62" s="4">
        <v>217.68899999999999</v>
      </c>
      <c r="G62" s="4">
        <v>23608.874</v>
      </c>
      <c r="H62" s="4">
        <v>23826.562999999998</v>
      </c>
      <c r="I62" s="5">
        <f>14440 / 86400</f>
        <v>0.16712962962962963</v>
      </c>
      <c r="J62" t="s">
        <v>116</v>
      </c>
      <c r="K62" t="s">
        <v>62</v>
      </c>
      <c r="L62" s="5">
        <f>49010 / 86400</f>
        <v>0.56724537037037037</v>
      </c>
      <c r="M62" s="5">
        <f>37385 / 86400</f>
        <v>0.43269675925925927</v>
      </c>
    </row>
    <row r="63" spans="1:13" x14ac:dyDescent="0.25">
      <c r="A63" t="s">
        <v>496</v>
      </c>
      <c r="B63" s="3">
        <v>45705.211273148147</v>
      </c>
      <c r="C63" t="s">
        <v>39</v>
      </c>
      <c r="D63" s="3">
        <v>45705.813055555554</v>
      </c>
      <c r="E63" t="s">
        <v>39</v>
      </c>
      <c r="F63" s="4">
        <v>228.44300000000001</v>
      </c>
      <c r="G63" s="4">
        <v>64545.468999999997</v>
      </c>
      <c r="H63" s="4">
        <v>64773.911999999997</v>
      </c>
      <c r="I63" s="5">
        <f>16916 / 86400</f>
        <v>0.19578703703703704</v>
      </c>
      <c r="J63" t="s">
        <v>99</v>
      </c>
      <c r="K63" t="s">
        <v>32</v>
      </c>
      <c r="L63" s="5">
        <f>48207 / 86400</f>
        <v>0.55795138888888884</v>
      </c>
      <c r="M63" s="5">
        <f>38189 / 86400</f>
        <v>0.44200231481481483</v>
      </c>
    </row>
    <row r="64" spans="1:13" x14ac:dyDescent="0.25">
      <c r="A64" t="s">
        <v>497</v>
      </c>
      <c r="B64" s="3">
        <v>45705.274351851855</v>
      </c>
      <c r="C64" t="s">
        <v>72</v>
      </c>
      <c r="D64" s="3">
        <v>45705.316921296297</v>
      </c>
      <c r="E64" t="s">
        <v>72</v>
      </c>
      <c r="F64" s="4">
        <v>5.18</v>
      </c>
      <c r="G64" s="4">
        <v>5805.4260000000004</v>
      </c>
      <c r="H64" s="4">
        <v>5810.6059999999998</v>
      </c>
      <c r="I64" s="5">
        <f>438 / 86400</f>
        <v>5.0694444444444441E-3</v>
      </c>
      <c r="J64" t="s">
        <v>117</v>
      </c>
      <c r="K64" t="s">
        <v>118</v>
      </c>
      <c r="L64" s="5">
        <f>1842 / 86400</f>
        <v>2.1319444444444443E-2</v>
      </c>
      <c r="M64" s="5">
        <f>84555 / 86400</f>
        <v>0.97864583333333333</v>
      </c>
    </row>
    <row r="65" spans="1:13" x14ac:dyDescent="0.25">
      <c r="A65" t="s">
        <v>498</v>
      </c>
      <c r="B65" s="3">
        <v>45705.395185185189</v>
      </c>
      <c r="C65" t="s">
        <v>28</v>
      </c>
      <c r="D65" s="3">
        <v>45705.963680555556</v>
      </c>
      <c r="E65" t="s">
        <v>28</v>
      </c>
      <c r="F65" s="4">
        <v>182.43099999999998</v>
      </c>
      <c r="G65" s="4">
        <v>408793.49300000002</v>
      </c>
      <c r="H65" s="4">
        <v>408975.924</v>
      </c>
      <c r="I65" s="5">
        <f>10620 / 86400</f>
        <v>0.12291666666666666</v>
      </c>
      <c r="J65" t="s">
        <v>90</v>
      </c>
      <c r="K65" t="s">
        <v>27</v>
      </c>
      <c r="L65" s="5">
        <f>34740 / 86400</f>
        <v>0.40208333333333335</v>
      </c>
      <c r="M65" s="5">
        <f>51655 / 86400</f>
        <v>0.59785879629629635</v>
      </c>
    </row>
    <row r="66" spans="1:13" x14ac:dyDescent="0.25">
      <c r="A66" t="s">
        <v>499</v>
      </c>
      <c r="B66" s="3">
        <v>45705</v>
      </c>
      <c r="C66" t="s">
        <v>96</v>
      </c>
      <c r="D66" s="3">
        <v>45705.99998842593</v>
      </c>
      <c r="E66" t="s">
        <v>113</v>
      </c>
      <c r="F66" s="4">
        <v>210.29399999999998</v>
      </c>
      <c r="G66" s="4">
        <v>551179.34199999995</v>
      </c>
      <c r="H66" s="4">
        <v>551389.63600000006</v>
      </c>
      <c r="I66" s="5">
        <f>16366 / 86400</f>
        <v>0.18942129629629631</v>
      </c>
      <c r="J66" t="s">
        <v>119</v>
      </c>
      <c r="K66" t="s">
        <v>62</v>
      </c>
      <c r="L66" s="5">
        <f>46220 / 86400</f>
        <v>0.53495370370370365</v>
      </c>
      <c r="M66" s="5">
        <f>40176 / 86400</f>
        <v>0.46500000000000002</v>
      </c>
    </row>
    <row r="67" spans="1:13" x14ac:dyDescent="0.25">
      <c r="A67" t="s">
        <v>500</v>
      </c>
      <c r="B67" s="3">
        <v>45705</v>
      </c>
      <c r="C67" t="s">
        <v>120</v>
      </c>
      <c r="D67" s="3">
        <v>45705.950520833328</v>
      </c>
      <c r="E67" t="s">
        <v>36</v>
      </c>
      <c r="F67" s="4">
        <v>661.05999999999256</v>
      </c>
      <c r="G67" s="4">
        <v>57259.770000000004</v>
      </c>
      <c r="H67" s="4">
        <v>57920.83</v>
      </c>
      <c r="I67" s="5">
        <f>11439 / 86400</f>
        <v>0.13239583333333332</v>
      </c>
      <c r="J67" t="s">
        <v>99</v>
      </c>
      <c r="K67" t="s">
        <v>29</v>
      </c>
      <c r="L67" s="5">
        <f>29024 / 86400</f>
        <v>0.33592592592592591</v>
      </c>
      <c r="M67" s="5">
        <f>57371 / 86400</f>
        <v>0.66401620370370373</v>
      </c>
    </row>
    <row r="68" spans="1:13" x14ac:dyDescent="0.25">
      <c r="A68" t="s">
        <v>501</v>
      </c>
      <c r="B68" s="3">
        <v>45705</v>
      </c>
      <c r="C68" t="s">
        <v>121</v>
      </c>
      <c r="D68" s="3">
        <v>45705.99998842593</v>
      </c>
      <c r="E68" t="s">
        <v>122</v>
      </c>
      <c r="F68" s="4">
        <v>301.20499999999998</v>
      </c>
      <c r="G68" s="4">
        <v>60455.576000000001</v>
      </c>
      <c r="H68" s="4">
        <v>60756.781000000003</v>
      </c>
      <c r="I68" s="5">
        <f>19133 / 86400</f>
        <v>0.22144675925925925</v>
      </c>
      <c r="J68" t="s">
        <v>58</v>
      </c>
      <c r="K68" t="s">
        <v>23</v>
      </c>
      <c r="L68" s="5">
        <f>60703 / 86400</f>
        <v>0.70258101851851851</v>
      </c>
      <c r="M68" s="5">
        <f>25687 / 86400</f>
        <v>0.29730324074074072</v>
      </c>
    </row>
    <row r="69" spans="1:13" x14ac:dyDescent="0.25">
      <c r="A69" t="s">
        <v>502</v>
      </c>
      <c r="B69" s="3">
        <v>45705.216608796298</v>
      </c>
      <c r="C69" t="s">
        <v>94</v>
      </c>
      <c r="D69" s="3">
        <v>45705.99628472222</v>
      </c>
      <c r="E69" t="s">
        <v>123</v>
      </c>
      <c r="F69" s="4">
        <v>322.52299999999997</v>
      </c>
      <c r="G69" s="4">
        <v>64187.504999999997</v>
      </c>
      <c r="H69" s="4">
        <v>64510.027999999998</v>
      </c>
      <c r="I69" s="5">
        <f>20674 / 86400</f>
        <v>0.23928240740740742</v>
      </c>
      <c r="J69" t="s">
        <v>91</v>
      </c>
      <c r="K69" t="s">
        <v>27</v>
      </c>
      <c r="L69" s="5">
        <f>62518 / 86400</f>
        <v>0.72358796296296302</v>
      </c>
      <c r="M69" s="5">
        <f>23879 / 86400</f>
        <v>0.27637731481481481</v>
      </c>
    </row>
    <row r="70" spans="1:13" x14ac:dyDescent="0.25">
      <c r="A70" t="s">
        <v>503</v>
      </c>
      <c r="B70" s="3">
        <v>45705.044768518521</v>
      </c>
      <c r="C70" t="s">
        <v>94</v>
      </c>
      <c r="D70" s="3">
        <v>45705.885208333333</v>
      </c>
      <c r="E70" t="s">
        <v>94</v>
      </c>
      <c r="F70" s="4">
        <v>224.511</v>
      </c>
      <c r="G70" s="4">
        <v>292531.33</v>
      </c>
      <c r="H70" s="4">
        <v>292755.84100000001</v>
      </c>
      <c r="I70" s="5">
        <f>17635 / 86400</f>
        <v>0.2041087962962963</v>
      </c>
      <c r="J70" t="s">
        <v>124</v>
      </c>
      <c r="K70" t="s">
        <v>32</v>
      </c>
      <c r="L70" s="5">
        <f>46904 / 86400</f>
        <v>0.54287037037037034</v>
      </c>
      <c r="M70" s="5">
        <f>39492 / 86400</f>
        <v>0.45708333333333334</v>
      </c>
    </row>
    <row r="71" spans="1:13" x14ac:dyDescent="0.25">
      <c r="A71" s="6" t="s">
        <v>125</v>
      </c>
      <c r="B71" s="6" t="s">
        <v>126</v>
      </c>
      <c r="C71" s="6" t="s">
        <v>126</v>
      </c>
      <c r="D71" s="6" t="s">
        <v>126</v>
      </c>
      <c r="E71" s="6" t="s">
        <v>126</v>
      </c>
      <c r="F71" s="7">
        <v>12938.390836729935</v>
      </c>
      <c r="G71" s="6" t="s">
        <v>126</v>
      </c>
      <c r="H71" s="6" t="s">
        <v>126</v>
      </c>
      <c r="I71" s="8">
        <f>911830 / 86400</f>
        <v>10.553587962962963</v>
      </c>
      <c r="J71" s="6" t="s">
        <v>126</v>
      </c>
      <c r="K71" s="6" t="s">
        <v>126</v>
      </c>
      <c r="L71" s="8">
        <f>2660481 / 86400</f>
        <v>30.792604166666667</v>
      </c>
      <c r="M71" s="8">
        <f>2782418 / 86400</f>
        <v>32.203912037037036</v>
      </c>
    </row>
    <row r="72" spans="1:1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</row>
    <row r="73" spans="1:13" s="9" customFormat="1" x14ac:dyDescent="0.25">
      <c r="A73" s="15" t="s">
        <v>127</v>
      </c>
      <c r="B73" s="15"/>
      <c r="C73" s="15"/>
      <c r="D73" s="15"/>
      <c r="E73" s="15"/>
      <c r="F73" s="15"/>
      <c r="G73" s="15"/>
      <c r="H73" s="15"/>
      <c r="I73" s="15"/>
      <c r="J73" s="15"/>
    </row>
    <row r="74" spans="1:1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</row>
    <row r="75" spans="1:1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</row>
    <row r="76" spans="1:13" s="10" customFormat="1" ht="20.100000000000001" customHeight="1" x14ac:dyDescent="0.35">
      <c r="A76" s="12" t="s">
        <v>441</v>
      </c>
      <c r="B76" s="12"/>
      <c r="C76" s="12"/>
      <c r="D76" s="12"/>
      <c r="E76" s="12"/>
      <c r="F76" s="12"/>
      <c r="G76" s="12"/>
      <c r="H76" s="12"/>
      <c r="I76" s="12"/>
      <c r="J76" s="12"/>
    </row>
    <row r="77" spans="1:1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</row>
    <row r="78" spans="1:13" ht="30" x14ac:dyDescent="0.25">
      <c r="A78" s="2" t="s">
        <v>6</v>
      </c>
      <c r="B78" s="2" t="s">
        <v>7</v>
      </c>
      <c r="C78" s="2" t="s">
        <v>8</v>
      </c>
      <c r="D78" s="2" t="s">
        <v>9</v>
      </c>
      <c r="E78" s="2" t="s">
        <v>10</v>
      </c>
      <c r="F78" s="2" t="s">
        <v>11</v>
      </c>
      <c r="G78" s="2" t="s">
        <v>12</v>
      </c>
      <c r="H78" s="2" t="s">
        <v>13</v>
      </c>
      <c r="I78" s="2" t="s">
        <v>14</v>
      </c>
      <c r="J78" s="2" t="s">
        <v>15</v>
      </c>
      <c r="K78" s="2" t="s">
        <v>16</v>
      </c>
      <c r="L78" s="2" t="s">
        <v>17</v>
      </c>
    </row>
    <row r="79" spans="1:13" x14ac:dyDescent="0.25">
      <c r="A79" s="3">
        <v>45705.223912037036</v>
      </c>
      <c r="B79" t="s">
        <v>18</v>
      </c>
      <c r="C79" s="3">
        <v>45705.306909722218</v>
      </c>
      <c r="D79" t="s">
        <v>128</v>
      </c>
      <c r="E79" s="4">
        <v>48.197000000000003</v>
      </c>
      <c r="F79" s="4">
        <v>514825.946</v>
      </c>
      <c r="G79" s="4">
        <v>514874.14299999998</v>
      </c>
      <c r="H79" s="5">
        <f>1679 / 86400</f>
        <v>1.9432870370370371E-2</v>
      </c>
      <c r="I79" t="s">
        <v>29</v>
      </c>
      <c r="J79" t="s">
        <v>129</v>
      </c>
      <c r="K79" s="5">
        <f>7171 / 86400</f>
        <v>8.2997685185185188E-2</v>
      </c>
      <c r="L79" s="5">
        <f>19544 / 86400</f>
        <v>0.22620370370370371</v>
      </c>
    </row>
    <row r="80" spans="1:13" x14ac:dyDescent="0.25">
      <c r="A80" s="3">
        <v>45705.309201388889</v>
      </c>
      <c r="B80" t="s">
        <v>130</v>
      </c>
      <c r="C80" s="3">
        <v>45705.391770833332</v>
      </c>
      <c r="D80" t="s">
        <v>131</v>
      </c>
      <c r="E80" s="4">
        <v>40.418999999999997</v>
      </c>
      <c r="F80" s="4">
        <v>514874.14299999998</v>
      </c>
      <c r="G80" s="4">
        <v>514914.56199999998</v>
      </c>
      <c r="H80" s="5">
        <f>2121 / 86400</f>
        <v>2.4548611111111111E-2</v>
      </c>
      <c r="I80" t="s">
        <v>29</v>
      </c>
      <c r="J80" t="s">
        <v>20</v>
      </c>
      <c r="K80" s="5">
        <f>7134 / 86400</f>
        <v>8.2569444444444445E-2</v>
      </c>
      <c r="L80" s="5">
        <f>269 / 86400</f>
        <v>3.1134259259259257E-3</v>
      </c>
    </row>
    <row r="81" spans="1:12" x14ac:dyDescent="0.25">
      <c r="A81" s="3">
        <v>45705.394884259258</v>
      </c>
      <c r="B81" t="s">
        <v>131</v>
      </c>
      <c r="C81" s="3">
        <v>45705.395335648151</v>
      </c>
      <c r="D81" t="s">
        <v>132</v>
      </c>
      <c r="E81" s="4">
        <v>9.4E-2</v>
      </c>
      <c r="F81" s="4">
        <v>514914.56199999998</v>
      </c>
      <c r="G81" s="4">
        <v>514914.65600000002</v>
      </c>
      <c r="H81" s="5">
        <f>0 / 86400</f>
        <v>0</v>
      </c>
      <c r="I81" t="s">
        <v>66</v>
      </c>
      <c r="J81" t="s">
        <v>133</v>
      </c>
      <c r="K81" s="5">
        <f>39 / 86400</f>
        <v>4.5138888888888887E-4</v>
      </c>
      <c r="L81" s="5">
        <f>337 / 86400</f>
        <v>3.9004629629629628E-3</v>
      </c>
    </row>
    <row r="82" spans="1:12" x14ac:dyDescent="0.25">
      <c r="A82" s="3">
        <v>45705.399236111116</v>
      </c>
      <c r="B82" t="s">
        <v>132</v>
      </c>
      <c r="C82" s="3">
        <v>45705.478993055556</v>
      </c>
      <c r="D82" t="s">
        <v>80</v>
      </c>
      <c r="E82" s="4">
        <v>41.134</v>
      </c>
      <c r="F82" s="4">
        <v>514914.65600000002</v>
      </c>
      <c r="G82" s="4">
        <v>514955.79</v>
      </c>
      <c r="H82" s="5">
        <f>1440 / 86400</f>
        <v>1.6666666666666666E-2</v>
      </c>
      <c r="I82" t="s">
        <v>65</v>
      </c>
      <c r="J82" t="s">
        <v>38</v>
      </c>
      <c r="K82" s="5">
        <f>6891 / 86400</f>
        <v>7.975694444444445E-2</v>
      </c>
      <c r="L82" s="5">
        <f>500 / 86400</f>
        <v>5.7870370370370367E-3</v>
      </c>
    </row>
    <row r="83" spans="1:12" x14ac:dyDescent="0.25">
      <c r="A83" s="3">
        <v>45705.484780092593</v>
      </c>
      <c r="B83" t="s">
        <v>80</v>
      </c>
      <c r="C83" s="3">
        <v>45705.551840277782</v>
      </c>
      <c r="D83" t="s">
        <v>134</v>
      </c>
      <c r="E83" s="4">
        <v>34.725999999999999</v>
      </c>
      <c r="F83" s="4">
        <v>514955.79</v>
      </c>
      <c r="G83" s="4">
        <v>514990.516</v>
      </c>
      <c r="H83" s="5">
        <f>1360 / 86400</f>
        <v>1.5740740740740739E-2</v>
      </c>
      <c r="I83" t="s">
        <v>61</v>
      </c>
      <c r="J83" t="s">
        <v>135</v>
      </c>
      <c r="K83" s="5">
        <f>5793 / 86400</f>
        <v>6.7048611111111114E-2</v>
      </c>
      <c r="L83" s="5">
        <f>8436 / 86400</f>
        <v>9.7638888888888886E-2</v>
      </c>
    </row>
    <row r="84" spans="1:12" x14ac:dyDescent="0.25">
      <c r="A84" s="3">
        <v>45705.649479166663</v>
      </c>
      <c r="B84" t="s">
        <v>134</v>
      </c>
      <c r="C84" s="3">
        <v>45705.650254629625</v>
      </c>
      <c r="D84" t="s">
        <v>136</v>
      </c>
      <c r="E84" s="4">
        <v>0.26100000000000001</v>
      </c>
      <c r="F84" s="4">
        <v>514990.516</v>
      </c>
      <c r="G84" s="4">
        <v>514990.777</v>
      </c>
      <c r="H84" s="5">
        <f>20 / 86400</f>
        <v>2.3148148148148149E-4</v>
      </c>
      <c r="I84" t="s">
        <v>20</v>
      </c>
      <c r="J84" t="s">
        <v>75</v>
      </c>
      <c r="K84" s="5">
        <f>67 / 86400</f>
        <v>7.7546296296296293E-4</v>
      </c>
      <c r="L84" s="5">
        <f>72 / 86400</f>
        <v>8.3333333333333339E-4</v>
      </c>
    </row>
    <row r="85" spans="1:12" x14ac:dyDescent="0.25">
      <c r="A85" s="3">
        <v>45705.651087962964</v>
      </c>
      <c r="B85" t="s">
        <v>136</v>
      </c>
      <c r="C85" s="3">
        <v>45705.732118055559</v>
      </c>
      <c r="D85" t="s">
        <v>137</v>
      </c>
      <c r="E85" s="4">
        <v>36.89</v>
      </c>
      <c r="F85" s="4">
        <v>514990.777</v>
      </c>
      <c r="G85" s="4">
        <v>515027.66700000002</v>
      </c>
      <c r="H85" s="5">
        <f>1742 / 86400</f>
        <v>2.0162037037037037E-2</v>
      </c>
      <c r="I85" t="s">
        <v>61</v>
      </c>
      <c r="J85" t="s">
        <v>27</v>
      </c>
      <c r="K85" s="5">
        <f>7001 / 86400</f>
        <v>8.1030092592592598E-2</v>
      </c>
      <c r="L85" s="5">
        <f>251 / 86400</f>
        <v>2.9050925925925928E-3</v>
      </c>
    </row>
    <row r="86" spans="1:12" x14ac:dyDescent="0.25">
      <c r="A86" s="3">
        <v>45705.735023148147</v>
      </c>
      <c r="B86" t="s">
        <v>137</v>
      </c>
      <c r="C86" s="3">
        <v>45705.837650462963</v>
      </c>
      <c r="D86" t="s">
        <v>138</v>
      </c>
      <c r="E86" s="4">
        <v>47.899000000000001</v>
      </c>
      <c r="F86" s="4">
        <v>515027.66700000002</v>
      </c>
      <c r="G86" s="4">
        <v>515075.56599999999</v>
      </c>
      <c r="H86" s="5">
        <f>2400 / 86400</f>
        <v>2.7777777777777776E-2</v>
      </c>
      <c r="I86" t="s">
        <v>19</v>
      </c>
      <c r="J86" t="s">
        <v>27</v>
      </c>
      <c r="K86" s="5">
        <f>8867 / 86400</f>
        <v>0.10262731481481481</v>
      </c>
      <c r="L86" s="5">
        <f>143 / 86400</f>
        <v>1.6550925925925926E-3</v>
      </c>
    </row>
    <row r="87" spans="1:12" x14ac:dyDescent="0.25">
      <c r="A87" s="3">
        <v>45705.839305555557</v>
      </c>
      <c r="B87" t="s">
        <v>138</v>
      </c>
      <c r="C87" s="3">
        <v>45705.883946759262</v>
      </c>
      <c r="D87" t="s">
        <v>139</v>
      </c>
      <c r="E87" s="4">
        <v>16.494</v>
      </c>
      <c r="F87" s="4">
        <v>515075.56599999999</v>
      </c>
      <c r="G87" s="4">
        <v>515092.06</v>
      </c>
      <c r="H87" s="5">
        <f>1321 / 86400</f>
        <v>1.5289351851851853E-2</v>
      </c>
      <c r="I87" t="s">
        <v>140</v>
      </c>
      <c r="J87" t="s">
        <v>30</v>
      </c>
      <c r="K87" s="5">
        <f>3857 / 86400</f>
        <v>4.4641203703703704E-2</v>
      </c>
      <c r="L87" s="5">
        <f>361 / 86400</f>
        <v>4.178240740740741E-3</v>
      </c>
    </row>
    <row r="88" spans="1:12" x14ac:dyDescent="0.25">
      <c r="A88" s="3">
        <v>45705.888124999998</v>
      </c>
      <c r="B88" t="s">
        <v>139</v>
      </c>
      <c r="C88" s="3">
        <v>45705.890381944446</v>
      </c>
      <c r="D88" t="s">
        <v>18</v>
      </c>
      <c r="E88" s="4">
        <v>0.56100000000000005</v>
      </c>
      <c r="F88" s="4">
        <v>515092.06</v>
      </c>
      <c r="G88" s="4">
        <v>515092.62099999998</v>
      </c>
      <c r="H88" s="5">
        <f>20 / 86400</f>
        <v>2.3148148148148149E-4</v>
      </c>
      <c r="I88" t="s">
        <v>141</v>
      </c>
      <c r="J88" t="s">
        <v>118</v>
      </c>
      <c r="K88" s="5">
        <f>195 / 86400</f>
        <v>2.2569444444444442E-3</v>
      </c>
      <c r="L88" s="5">
        <f>54 / 86400</f>
        <v>6.2500000000000001E-4</v>
      </c>
    </row>
    <row r="89" spans="1:12" x14ac:dyDescent="0.25">
      <c r="A89" s="3">
        <v>45705.891006944439</v>
      </c>
      <c r="B89" t="s">
        <v>18</v>
      </c>
      <c r="C89" s="3">
        <v>45705.891273148147</v>
      </c>
      <c r="D89" t="s">
        <v>18</v>
      </c>
      <c r="E89" s="4">
        <v>1.4E-2</v>
      </c>
      <c r="F89" s="4">
        <v>515092.62099999998</v>
      </c>
      <c r="G89" s="4">
        <v>515092.63500000001</v>
      </c>
      <c r="H89" s="5">
        <f>0 / 86400</f>
        <v>0</v>
      </c>
      <c r="I89" t="s">
        <v>142</v>
      </c>
      <c r="J89" t="s">
        <v>143</v>
      </c>
      <c r="K89" s="5">
        <f>22 / 86400</f>
        <v>2.5462962962962961E-4</v>
      </c>
      <c r="L89" s="5">
        <f>9393 / 86400</f>
        <v>0.10871527777777777</v>
      </c>
    </row>
    <row r="90" spans="1:1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 spans="1:1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</row>
    <row r="92" spans="1:12" s="10" customFormat="1" ht="20.100000000000001" customHeight="1" x14ac:dyDescent="0.35">
      <c r="A92" s="12" t="s">
        <v>442</v>
      </c>
      <c r="B92" s="12"/>
      <c r="C92" s="12"/>
      <c r="D92" s="12"/>
      <c r="E92" s="12"/>
      <c r="F92" s="12"/>
      <c r="G92" s="12"/>
      <c r="H92" s="12"/>
      <c r="I92" s="12"/>
      <c r="J92" s="12"/>
    </row>
    <row r="93" spans="1:1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</row>
    <row r="94" spans="1:12" ht="30" x14ac:dyDescent="0.25">
      <c r="A94" s="2" t="s">
        <v>6</v>
      </c>
      <c r="B94" s="2" t="s">
        <v>7</v>
      </c>
      <c r="C94" s="2" t="s">
        <v>8</v>
      </c>
      <c r="D94" s="2" t="s">
        <v>9</v>
      </c>
      <c r="E94" s="2" t="s">
        <v>10</v>
      </c>
      <c r="F94" s="2" t="s">
        <v>11</v>
      </c>
      <c r="G94" s="2" t="s">
        <v>12</v>
      </c>
      <c r="H94" s="2" t="s">
        <v>13</v>
      </c>
      <c r="I94" s="2" t="s">
        <v>14</v>
      </c>
      <c r="J94" s="2" t="s">
        <v>15</v>
      </c>
      <c r="K94" s="2" t="s">
        <v>16</v>
      </c>
      <c r="L94" s="2" t="s">
        <v>17</v>
      </c>
    </row>
    <row r="95" spans="1:12" x14ac:dyDescent="0.25">
      <c r="A95" s="3">
        <v>45705.094097222223</v>
      </c>
      <c r="B95" t="s">
        <v>21</v>
      </c>
      <c r="C95" s="3">
        <v>45705.284988425927</v>
      </c>
      <c r="D95" t="s">
        <v>128</v>
      </c>
      <c r="E95" s="4">
        <v>103.512</v>
      </c>
      <c r="F95" s="4">
        <v>20202.331999999999</v>
      </c>
      <c r="G95" s="4">
        <v>20305.844000000001</v>
      </c>
      <c r="H95" s="5">
        <f>4218 / 86400</f>
        <v>4.8819444444444443E-2</v>
      </c>
      <c r="I95" t="s">
        <v>22</v>
      </c>
      <c r="J95" t="s">
        <v>141</v>
      </c>
      <c r="K95" s="5">
        <f>16493 / 86400</f>
        <v>0.19089120370370372</v>
      </c>
      <c r="L95" s="5">
        <f>9484 / 86400</f>
        <v>0.10976851851851852</v>
      </c>
    </row>
    <row r="96" spans="1:12" x14ac:dyDescent="0.25">
      <c r="A96" s="3">
        <v>45705.300659722227</v>
      </c>
      <c r="B96" t="s">
        <v>128</v>
      </c>
      <c r="C96" s="3">
        <v>45705.544733796298</v>
      </c>
      <c r="D96" t="s">
        <v>80</v>
      </c>
      <c r="E96" s="4">
        <v>101.456</v>
      </c>
      <c r="F96" s="4">
        <v>20305.844000000001</v>
      </c>
      <c r="G96" s="4">
        <v>20407.3</v>
      </c>
      <c r="H96" s="5">
        <f>6198 / 86400</f>
        <v>7.1736111111111112E-2</v>
      </c>
      <c r="I96" t="s">
        <v>119</v>
      </c>
      <c r="J96" t="s">
        <v>32</v>
      </c>
      <c r="K96" s="5">
        <f>21088 / 86400</f>
        <v>0.24407407407407408</v>
      </c>
      <c r="L96" s="5">
        <f>659 / 86400</f>
        <v>7.6273148148148151E-3</v>
      </c>
    </row>
    <row r="97" spans="1:12" x14ac:dyDescent="0.25">
      <c r="A97" s="3">
        <v>45705.552361111113</v>
      </c>
      <c r="B97" t="s">
        <v>80</v>
      </c>
      <c r="C97" s="3">
        <v>45705.557939814811</v>
      </c>
      <c r="D97" t="s">
        <v>80</v>
      </c>
      <c r="E97" s="4">
        <v>0.188</v>
      </c>
      <c r="F97" s="4">
        <v>20407.3</v>
      </c>
      <c r="G97" s="4">
        <v>20407.488000000001</v>
      </c>
      <c r="H97" s="5">
        <f>361 / 86400</f>
        <v>4.178240740740741E-3</v>
      </c>
      <c r="I97" t="s">
        <v>45</v>
      </c>
      <c r="J97" t="s">
        <v>144</v>
      </c>
      <c r="K97" s="5">
        <f>482 / 86400</f>
        <v>5.5787037037037038E-3</v>
      </c>
      <c r="L97" s="5">
        <f>781 / 86400</f>
        <v>9.0393518518518522E-3</v>
      </c>
    </row>
    <row r="98" spans="1:12" x14ac:dyDescent="0.25">
      <c r="A98" s="3">
        <v>45705.566979166666</v>
      </c>
      <c r="B98" t="s">
        <v>80</v>
      </c>
      <c r="C98" s="3">
        <v>45705.567997685182</v>
      </c>
      <c r="D98" t="s">
        <v>137</v>
      </c>
      <c r="E98" s="4">
        <v>0.192</v>
      </c>
      <c r="F98" s="4">
        <v>20407.488000000001</v>
      </c>
      <c r="G98" s="4">
        <v>20407.68</v>
      </c>
      <c r="H98" s="5">
        <f>39 / 86400</f>
        <v>4.5138888888888887E-4</v>
      </c>
      <c r="I98" t="s">
        <v>129</v>
      </c>
      <c r="J98" t="s">
        <v>107</v>
      </c>
      <c r="K98" s="5">
        <f>87 / 86400</f>
        <v>1.0069444444444444E-3</v>
      </c>
      <c r="L98" s="5">
        <f>290 / 86400</f>
        <v>3.3564814814814816E-3</v>
      </c>
    </row>
    <row r="99" spans="1:12" x14ac:dyDescent="0.25">
      <c r="A99" s="3">
        <v>45705.571354166663</v>
      </c>
      <c r="B99" t="s">
        <v>137</v>
      </c>
      <c r="C99" s="3">
        <v>45705.571423611109</v>
      </c>
      <c r="D99" t="s">
        <v>137</v>
      </c>
      <c r="E99" s="4">
        <v>0</v>
      </c>
      <c r="F99" s="4">
        <v>20407.68</v>
      </c>
      <c r="G99" s="4">
        <v>20407.68</v>
      </c>
      <c r="H99" s="5">
        <f>0 / 86400</f>
        <v>0</v>
      </c>
      <c r="I99" t="s">
        <v>73</v>
      </c>
      <c r="J99" t="s">
        <v>73</v>
      </c>
      <c r="K99" s="5">
        <f>6 / 86400</f>
        <v>6.9444444444444444E-5</v>
      </c>
      <c r="L99" s="5">
        <f>2 / 86400</f>
        <v>2.3148148148148147E-5</v>
      </c>
    </row>
    <row r="100" spans="1:12" x14ac:dyDescent="0.25">
      <c r="A100" s="3">
        <v>45705.571446759262</v>
      </c>
      <c r="B100" t="s">
        <v>137</v>
      </c>
      <c r="C100" s="3">
        <v>45705.577916666662</v>
      </c>
      <c r="D100" t="s">
        <v>48</v>
      </c>
      <c r="E100" s="4">
        <v>0.84199999999999997</v>
      </c>
      <c r="F100" s="4">
        <v>20407.68</v>
      </c>
      <c r="G100" s="4">
        <v>20408.522000000001</v>
      </c>
      <c r="H100" s="5">
        <f>271 / 86400</f>
        <v>3.1365740740740742E-3</v>
      </c>
      <c r="I100" t="s">
        <v>145</v>
      </c>
      <c r="J100" t="s">
        <v>142</v>
      </c>
      <c r="K100" s="5">
        <f>559 / 86400</f>
        <v>6.4699074074074077E-3</v>
      </c>
      <c r="L100" s="5">
        <f>445 / 86400</f>
        <v>5.1504629629629626E-3</v>
      </c>
    </row>
    <row r="101" spans="1:12" x14ac:dyDescent="0.25">
      <c r="A101" s="3">
        <v>45705.583067129628</v>
      </c>
      <c r="B101" t="s">
        <v>48</v>
      </c>
      <c r="C101" s="3">
        <v>45705.586747685185</v>
      </c>
      <c r="D101" t="s">
        <v>146</v>
      </c>
      <c r="E101" s="4">
        <v>1.1299999999999999</v>
      </c>
      <c r="F101" s="4">
        <v>20408.522000000001</v>
      </c>
      <c r="G101" s="4">
        <v>20409.651999999998</v>
      </c>
      <c r="H101" s="5">
        <f>61 / 86400</f>
        <v>7.0601851851851847E-4</v>
      </c>
      <c r="I101" t="s">
        <v>147</v>
      </c>
      <c r="J101" t="s">
        <v>66</v>
      </c>
      <c r="K101" s="5">
        <f>318 / 86400</f>
        <v>3.6805555555555554E-3</v>
      </c>
      <c r="L101" s="5">
        <f>8639 / 86400</f>
        <v>9.9988425925925925E-2</v>
      </c>
    </row>
    <row r="102" spans="1:12" x14ac:dyDescent="0.25">
      <c r="A102" s="3">
        <v>45705.686736111107</v>
      </c>
      <c r="B102" t="s">
        <v>146</v>
      </c>
      <c r="C102" s="3">
        <v>45705.689247685186</v>
      </c>
      <c r="D102" t="s">
        <v>146</v>
      </c>
      <c r="E102" s="4">
        <v>0</v>
      </c>
      <c r="F102" s="4">
        <v>20409.651999999998</v>
      </c>
      <c r="G102" s="4">
        <v>20409.651999999998</v>
      </c>
      <c r="H102" s="5">
        <f>199 / 86400</f>
        <v>2.3032407407407407E-3</v>
      </c>
      <c r="I102" t="s">
        <v>73</v>
      </c>
      <c r="J102" t="s">
        <v>73</v>
      </c>
      <c r="K102" s="5">
        <f>217 / 86400</f>
        <v>2.5115740740740741E-3</v>
      </c>
      <c r="L102" s="5">
        <f>125 / 86400</f>
        <v>1.4467592592592592E-3</v>
      </c>
    </row>
    <row r="103" spans="1:12" x14ac:dyDescent="0.25">
      <c r="A103" s="3">
        <v>45705.690694444449</v>
      </c>
      <c r="B103" t="s">
        <v>146</v>
      </c>
      <c r="C103" s="3">
        <v>45705.896747685183</v>
      </c>
      <c r="D103" t="s">
        <v>80</v>
      </c>
      <c r="E103" s="4">
        <v>82.355999999999995</v>
      </c>
      <c r="F103" s="4">
        <v>20409.651999999998</v>
      </c>
      <c r="G103" s="4">
        <v>20492.008000000002</v>
      </c>
      <c r="H103" s="5">
        <f>5649 / 86400</f>
        <v>6.5381944444444451E-2</v>
      </c>
      <c r="I103" t="s">
        <v>95</v>
      </c>
      <c r="J103" t="s">
        <v>32</v>
      </c>
      <c r="K103" s="5">
        <f>17803 / 86400</f>
        <v>0.20605324074074075</v>
      </c>
      <c r="L103" s="5">
        <f>543 / 86400</f>
        <v>6.2847222222222219E-3</v>
      </c>
    </row>
    <row r="104" spans="1:12" x14ac:dyDescent="0.25">
      <c r="A104" s="3">
        <v>45705.903032407412</v>
      </c>
      <c r="B104" t="s">
        <v>80</v>
      </c>
      <c r="C104" s="3">
        <v>45705.909907407404</v>
      </c>
      <c r="D104" t="s">
        <v>21</v>
      </c>
      <c r="E104" s="4">
        <v>0.73499999999999999</v>
      </c>
      <c r="F104" s="4">
        <v>20492.008000000002</v>
      </c>
      <c r="G104" s="4">
        <v>20492.742999999999</v>
      </c>
      <c r="H104" s="5">
        <f>321 / 86400</f>
        <v>3.7152777777777778E-3</v>
      </c>
      <c r="I104" t="s">
        <v>135</v>
      </c>
      <c r="J104" t="s">
        <v>148</v>
      </c>
      <c r="K104" s="5">
        <f>594 / 86400</f>
        <v>6.875E-3</v>
      </c>
      <c r="L104" s="5">
        <f>7783 / 86400</f>
        <v>9.0081018518518519E-2</v>
      </c>
    </row>
    <row r="105" spans="1:12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2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2" s="10" customFormat="1" ht="20.100000000000001" customHeight="1" x14ac:dyDescent="0.35">
      <c r="A107" s="12" t="s">
        <v>443</v>
      </c>
      <c r="B107" s="12"/>
      <c r="C107" s="12"/>
      <c r="D107" s="12"/>
      <c r="E107" s="12"/>
      <c r="F107" s="12"/>
      <c r="G107" s="12"/>
      <c r="H107" s="12"/>
      <c r="I107" s="12"/>
      <c r="J107" s="12"/>
    </row>
    <row r="108" spans="1:12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2" ht="30" x14ac:dyDescent="0.25">
      <c r="A109" s="2" t="s">
        <v>6</v>
      </c>
      <c r="B109" s="2" t="s">
        <v>7</v>
      </c>
      <c r="C109" s="2" t="s">
        <v>8</v>
      </c>
      <c r="D109" s="2" t="s">
        <v>9</v>
      </c>
      <c r="E109" s="2" t="s">
        <v>10</v>
      </c>
      <c r="F109" s="2" t="s">
        <v>11</v>
      </c>
      <c r="G109" s="2" t="s">
        <v>12</v>
      </c>
      <c r="H109" s="2" t="s">
        <v>13</v>
      </c>
      <c r="I109" s="2" t="s">
        <v>14</v>
      </c>
      <c r="J109" s="2" t="s">
        <v>15</v>
      </c>
      <c r="K109" s="2" t="s">
        <v>16</v>
      </c>
      <c r="L109" s="2" t="s">
        <v>17</v>
      </c>
    </row>
    <row r="110" spans="1:12" x14ac:dyDescent="0.25">
      <c r="A110" s="3">
        <v>45705.236516203702</v>
      </c>
      <c r="B110" t="s">
        <v>24</v>
      </c>
      <c r="C110" s="3">
        <v>45705.249097222222</v>
      </c>
      <c r="D110" t="s">
        <v>149</v>
      </c>
      <c r="E110" s="4">
        <v>8.657</v>
      </c>
      <c r="F110" s="4">
        <v>329313.31599999999</v>
      </c>
      <c r="G110" s="4">
        <v>329321.973</v>
      </c>
      <c r="H110" s="5">
        <f>219 / 86400</f>
        <v>2.5347222222222221E-3</v>
      </c>
      <c r="I110" t="s">
        <v>44</v>
      </c>
      <c r="J110" t="s">
        <v>150</v>
      </c>
      <c r="K110" s="5">
        <f>1087 / 86400</f>
        <v>1.2581018518518519E-2</v>
      </c>
      <c r="L110" s="5">
        <f>20467 / 86400</f>
        <v>0.23688657407407407</v>
      </c>
    </row>
    <row r="111" spans="1:12" x14ac:dyDescent="0.25">
      <c r="A111" s="3">
        <v>45705.249467592592</v>
      </c>
      <c r="B111" t="s">
        <v>149</v>
      </c>
      <c r="C111" s="3">
        <v>45705.249652777777</v>
      </c>
      <c r="D111" t="s">
        <v>149</v>
      </c>
      <c r="E111" s="4">
        <v>7.0000000000000001E-3</v>
      </c>
      <c r="F111" s="4">
        <v>329321.973</v>
      </c>
      <c r="G111" s="4">
        <v>329321.98</v>
      </c>
      <c r="H111" s="5">
        <f>0 / 86400</f>
        <v>0</v>
      </c>
      <c r="I111" t="s">
        <v>142</v>
      </c>
      <c r="J111" t="s">
        <v>143</v>
      </c>
      <c r="K111" s="5">
        <f>15 / 86400</f>
        <v>1.7361111111111112E-4</v>
      </c>
      <c r="L111" s="5">
        <f>121 / 86400</f>
        <v>1.4004629629629629E-3</v>
      </c>
    </row>
    <row r="112" spans="1:12" x14ac:dyDescent="0.25">
      <c r="A112" s="3">
        <v>45705.25105324074</v>
      </c>
      <c r="B112" t="s">
        <v>149</v>
      </c>
      <c r="C112" s="3">
        <v>45705.434432870374</v>
      </c>
      <c r="D112" t="s">
        <v>80</v>
      </c>
      <c r="E112" s="4">
        <v>84.582999999999998</v>
      </c>
      <c r="F112" s="4">
        <v>329321.98</v>
      </c>
      <c r="G112" s="4">
        <v>329406.56300000002</v>
      </c>
      <c r="H112" s="5">
        <f>4701 / 86400</f>
        <v>5.440972222222222E-2</v>
      </c>
      <c r="I112" t="s">
        <v>60</v>
      </c>
      <c r="J112" t="s">
        <v>27</v>
      </c>
      <c r="K112" s="5">
        <f>15844 / 86400</f>
        <v>0.18337962962962964</v>
      </c>
      <c r="L112" s="5">
        <f>1315 / 86400</f>
        <v>1.5219907407407408E-2</v>
      </c>
    </row>
    <row r="113" spans="1:12" x14ac:dyDescent="0.25">
      <c r="A113" s="3">
        <v>45705.449652777781</v>
      </c>
      <c r="B113" t="s">
        <v>80</v>
      </c>
      <c r="C113" s="3">
        <v>45705.451064814813</v>
      </c>
      <c r="D113" t="s">
        <v>137</v>
      </c>
      <c r="E113" s="4">
        <v>0.222</v>
      </c>
      <c r="F113" s="4">
        <v>329406.56300000002</v>
      </c>
      <c r="G113" s="4">
        <v>329406.78499999997</v>
      </c>
      <c r="H113" s="5">
        <f>40 / 86400</f>
        <v>4.6296296296296298E-4</v>
      </c>
      <c r="I113" t="s">
        <v>32</v>
      </c>
      <c r="J113" t="s">
        <v>151</v>
      </c>
      <c r="K113" s="5">
        <f>121 / 86400</f>
        <v>1.4004629629629629E-3</v>
      </c>
      <c r="L113" s="5">
        <f>3298 / 86400</f>
        <v>3.8171296296296293E-2</v>
      </c>
    </row>
    <row r="114" spans="1:12" x14ac:dyDescent="0.25">
      <c r="A114" s="3">
        <v>45705.489236111112</v>
      </c>
      <c r="B114" t="s">
        <v>137</v>
      </c>
      <c r="C114" s="3">
        <v>45705.491724537038</v>
      </c>
      <c r="D114" t="s">
        <v>94</v>
      </c>
      <c r="E114" s="4">
        <v>0.85599999999999998</v>
      </c>
      <c r="F114" s="4">
        <v>329406.78499999997</v>
      </c>
      <c r="G114" s="4">
        <v>329407.641</v>
      </c>
      <c r="H114" s="5">
        <f>0 / 86400</f>
        <v>0</v>
      </c>
      <c r="I114" t="s">
        <v>152</v>
      </c>
      <c r="J114" t="s">
        <v>75</v>
      </c>
      <c r="K114" s="5">
        <f>215 / 86400</f>
        <v>2.488425925925926E-3</v>
      </c>
      <c r="L114" s="5">
        <f>32 / 86400</f>
        <v>3.7037037037037035E-4</v>
      </c>
    </row>
    <row r="115" spans="1:12" x14ac:dyDescent="0.25">
      <c r="A115" s="3">
        <v>45705.492094907408</v>
      </c>
      <c r="B115" t="s">
        <v>94</v>
      </c>
      <c r="C115" s="3">
        <v>45705.492361111115</v>
      </c>
      <c r="D115" t="s">
        <v>94</v>
      </c>
      <c r="E115" s="4">
        <v>1.7999999999999999E-2</v>
      </c>
      <c r="F115" s="4">
        <v>329407.641</v>
      </c>
      <c r="G115" s="4">
        <v>329407.65899999999</v>
      </c>
      <c r="H115" s="5">
        <f>0 / 86400</f>
        <v>0</v>
      </c>
      <c r="I115" t="s">
        <v>153</v>
      </c>
      <c r="J115" t="s">
        <v>84</v>
      </c>
      <c r="K115" s="5">
        <f>23 / 86400</f>
        <v>2.6620370370370372E-4</v>
      </c>
      <c r="L115" s="5">
        <f>87 / 86400</f>
        <v>1.0069444444444444E-3</v>
      </c>
    </row>
    <row r="116" spans="1:12" x14ac:dyDescent="0.25">
      <c r="A116" s="3">
        <v>45705.493368055555</v>
      </c>
      <c r="B116" t="s">
        <v>94</v>
      </c>
      <c r="C116" s="3">
        <v>45705.576249999998</v>
      </c>
      <c r="D116" t="s">
        <v>154</v>
      </c>
      <c r="E116" s="4">
        <v>41.481999999999999</v>
      </c>
      <c r="F116" s="4">
        <v>329407.65899999999</v>
      </c>
      <c r="G116" s="4">
        <v>329449.141</v>
      </c>
      <c r="H116" s="5">
        <f>1841 / 86400</f>
        <v>2.1307870370370369E-2</v>
      </c>
      <c r="I116" t="s">
        <v>33</v>
      </c>
      <c r="J116" t="s">
        <v>38</v>
      </c>
      <c r="K116" s="5">
        <f>7160 / 86400</f>
        <v>8.2870370370370372E-2</v>
      </c>
      <c r="L116" s="5">
        <f>939 / 86400</f>
        <v>1.0868055555555556E-2</v>
      </c>
    </row>
    <row r="117" spans="1:12" x14ac:dyDescent="0.25">
      <c r="A117" s="3">
        <v>45705.587118055555</v>
      </c>
      <c r="B117" t="s">
        <v>154</v>
      </c>
      <c r="C117" s="3">
        <v>45705.58865740741</v>
      </c>
      <c r="D117" t="s">
        <v>154</v>
      </c>
      <c r="E117" s="4">
        <v>0.02</v>
      </c>
      <c r="F117" s="4">
        <v>329449.141</v>
      </c>
      <c r="G117" s="4">
        <v>329449.16100000002</v>
      </c>
      <c r="H117" s="5">
        <f>99 / 86400</f>
        <v>1.1458333333333333E-3</v>
      </c>
      <c r="I117" t="s">
        <v>107</v>
      </c>
      <c r="J117" t="s">
        <v>144</v>
      </c>
      <c r="K117" s="5">
        <f>133 / 86400</f>
        <v>1.5393518518518519E-3</v>
      </c>
      <c r="L117" s="5">
        <f>72 / 86400</f>
        <v>8.3333333333333339E-4</v>
      </c>
    </row>
    <row r="118" spans="1:12" x14ac:dyDescent="0.25">
      <c r="A118" s="3">
        <v>45705.589490740742</v>
      </c>
      <c r="B118" t="s">
        <v>154</v>
      </c>
      <c r="C118" s="3">
        <v>45705.589722222227</v>
      </c>
      <c r="D118" t="s">
        <v>155</v>
      </c>
      <c r="E118" s="4">
        <v>0.05</v>
      </c>
      <c r="F118" s="4">
        <v>329449.16100000002</v>
      </c>
      <c r="G118" s="4">
        <v>329449.21100000001</v>
      </c>
      <c r="H118" s="5">
        <f>0 / 86400</f>
        <v>0</v>
      </c>
      <c r="I118" t="s">
        <v>73</v>
      </c>
      <c r="J118" t="s">
        <v>133</v>
      </c>
      <c r="K118" s="5">
        <f>19 / 86400</f>
        <v>2.199074074074074E-4</v>
      </c>
      <c r="L118" s="5">
        <f>67 / 86400</f>
        <v>7.7546296296296293E-4</v>
      </c>
    </row>
    <row r="119" spans="1:12" x14ac:dyDescent="0.25">
      <c r="A119" s="3">
        <v>45705.590497685189</v>
      </c>
      <c r="B119" t="s">
        <v>155</v>
      </c>
      <c r="C119" s="3">
        <v>45705.596458333333</v>
      </c>
      <c r="D119" t="s">
        <v>156</v>
      </c>
      <c r="E119" s="4">
        <v>1.792</v>
      </c>
      <c r="F119" s="4">
        <v>329449.21100000001</v>
      </c>
      <c r="G119" s="4">
        <v>329451.00300000003</v>
      </c>
      <c r="H119" s="5">
        <f>139 / 86400</f>
        <v>1.6087962962962963E-3</v>
      </c>
      <c r="I119" t="s">
        <v>157</v>
      </c>
      <c r="J119" t="s">
        <v>66</v>
      </c>
      <c r="K119" s="5">
        <f>515 / 86400</f>
        <v>5.9606481481481481E-3</v>
      </c>
      <c r="L119" s="5">
        <f>109 / 86400</f>
        <v>1.261574074074074E-3</v>
      </c>
    </row>
    <row r="120" spans="1:12" x14ac:dyDescent="0.25">
      <c r="A120" s="3">
        <v>45705.597719907411</v>
      </c>
      <c r="B120" t="s">
        <v>156</v>
      </c>
      <c r="C120" s="3">
        <v>45705.598263888889</v>
      </c>
      <c r="D120" t="s">
        <v>156</v>
      </c>
      <c r="E120" s="4">
        <v>0.17199999999999999</v>
      </c>
      <c r="F120" s="4">
        <v>329451.00300000003</v>
      </c>
      <c r="G120" s="4">
        <v>329451.17499999999</v>
      </c>
      <c r="H120" s="5">
        <f>0 / 86400</f>
        <v>0</v>
      </c>
      <c r="I120" t="s">
        <v>117</v>
      </c>
      <c r="J120" t="s">
        <v>66</v>
      </c>
      <c r="K120" s="5">
        <f>47 / 86400</f>
        <v>5.4398148148148144E-4</v>
      </c>
      <c r="L120" s="5">
        <f>805 / 86400</f>
        <v>9.3171296296296301E-3</v>
      </c>
    </row>
    <row r="121" spans="1:12" x14ac:dyDescent="0.25">
      <c r="A121" s="3">
        <v>45705.607581018514</v>
      </c>
      <c r="B121" t="s">
        <v>156</v>
      </c>
      <c r="C121" s="3">
        <v>45705.69059027778</v>
      </c>
      <c r="D121" t="s">
        <v>146</v>
      </c>
      <c r="E121" s="4">
        <v>39.404000000000003</v>
      </c>
      <c r="F121" s="4">
        <v>329451.17499999999</v>
      </c>
      <c r="G121" s="4">
        <v>329490.57900000003</v>
      </c>
      <c r="H121" s="5">
        <f>1982 / 86400</f>
        <v>2.2939814814814816E-2</v>
      </c>
      <c r="I121" t="s">
        <v>26</v>
      </c>
      <c r="J121" t="s">
        <v>20</v>
      </c>
      <c r="K121" s="5">
        <f>7171 / 86400</f>
        <v>8.2997685185185188E-2</v>
      </c>
      <c r="L121" s="5">
        <f>294 / 86400</f>
        <v>3.4027777777777776E-3</v>
      </c>
    </row>
    <row r="122" spans="1:12" x14ac:dyDescent="0.25">
      <c r="A122" s="3">
        <v>45705.693993055553</v>
      </c>
      <c r="B122" t="s">
        <v>146</v>
      </c>
      <c r="C122" s="3">
        <v>45705.704537037032</v>
      </c>
      <c r="D122" t="s">
        <v>35</v>
      </c>
      <c r="E122" s="4">
        <v>0.90300000000000002</v>
      </c>
      <c r="F122" s="4">
        <v>329490.57900000003</v>
      </c>
      <c r="G122" s="4">
        <v>329491.48200000002</v>
      </c>
      <c r="H122" s="5">
        <f>640 / 86400</f>
        <v>7.4074074074074077E-3</v>
      </c>
      <c r="I122" t="s">
        <v>38</v>
      </c>
      <c r="J122" t="s">
        <v>148</v>
      </c>
      <c r="K122" s="5">
        <f>910 / 86400</f>
        <v>1.0532407407407407E-2</v>
      </c>
      <c r="L122" s="5">
        <f>88 / 86400</f>
        <v>1.0185185185185184E-3</v>
      </c>
    </row>
    <row r="123" spans="1:12" x14ac:dyDescent="0.25">
      <c r="A123" s="3">
        <v>45705.705555555556</v>
      </c>
      <c r="B123" t="s">
        <v>35</v>
      </c>
      <c r="C123" s="3">
        <v>45705.787083333329</v>
      </c>
      <c r="D123" t="s">
        <v>158</v>
      </c>
      <c r="E123" s="4">
        <v>36.767000000000003</v>
      </c>
      <c r="F123" s="4">
        <v>329491.48200000002</v>
      </c>
      <c r="G123" s="4">
        <v>329528.24900000001</v>
      </c>
      <c r="H123" s="5">
        <f>2359 / 86400</f>
        <v>2.7303240740740739E-2</v>
      </c>
      <c r="I123" t="s">
        <v>61</v>
      </c>
      <c r="J123" t="s">
        <v>27</v>
      </c>
      <c r="K123" s="5">
        <f>7044 / 86400</f>
        <v>8.1527777777777782E-2</v>
      </c>
      <c r="L123" s="5">
        <f>323 / 86400</f>
        <v>3.7384259259259259E-3</v>
      </c>
    </row>
    <row r="124" spans="1:12" x14ac:dyDescent="0.25">
      <c r="A124" s="3">
        <v>45705.790821759263</v>
      </c>
      <c r="B124" t="s">
        <v>158</v>
      </c>
      <c r="C124" s="3">
        <v>45705.790937500002</v>
      </c>
      <c r="D124" t="s">
        <v>158</v>
      </c>
      <c r="E124" s="4">
        <v>0</v>
      </c>
      <c r="F124" s="4">
        <v>329528.24900000001</v>
      </c>
      <c r="G124" s="4">
        <v>329528.24900000001</v>
      </c>
      <c r="H124" s="5">
        <f>0 / 86400</f>
        <v>0</v>
      </c>
      <c r="I124" t="s">
        <v>73</v>
      </c>
      <c r="J124" t="s">
        <v>73</v>
      </c>
      <c r="K124" s="5">
        <f>10 / 86400</f>
        <v>1.1574074074074075E-4</v>
      </c>
      <c r="L124" s="5">
        <f>614 / 86400</f>
        <v>7.1064814814814819E-3</v>
      </c>
    </row>
    <row r="125" spans="1:12" x14ac:dyDescent="0.25">
      <c r="A125" s="3">
        <v>45705.798043981486</v>
      </c>
      <c r="B125" t="s">
        <v>158</v>
      </c>
      <c r="C125" s="3">
        <v>45705.799502314811</v>
      </c>
      <c r="D125" t="s">
        <v>158</v>
      </c>
      <c r="E125" s="4">
        <v>0.03</v>
      </c>
      <c r="F125" s="4">
        <v>329528.24900000001</v>
      </c>
      <c r="G125" s="4">
        <v>329528.27899999998</v>
      </c>
      <c r="H125" s="5">
        <f>100 / 86400</f>
        <v>1.1574074074074073E-3</v>
      </c>
      <c r="I125" t="s">
        <v>142</v>
      </c>
      <c r="J125" t="s">
        <v>144</v>
      </c>
      <c r="K125" s="5">
        <f>126 / 86400</f>
        <v>1.4583333333333334E-3</v>
      </c>
      <c r="L125" s="5">
        <f>52 / 86400</f>
        <v>6.018518518518519E-4</v>
      </c>
    </row>
    <row r="126" spans="1:12" x14ac:dyDescent="0.25">
      <c r="A126" s="3">
        <v>45705.800104166672</v>
      </c>
      <c r="B126" t="s">
        <v>158</v>
      </c>
      <c r="C126" s="3">
        <v>45705.858634259261</v>
      </c>
      <c r="D126" t="s">
        <v>111</v>
      </c>
      <c r="E126" s="4">
        <v>19.452000000000002</v>
      </c>
      <c r="F126" s="4">
        <v>329528.27899999998</v>
      </c>
      <c r="G126" s="4">
        <v>329547.73100000003</v>
      </c>
      <c r="H126" s="5">
        <f>1660 / 86400</f>
        <v>1.9212962962962963E-2</v>
      </c>
      <c r="I126" t="s">
        <v>159</v>
      </c>
      <c r="J126" t="s">
        <v>75</v>
      </c>
      <c r="K126" s="5">
        <f>5056 / 86400</f>
        <v>5.8518518518518518E-2</v>
      </c>
      <c r="L126" s="5">
        <f>600 / 86400</f>
        <v>6.9444444444444441E-3</v>
      </c>
    </row>
    <row r="127" spans="1:12" x14ac:dyDescent="0.25">
      <c r="A127" s="3">
        <v>45705.865578703699</v>
      </c>
      <c r="B127" t="s">
        <v>111</v>
      </c>
      <c r="C127" s="3">
        <v>45705.869085648148</v>
      </c>
      <c r="D127" t="s">
        <v>25</v>
      </c>
      <c r="E127" s="4">
        <v>1.349</v>
      </c>
      <c r="F127" s="4">
        <v>329547.73100000003</v>
      </c>
      <c r="G127" s="4">
        <v>329549.08</v>
      </c>
      <c r="H127" s="5">
        <f>60 / 86400</f>
        <v>6.9444444444444447E-4</v>
      </c>
      <c r="I127" t="s">
        <v>160</v>
      </c>
      <c r="J127" t="s">
        <v>62</v>
      </c>
      <c r="K127" s="5">
        <f>302 / 86400</f>
        <v>3.4953703703703705E-3</v>
      </c>
      <c r="L127" s="5">
        <f>11310 / 86400</f>
        <v>0.13090277777777778</v>
      </c>
    </row>
    <row r="128" spans="1:12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</row>
    <row r="129" spans="1:12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</row>
    <row r="130" spans="1:12" s="10" customFormat="1" ht="20.100000000000001" customHeight="1" x14ac:dyDescent="0.35">
      <c r="A130" s="12" t="s">
        <v>444</v>
      </c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</row>
    <row r="132" spans="1:12" ht="30" x14ac:dyDescent="0.25">
      <c r="A132" s="2" t="s">
        <v>6</v>
      </c>
      <c r="B132" s="2" t="s">
        <v>7</v>
      </c>
      <c r="C132" s="2" t="s">
        <v>8</v>
      </c>
      <c r="D132" s="2" t="s">
        <v>9</v>
      </c>
      <c r="E132" s="2" t="s">
        <v>10</v>
      </c>
      <c r="F132" s="2" t="s">
        <v>11</v>
      </c>
      <c r="G132" s="2" t="s">
        <v>12</v>
      </c>
      <c r="H132" s="2" t="s">
        <v>13</v>
      </c>
      <c r="I132" s="2" t="s">
        <v>14</v>
      </c>
      <c r="J132" s="2" t="s">
        <v>15</v>
      </c>
      <c r="K132" s="2" t="s">
        <v>16</v>
      </c>
      <c r="L132" s="2" t="s">
        <v>17</v>
      </c>
    </row>
    <row r="133" spans="1:12" x14ac:dyDescent="0.25">
      <c r="A133" s="3">
        <v>45705.288171296299</v>
      </c>
      <c r="B133" t="s">
        <v>28</v>
      </c>
      <c r="C133" s="3">
        <v>45705.348425925928</v>
      </c>
      <c r="D133" t="s">
        <v>80</v>
      </c>
      <c r="E133" s="4">
        <v>28.305</v>
      </c>
      <c r="F133" s="4">
        <v>20988.405999999999</v>
      </c>
      <c r="G133" s="4">
        <v>21016.710999999999</v>
      </c>
      <c r="H133" s="5">
        <f>1339 / 86400</f>
        <v>1.5497685185185186E-2</v>
      </c>
      <c r="I133" t="s">
        <v>33</v>
      </c>
      <c r="J133" t="s">
        <v>20</v>
      </c>
      <c r="K133" s="5">
        <f>5205 / 86400</f>
        <v>6.0243055555555557E-2</v>
      </c>
      <c r="L133" s="5">
        <f>26063 / 86400</f>
        <v>0.3016550925925926</v>
      </c>
    </row>
    <row r="134" spans="1:12" x14ac:dyDescent="0.25">
      <c r="A134" s="3">
        <v>45705.361909722225</v>
      </c>
      <c r="B134" t="s">
        <v>161</v>
      </c>
      <c r="C134" s="3">
        <v>45705.363020833334</v>
      </c>
      <c r="D134" t="s">
        <v>137</v>
      </c>
      <c r="E134" s="4">
        <v>0.182</v>
      </c>
      <c r="F134" s="4">
        <v>21016.710999999999</v>
      </c>
      <c r="G134" s="4">
        <v>21016.893</v>
      </c>
      <c r="H134" s="5">
        <f>19 / 86400</f>
        <v>2.199074074074074E-4</v>
      </c>
      <c r="I134" t="s">
        <v>162</v>
      </c>
      <c r="J134" t="s">
        <v>151</v>
      </c>
      <c r="K134" s="5">
        <f>95 / 86400</f>
        <v>1.0995370370370371E-3</v>
      </c>
      <c r="L134" s="5">
        <f>317 / 86400</f>
        <v>3.6689814814814814E-3</v>
      </c>
    </row>
    <row r="135" spans="1:12" x14ac:dyDescent="0.25">
      <c r="A135" s="3">
        <v>45705.366689814815</v>
      </c>
      <c r="B135" t="s">
        <v>137</v>
      </c>
      <c r="C135" s="3">
        <v>45705.37054398148</v>
      </c>
      <c r="D135" t="s">
        <v>128</v>
      </c>
      <c r="E135" s="4">
        <v>1.1870000000000001</v>
      </c>
      <c r="F135" s="4">
        <v>21016.893</v>
      </c>
      <c r="G135" s="4">
        <v>21018.080000000002</v>
      </c>
      <c r="H135" s="5">
        <f>20 / 86400</f>
        <v>2.3148148148148149E-4</v>
      </c>
      <c r="I135" t="s">
        <v>163</v>
      </c>
      <c r="J135" t="s">
        <v>66</v>
      </c>
      <c r="K135" s="5">
        <f>332 / 86400</f>
        <v>3.8425925925925928E-3</v>
      </c>
      <c r="L135" s="5">
        <f>433 / 86400</f>
        <v>5.0115740740740737E-3</v>
      </c>
    </row>
    <row r="136" spans="1:12" x14ac:dyDescent="0.25">
      <c r="A136" s="3">
        <v>45705.375555555554</v>
      </c>
      <c r="B136" t="s">
        <v>128</v>
      </c>
      <c r="C136" s="3">
        <v>45705.378055555557</v>
      </c>
      <c r="D136" t="s">
        <v>164</v>
      </c>
      <c r="E136" s="4">
        <v>0.76800000000000002</v>
      </c>
      <c r="F136" s="4">
        <v>21018.080000000002</v>
      </c>
      <c r="G136" s="4">
        <v>21018.848000000002</v>
      </c>
      <c r="H136" s="5">
        <f>60 / 86400</f>
        <v>6.9444444444444447E-4</v>
      </c>
      <c r="I136" t="s">
        <v>163</v>
      </c>
      <c r="J136" t="s">
        <v>66</v>
      </c>
      <c r="K136" s="5">
        <f>216 / 86400</f>
        <v>2.5000000000000001E-3</v>
      </c>
      <c r="L136" s="5">
        <f>144 / 86400</f>
        <v>1.6666666666666668E-3</v>
      </c>
    </row>
    <row r="137" spans="1:12" x14ac:dyDescent="0.25">
      <c r="A137" s="3">
        <v>45705.37972222222</v>
      </c>
      <c r="B137" t="s">
        <v>164</v>
      </c>
      <c r="C137" s="3">
        <v>45705.380069444444</v>
      </c>
      <c r="D137" t="s">
        <v>164</v>
      </c>
      <c r="E137" s="4">
        <v>0.01</v>
      </c>
      <c r="F137" s="4">
        <v>21018.848000000002</v>
      </c>
      <c r="G137" s="4">
        <v>21018.858</v>
      </c>
      <c r="H137" s="5">
        <f>19 / 86400</f>
        <v>2.199074074074074E-4</v>
      </c>
      <c r="I137" t="s">
        <v>153</v>
      </c>
      <c r="J137" t="s">
        <v>144</v>
      </c>
      <c r="K137" s="5">
        <f>30 / 86400</f>
        <v>3.4722222222222224E-4</v>
      </c>
      <c r="L137" s="5">
        <f>274 / 86400</f>
        <v>3.1712962962962962E-3</v>
      </c>
    </row>
    <row r="138" spans="1:12" x14ac:dyDescent="0.25">
      <c r="A138" s="3">
        <v>45705.383240740739</v>
      </c>
      <c r="B138" t="s">
        <v>164</v>
      </c>
      <c r="C138" s="3">
        <v>45705.383935185186</v>
      </c>
      <c r="D138" t="s">
        <v>164</v>
      </c>
      <c r="E138" s="4">
        <v>4.0000000000000001E-3</v>
      </c>
      <c r="F138" s="4">
        <v>21018.858</v>
      </c>
      <c r="G138" s="4">
        <v>21018.862000000001</v>
      </c>
      <c r="H138" s="5">
        <f>39 / 86400</f>
        <v>4.5138888888888887E-4</v>
      </c>
      <c r="I138" t="s">
        <v>73</v>
      </c>
      <c r="J138" t="s">
        <v>73</v>
      </c>
      <c r="K138" s="5">
        <f>60 / 86400</f>
        <v>6.9444444444444447E-4</v>
      </c>
      <c r="L138" s="5">
        <f>250 / 86400</f>
        <v>2.8935185185185184E-3</v>
      </c>
    </row>
    <row r="139" spans="1:12" x14ac:dyDescent="0.25">
      <c r="A139" s="3">
        <v>45705.386828703704</v>
      </c>
      <c r="B139" t="s">
        <v>164</v>
      </c>
      <c r="C139" s="3">
        <v>45705.514224537037</v>
      </c>
      <c r="D139" t="s">
        <v>165</v>
      </c>
      <c r="E139" s="4">
        <v>50.463999999999999</v>
      </c>
      <c r="F139" s="4">
        <v>21018.862000000001</v>
      </c>
      <c r="G139" s="4">
        <v>21069.326000000001</v>
      </c>
      <c r="H139" s="5">
        <f>3660 / 86400</f>
        <v>4.2361111111111113E-2</v>
      </c>
      <c r="I139" t="s">
        <v>33</v>
      </c>
      <c r="J139" t="s">
        <v>32</v>
      </c>
      <c r="K139" s="5">
        <f>11006 / 86400</f>
        <v>0.12738425925925925</v>
      </c>
      <c r="L139" s="5">
        <f>4413 / 86400</f>
        <v>5.1076388888888886E-2</v>
      </c>
    </row>
    <row r="140" spans="1:12" x14ac:dyDescent="0.25">
      <c r="A140" s="3">
        <v>45705.565300925926</v>
      </c>
      <c r="B140" t="s">
        <v>165</v>
      </c>
      <c r="C140" s="3">
        <v>45705.722442129627</v>
      </c>
      <c r="D140" t="s">
        <v>164</v>
      </c>
      <c r="E140" s="4">
        <v>51.4</v>
      </c>
      <c r="F140" s="4">
        <v>21069.326000000001</v>
      </c>
      <c r="G140" s="4">
        <v>21120.725999999999</v>
      </c>
      <c r="H140" s="5">
        <f>5138 / 86400</f>
        <v>5.9467592592592593E-2</v>
      </c>
      <c r="I140" t="s">
        <v>47</v>
      </c>
      <c r="J140" t="s">
        <v>75</v>
      </c>
      <c r="K140" s="5">
        <f>13576 / 86400</f>
        <v>0.15712962962962962</v>
      </c>
      <c r="L140" s="5">
        <f>140 / 86400</f>
        <v>1.6203703703703703E-3</v>
      </c>
    </row>
    <row r="141" spans="1:12" x14ac:dyDescent="0.25">
      <c r="A141" s="3">
        <v>45705.724062499998</v>
      </c>
      <c r="B141" t="s">
        <v>164</v>
      </c>
      <c r="C141" s="3">
        <v>45705.724594907406</v>
      </c>
      <c r="D141" t="s">
        <v>164</v>
      </c>
      <c r="E141" s="4">
        <v>4.0000000000000001E-3</v>
      </c>
      <c r="F141" s="4">
        <v>21120.725999999999</v>
      </c>
      <c r="G141" s="4">
        <v>21120.73</v>
      </c>
      <c r="H141" s="5">
        <f>39 / 86400</f>
        <v>4.5138888888888887E-4</v>
      </c>
      <c r="I141" t="s">
        <v>73</v>
      </c>
      <c r="J141" t="s">
        <v>73</v>
      </c>
      <c r="K141" s="5">
        <f>46 / 86400</f>
        <v>5.3240740740740744E-4</v>
      </c>
      <c r="L141" s="5">
        <f>328 / 86400</f>
        <v>3.7962962962962963E-3</v>
      </c>
    </row>
    <row r="142" spans="1:12" x14ac:dyDescent="0.25">
      <c r="A142" s="3">
        <v>45705.728391203702</v>
      </c>
      <c r="B142" t="s">
        <v>164</v>
      </c>
      <c r="C142" s="3">
        <v>45705.728738425925</v>
      </c>
      <c r="D142" t="s">
        <v>164</v>
      </c>
      <c r="E142" s="4">
        <v>4.0000000000000001E-3</v>
      </c>
      <c r="F142" s="4">
        <v>21120.73</v>
      </c>
      <c r="G142" s="4">
        <v>21120.734</v>
      </c>
      <c r="H142" s="5">
        <f>19 / 86400</f>
        <v>2.199074074074074E-4</v>
      </c>
      <c r="I142" t="s">
        <v>73</v>
      </c>
      <c r="J142" t="s">
        <v>73</v>
      </c>
      <c r="K142" s="5">
        <f>29 / 86400</f>
        <v>3.3564814814814812E-4</v>
      </c>
      <c r="L142" s="5">
        <f>198 / 86400</f>
        <v>2.2916666666666667E-3</v>
      </c>
    </row>
    <row r="143" spans="1:12" x14ac:dyDescent="0.25">
      <c r="A143" s="3">
        <v>45705.731030092589</v>
      </c>
      <c r="B143" t="s">
        <v>164</v>
      </c>
      <c r="C143" s="3">
        <v>45705.9371412037</v>
      </c>
      <c r="D143" t="s">
        <v>166</v>
      </c>
      <c r="E143" s="4">
        <v>75.683000000000007</v>
      </c>
      <c r="F143" s="4">
        <v>21120.734</v>
      </c>
      <c r="G143" s="4">
        <v>21196.417000000001</v>
      </c>
      <c r="H143" s="5">
        <f>5900 / 86400</f>
        <v>6.8287037037037035E-2</v>
      </c>
      <c r="I143" t="s">
        <v>29</v>
      </c>
      <c r="J143" t="s">
        <v>30</v>
      </c>
      <c r="K143" s="5">
        <f>17807 / 86400</f>
        <v>0.20609953703703704</v>
      </c>
      <c r="L143" s="5">
        <f>408 / 86400</f>
        <v>4.7222222222222223E-3</v>
      </c>
    </row>
    <row r="144" spans="1:12" x14ac:dyDescent="0.25">
      <c r="A144" s="3">
        <v>45705.941863425927</v>
      </c>
      <c r="B144" t="s">
        <v>166</v>
      </c>
      <c r="C144" s="3">
        <v>45705.954247685186</v>
      </c>
      <c r="D144" t="s">
        <v>28</v>
      </c>
      <c r="E144" s="4">
        <v>2.843</v>
      </c>
      <c r="F144" s="4">
        <v>21196.417000000001</v>
      </c>
      <c r="G144" s="4">
        <v>21199.26</v>
      </c>
      <c r="H144" s="5">
        <f>240 / 86400</f>
        <v>2.7777777777777779E-3</v>
      </c>
      <c r="I144" t="s">
        <v>141</v>
      </c>
      <c r="J144" t="s">
        <v>118</v>
      </c>
      <c r="K144" s="5">
        <f>1070 / 86400</f>
        <v>1.238425925925926E-2</v>
      </c>
      <c r="L144" s="5">
        <f>3952 / 86400</f>
        <v>4.5740740740740742E-2</v>
      </c>
    </row>
    <row r="145" spans="1:12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2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2" s="10" customFormat="1" ht="20.100000000000001" customHeight="1" x14ac:dyDescent="0.35">
      <c r="A147" s="12" t="s">
        <v>445</v>
      </c>
      <c r="B147" s="12"/>
      <c r="C147" s="12"/>
      <c r="D147" s="12"/>
      <c r="E147" s="12"/>
      <c r="F147" s="12"/>
      <c r="G147" s="12"/>
      <c r="H147" s="12"/>
      <c r="I147" s="12"/>
      <c r="J147" s="12"/>
    </row>
    <row r="148" spans="1:12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2" ht="30" x14ac:dyDescent="0.25">
      <c r="A149" s="2" t="s">
        <v>6</v>
      </c>
      <c r="B149" s="2" t="s">
        <v>7</v>
      </c>
      <c r="C149" s="2" t="s">
        <v>8</v>
      </c>
      <c r="D149" s="2" t="s">
        <v>9</v>
      </c>
      <c r="E149" s="2" t="s">
        <v>10</v>
      </c>
      <c r="F149" s="2" t="s">
        <v>11</v>
      </c>
      <c r="G149" s="2" t="s">
        <v>12</v>
      </c>
      <c r="H149" s="2" t="s">
        <v>13</v>
      </c>
      <c r="I149" s="2" t="s">
        <v>14</v>
      </c>
      <c r="J149" s="2" t="s">
        <v>15</v>
      </c>
      <c r="K149" s="2" t="s">
        <v>16</v>
      </c>
      <c r="L149" s="2" t="s">
        <v>17</v>
      </c>
    </row>
    <row r="150" spans="1:12" x14ac:dyDescent="0.25">
      <c r="A150" s="3">
        <v>45705.243981481486</v>
      </c>
      <c r="B150" t="s">
        <v>31</v>
      </c>
      <c r="C150" s="3">
        <v>45705.245069444441</v>
      </c>
      <c r="D150" t="s">
        <v>31</v>
      </c>
      <c r="E150" s="4">
        <v>0</v>
      </c>
      <c r="F150" s="4">
        <v>514201.75799999997</v>
      </c>
      <c r="G150" s="4">
        <v>514201.75799999997</v>
      </c>
      <c r="H150" s="5">
        <f>79 / 86400</f>
        <v>9.1435185185185185E-4</v>
      </c>
      <c r="I150" t="s">
        <v>73</v>
      </c>
      <c r="J150" t="s">
        <v>73</v>
      </c>
      <c r="K150" s="5">
        <f>93 / 86400</f>
        <v>1.0763888888888889E-3</v>
      </c>
      <c r="L150" s="5">
        <f>21145 / 86400</f>
        <v>0.2447337962962963</v>
      </c>
    </row>
    <row r="151" spans="1:12" x14ac:dyDescent="0.25">
      <c r="A151" s="3">
        <v>45705.245821759258</v>
      </c>
      <c r="B151" t="s">
        <v>31</v>
      </c>
      <c r="C151" s="3">
        <v>45705.246550925927</v>
      </c>
      <c r="D151" t="s">
        <v>31</v>
      </c>
      <c r="E151" s="4">
        <v>5.0000000000000001E-3</v>
      </c>
      <c r="F151" s="4">
        <v>514201.75799999997</v>
      </c>
      <c r="G151" s="4">
        <v>514201.76299999998</v>
      </c>
      <c r="H151" s="5">
        <f>39 / 86400</f>
        <v>4.5138888888888887E-4</v>
      </c>
      <c r="I151" t="s">
        <v>143</v>
      </c>
      <c r="J151" t="s">
        <v>73</v>
      </c>
      <c r="K151" s="5">
        <f>63 / 86400</f>
        <v>7.291666666666667E-4</v>
      </c>
      <c r="L151" s="5">
        <f>52 / 86400</f>
        <v>6.018518518518519E-4</v>
      </c>
    </row>
    <row r="152" spans="1:12" x14ac:dyDescent="0.25">
      <c r="A152" s="3">
        <v>45705.247152777782</v>
      </c>
      <c r="B152" t="s">
        <v>31</v>
      </c>
      <c r="C152" s="3">
        <v>45705.254629629635</v>
      </c>
      <c r="D152" t="s">
        <v>96</v>
      </c>
      <c r="E152" s="4">
        <v>4.1139999999999999</v>
      </c>
      <c r="F152" s="4">
        <v>514201.76299999998</v>
      </c>
      <c r="G152" s="4">
        <v>514205.87699999998</v>
      </c>
      <c r="H152" s="5">
        <f>80 / 86400</f>
        <v>9.2592592592592596E-4</v>
      </c>
      <c r="I152" t="s">
        <v>167</v>
      </c>
      <c r="J152" t="s">
        <v>141</v>
      </c>
      <c r="K152" s="5">
        <f>645 / 86400</f>
        <v>7.4652777777777781E-3</v>
      </c>
      <c r="L152" s="5">
        <f>508 / 86400</f>
        <v>5.8796296296296296E-3</v>
      </c>
    </row>
    <row r="153" spans="1:12" x14ac:dyDescent="0.25">
      <c r="A153" s="3">
        <v>45705.260509259257</v>
      </c>
      <c r="B153" t="s">
        <v>96</v>
      </c>
      <c r="C153" s="3">
        <v>45705.309849537036</v>
      </c>
      <c r="D153" t="s">
        <v>168</v>
      </c>
      <c r="E153" s="4">
        <v>29.78</v>
      </c>
      <c r="F153" s="4">
        <v>514205.87699999998</v>
      </c>
      <c r="G153" s="4">
        <v>514235.65700000001</v>
      </c>
      <c r="H153" s="5">
        <f>919 / 86400</f>
        <v>1.0636574074074074E-2</v>
      </c>
      <c r="I153" t="s">
        <v>29</v>
      </c>
      <c r="J153" t="s">
        <v>163</v>
      </c>
      <c r="K153" s="5">
        <f>4263 / 86400</f>
        <v>4.9340277777777775E-2</v>
      </c>
      <c r="L153" s="5">
        <f>2481 / 86400</f>
        <v>2.8715277777777777E-2</v>
      </c>
    </row>
    <row r="154" spans="1:12" x14ac:dyDescent="0.25">
      <c r="A154" s="3">
        <v>45705.338564814811</v>
      </c>
      <c r="B154" t="s">
        <v>168</v>
      </c>
      <c r="C154" s="3">
        <v>45705.34175925926</v>
      </c>
      <c r="D154" t="s">
        <v>130</v>
      </c>
      <c r="E154" s="4">
        <v>0.93100000000000005</v>
      </c>
      <c r="F154" s="4">
        <v>514235.65700000001</v>
      </c>
      <c r="G154" s="4">
        <v>514236.58799999999</v>
      </c>
      <c r="H154" s="5">
        <f>0 / 86400</f>
        <v>0</v>
      </c>
      <c r="I154" t="s">
        <v>150</v>
      </c>
      <c r="J154" t="s">
        <v>162</v>
      </c>
      <c r="K154" s="5">
        <f>276 / 86400</f>
        <v>3.1944444444444446E-3</v>
      </c>
      <c r="L154" s="5">
        <f>2837 / 86400</f>
        <v>3.2835648148148149E-2</v>
      </c>
    </row>
    <row r="155" spans="1:12" x14ac:dyDescent="0.25">
      <c r="A155" s="3">
        <v>45705.374594907407</v>
      </c>
      <c r="B155" t="s">
        <v>130</v>
      </c>
      <c r="C155" s="3">
        <v>45705.4996875</v>
      </c>
      <c r="D155" t="s">
        <v>169</v>
      </c>
      <c r="E155" s="4">
        <v>51.115000000000002</v>
      </c>
      <c r="F155" s="4">
        <v>514236.58799999999</v>
      </c>
      <c r="G155" s="4">
        <v>514287.70299999998</v>
      </c>
      <c r="H155" s="5">
        <f>3680 / 86400</f>
        <v>4.2592592592592592E-2</v>
      </c>
      <c r="I155" t="s">
        <v>26</v>
      </c>
      <c r="J155" t="s">
        <v>32</v>
      </c>
      <c r="K155" s="5">
        <f>10807 / 86400</f>
        <v>0.12508101851851852</v>
      </c>
      <c r="L155" s="5">
        <f>528 / 86400</f>
        <v>6.1111111111111114E-3</v>
      </c>
    </row>
    <row r="156" spans="1:12" x14ac:dyDescent="0.25">
      <c r="A156" s="3">
        <v>45705.505798611106</v>
      </c>
      <c r="B156" t="s">
        <v>169</v>
      </c>
      <c r="C156" s="3">
        <v>45705.636724537035</v>
      </c>
      <c r="D156" t="s">
        <v>168</v>
      </c>
      <c r="E156" s="4">
        <v>51.503999999999998</v>
      </c>
      <c r="F156" s="4">
        <v>514287.70299999998</v>
      </c>
      <c r="G156" s="4">
        <v>514339.20699999999</v>
      </c>
      <c r="H156" s="5">
        <f>3768 / 86400</f>
        <v>4.3611111111111114E-2</v>
      </c>
      <c r="I156" t="s">
        <v>42</v>
      </c>
      <c r="J156" t="s">
        <v>62</v>
      </c>
      <c r="K156" s="5">
        <f>11312 / 86400</f>
        <v>0.13092592592592592</v>
      </c>
      <c r="L156" s="5">
        <f>3738 / 86400</f>
        <v>4.3263888888888886E-2</v>
      </c>
    </row>
    <row r="157" spans="1:12" x14ac:dyDescent="0.25">
      <c r="A157" s="3">
        <v>45705.679988425924</v>
      </c>
      <c r="B157" t="s">
        <v>168</v>
      </c>
      <c r="C157" s="3">
        <v>45705.683055555557</v>
      </c>
      <c r="D157" t="s">
        <v>80</v>
      </c>
      <c r="E157" s="4">
        <v>0.92700000000000005</v>
      </c>
      <c r="F157" s="4">
        <v>514339.20699999999</v>
      </c>
      <c r="G157" s="4">
        <v>514340.13400000002</v>
      </c>
      <c r="H157" s="5">
        <f>60 / 86400</f>
        <v>6.9444444444444447E-4</v>
      </c>
      <c r="I157" t="s">
        <v>117</v>
      </c>
      <c r="J157" t="s">
        <v>66</v>
      </c>
      <c r="K157" s="5">
        <f>264 / 86400</f>
        <v>3.0555555555555557E-3</v>
      </c>
      <c r="L157" s="5">
        <f>283 / 86400</f>
        <v>3.2754629629629631E-3</v>
      </c>
    </row>
    <row r="158" spans="1:12" x14ac:dyDescent="0.25">
      <c r="A158" s="3">
        <v>45705.686331018514</v>
      </c>
      <c r="B158" t="s">
        <v>80</v>
      </c>
      <c r="C158" s="3">
        <v>45705.686666666668</v>
      </c>
      <c r="D158" t="s">
        <v>80</v>
      </c>
      <c r="E158" s="4">
        <v>3.1E-2</v>
      </c>
      <c r="F158" s="4">
        <v>514340.13400000002</v>
      </c>
      <c r="G158" s="4">
        <v>514340.16499999998</v>
      </c>
      <c r="H158" s="5">
        <f>0 / 86400</f>
        <v>0</v>
      </c>
      <c r="I158" t="s">
        <v>153</v>
      </c>
      <c r="J158" t="s">
        <v>148</v>
      </c>
      <c r="K158" s="5">
        <f>29 / 86400</f>
        <v>3.3564814814814812E-4</v>
      </c>
      <c r="L158" s="5">
        <f>978 / 86400</f>
        <v>1.1319444444444444E-2</v>
      </c>
    </row>
    <row r="159" spans="1:12" x14ac:dyDescent="0.25">
      <c r="A159" s="3">
        <v>45705.69798611111</v>
      </c>
      <c r="B159" t="s">
        <v>80</v>
      </c>
      <c r="C159" s="3">
        <v>45705.818113425921</v>
      </c>
      <c r="D159" t="s">
        <v>170</v>
      </c>
      <c r="E159" s="4">
        <v>47.75</v>
      </c>
      <c r="F159" s="4">
        <v>514340.16499999998</v>
      </c>
      <c r="G159" s="4">
        <v>514387.91499999998</v>
      </c>
      <c r="H159" s="5">
        <f>3760 / 86400</f>
        <v>4.3518518518518519E-2</v>
      </c>
      <c r="I159" t="s">
        <v>65</v>
      </c>
      <c r="J159" t="s">
        <v>32</v>
      </c>
      <c r="K159" s="5">
        <f>10379 / 86400</f>
        <v>0.12012731481481481</v>
      </c>
      <c r="L159" s="5">
        <f>53 / 86400</f>
        <v>6.134259259259259E-4</v>
      </c>
    </row>
    <row r="160" spans="1:12" x14ac:dyDescent="0.25">
      <c r="A160" s="3">
        <v>45705.818726851852</v>
      </c>
      <c r="B160" t="s">
        <v>170</v>
      </c>
      <c r="C160" s="3">
        <v>45705.902847222227</v>
      </c>
      <c r="D160" t="s">
        <v>171</v>
      </c>
      <c r="E160" s="4">
        <v>27.584</v>
      </c>
      <c r="F160" s="4">
        <v>514387.91499999998</v>
      </c>
      <c r="G160" s="4">
        <v>514415.49900000001</v>
      </c>
      <c r="H160" s="5">
        <f>2820 / 86400</f>
        <v>3.2638888888888891E-2</v>
      </c>
      <c r="I160" t="s">
        <v>172</v>
      </c>
      <c r="J160" t="s">
        <v>75</v>
      </c>
      <c r="K160" s="5">
        <f>7268 / 86400</f>
        <v>8.4120370370370373E-2</v>
      </c>
      <c r="L160" s="5">
        <f>982 / 86400</f>
        <v>1.136574074074074E-2</v>
      </c>
    </row>
    <row r="161" spans="1:12" x14ac:dyDescent="0.25">
      <c r="A161" s="3">
        <v>45705.914212962962</v>
      </c>
      <c r="B161" t="s">
        <v>171</v>
      </c>
      <c r="C161" s="3">
        <v>45705.925659722227</v>
      </c>
      <c r="D161" t="s">
        <v>31</v>
      </c>
      <c r="E161" s="4">
        <v>6.7160000000000002</v>
      </c>
      <c r="F161" s="4">
        <v>514415.49900000001</v>
      </c>
      <c r="G161" s="4">
        <v>514422.21500000003</v>
      </c>
      <c r="H161" s="5">
        <f>160 / 86400</f>
        <v>1.8518518518518519E-3</v>
      </c>
      <c r="I161" t="s">
        <v>173</v>
      </c>
      <c r="J161" t="s">
        <v>129</v>
      </c>
      <c r="K161" s="5">
        <f>989 / 86400</f>
        <v>1.1446759259259259E-2</v>
      </c>
      <c r="L161" s="5">
        <f>85 / 86400</f>
        <v>9.837962962962962E-4</v>
      </c>
    </row>
    <row r="162" spans="1:12" x14ac:dyDescent="0.25">
      <c r="A162" s="3">
        <v>45705.92664351852</v>
      </c>
      <c r="B162" t="s">
        <v>31</v>
      </c>
      <c r="C162" s="3">
        <v>45705.927951388891</v>
      </c>
      <c r="D162" t="s">
        <v>31</v>
      </c>
      <c r="E162" s="4">
        <v>8.9999999999999993E-3</v>
      </c>
      <c r="F162" s="4">
        <v>514422.21500000003</v>
      </c>
      <c r="G162" s="4">
        <v>514422.22399999999</v>
      </c>
      <c r="H162" s="5">
        <f>80 / 86400</f>
        <v>9.2592592592592596E-4</v>
      </c>
      <c r="I162" t="s">
        <v>144</v>
      </c>
      <c r="J162" t="s">
        <v>73</v>
      </c>
      <c r="K162" s="5">
        <f>113 / 86400</f>
        <v>1.3078703703703703E-3</v>
      </c>
      <c r="L162" s="5">
        <f>6224 / 86400</f>
        <v>7.2037037037037038E-2</v>
      </c>
    </row>
    <row r="163" spans="1:12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</row>
    <row r="164" spans="1:12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</row>
    <row r="165" spans="1:12" s="10" customFormat="1" ht="20.100000000000001" customHeight="1" x14ac:dyDescent="0.35">
      <c r="A165" s="12" t="s">
        <v>446</v>
      </c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1:12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 spans="1:12" ht="30" x14ac:dyDescent="0.25">
      <c r="A167" s="2" t="s">
        <v>6</v>
      </c>
      <c r="B167" s="2" t="s">
        <v>7</v>
      </c>
      <c r="C167" s="2" t="s">
        <v>8</v>
      </c>
      <c r="D167" s="2" t="s">
        <v>9</v>
      </c>
      <c r="E167" s="2" t="s">
        <v>10</v>
      </c>
      <c r="F167" s="2" t="s">
        <v>11</v>
      </c>
      <c r="G167" s="2" t="s">
        <v>12</v>
      </c>
      <c r="H167" s="2" t="s">
        <v>13</v>
      </c>
      <c r="I167" s="2" t="s">
        <v>14</v>
      </c>
      <c r="J167" s="2" t="s">
        <v>15</v>
      </c>
      <c r="K167" s="2" t="s">
        <v>16</v>
      </c>
      <c r="L167" s="2" t="s">
        <v>17</v>
      </c>
    </row>
    <row r="168" spans="1:12" x14ac:dyDescent="0.25">
      <c r="A168" s="3">
        <v>45705.204930555556</v>
      </c>
      <c r="B168" t="s">
        <v>28</v>
      </c>
      <c r="C168" s="3">
        <v>45705.212557870371</v>
      </c>
      <c r="D168" t="s">
        <v>174</v>
      </c>
      <c r="E168" s="4">
        <v>0.40500000000000003</v>
      </c>
      <c r="F168" s="4">
        <v>93168.445999999996</v>
      </c>
      <c r="G168" s="4">
        <v>93168.850999999995</v>
      </c>
      <c r="H168" s="5">
        <f>499 / 86400</f>
        <v>5.7754629629629631E-3</v>
      </c>
      <c r="I168" t="s">
        <v>66</v>
      </c>
      <c r="J168" t="s">
        <v>143</v>
      </c>
      <c r="K168" s="5">
        <f>659 / 86400</f>
        <v>7.6273148148148151E-3</v>
      </c>
      <c r="L168" s="5">
        <f>18147 / 86400</f>
        <v>0.21003472222222222</v>
      </c>
    </row>
    <row r="169" spans="1:12" x14ac:dyDescent="0.25">
      <c r="A169" s="3">
        <v>45705.217662037037</v>
      </c>
      <c r="B169" t="s">
        <v>174</v>
      </c>
      <c r="C169" s="3">
        <v>45705.231678240743</v>
      </c>
      <c r="D169" t="s">
        <v>175</v>
      </c>
      <c r="E169" s="4">
        <v>5.6689999999999996</v>
      </c>
      <c r="F169" s="4">
        <v>93168.850999999995</v>
      </c>
      <c r="G169" s="4">
        <v>93174.52</v>
      </c>
      <c r="H169" s="5">
        <f>220 / 86400</f>
        <v>2.5462962962962965E-3</v>
      </c>
      <c r="I169" t="s">
        <v>176</v>
      </c>
      <c r="J169" t="s">
        <v>32</v>
      </c>
      <c r="K169" s="5">
        <f>1211 / 86400</f>
        <v>1.4016203703703704E-2</v>
      </c>
      <c r="L169" s="5">
        <f>745 / 86400</f>
        <v>8.6226851851851846E-3</v>
      </c>
    </row>
    <row r="170" spans="1:12" x14ac:dyDescent="0.25">
      <c r="A170" s="3">
        <v>45705.240300925929</v>
      </c>
      <c r="B170" t="s">
        <v>175</v>
      </c>
      <c r="C170" s="3">
        <v>45705.346458333333</v>
      </c>
      <c r="D170" t="s">
        <v>177</v>
      </c>
      <c r="E170" s="4">
        <v>39.792000000000002</v>
      </c>
      <c r="F170" s="4">
        <v>93174.52</v>
      </c>
      <c r="G170" s="4">
        <v>93214.312000000005</v>
      </c>
      <c r="H170" s="5">
        <f>2881 / 86400</f>
        <v>3.3344907407407406E-2</v>
      </c>
      <c r="I170" t="s">
        <v>33</v>
      </c>
      <c r="J170" t="s">
        <v>62</v>
      </c>
      <c r="K170" s="5">
        <f>9172 / 86400</f>
        <v>0.10615740740740741</v>
      </c>
      <c r="L170" s="5">
        <f>646 / 86400</f>
        <v>7.4768518518518517E-3</v>
      </c>
    </row>
    <row r="171" spans="1:12" x14ac:dyDescent="0.25">
      <c r="A171" s="3">
        <v>45705.353935185187</v>
      </c>
      <c r="B171" t="s">
        <v>177</v>
      </c>
      <c r="C171" s="3">
        <v>45705.35701388889</v>
      </c>
      <c r="D171" t="s">
        <v>169</v>
      </c>
      <c r="E171" s="4">
        <v>0.38300000000000001</v>
      </c>
      <c r="F171" s="4">
        <v>93214.312000000005</v>
      </c>
      <c r="G171" s="4">
        <v>93214.695000000007</v>
      </c>
      <c r="H171" s="5">
        <f>120 / 86400</f>
        <v>1.3888888888888889E-3</v>
      </c>
      <c r="I171" t="s">
        <v>66</v>
      </c>
      <c r="J171" t="s">
        <v>142</v>
      </c>
      <c r="K171" s="5">
        <f>266 / 86400</f>
        <v>3.0787037037037037E-3</v>
      </c>
      <c r="L171" s="5">
        <f>1171 / 86400</f>
        <v>1.3553240740740741E-2</v>
      </c>
    </row>
    <row r="172" spans="1:12" x14ac:dyDescent="0.25">
      <c r="A172" s="3">
        <v>45705.370567129634</v>
      </c>
      <c r="B172" t="s">
        <v>169</v>
      </c>
      <c r="C172" s="3">
        <v>45705.503576388888</v>
      </c>
      <c r="D172" t="s">
        <v>178</v>
      </c>
      <c r="E172" s="4">
        <v>51.223999999999997</v>
      </c>
      <c r="F172" s="4">
        <v>93214.695000000007</v>
      </c>
      <c r="G172" s="4">
        <v>93265.918999999994</v>
      </c>
      <c r="H172" s="5">
        <f>3360 / 86400</f>
        <v>3.888888888888889E-2</v>
      </c>
      <c r="I172" t="s">
        <v>179</v>
      </c>
      <c r="J172" t="s">
        <v>62</v>
      </c>
      <c r="K172" s="5">
        <f>11492 / 86400</f>
        <v>0.13300925925925927</v>
      </c>
      <c r="L172" s="5">
        <f>931 / 86400</f>
        <v>1.0775462962962962E-2</v>
      </c>
    </row>
    <row r="173" spans="1:12" x14ac:dyDescent="0.25">
      <c r="A173" s="3">
        <v>45705.514351851853</v>
      </c>
      <c r="B173" t="s">
        <v>178</v>
      </c>
      <c r="C173" s="3">
        <v>45705.516238425931</v>
      </c>
      <c r="D173" t="s">
        <v>137</v>
      </c>
      <c r="E173" s="4">
        <v>0.56000000000000005</v>
      </c>
      <c r="F173" s="4">
        <v>93265.918999999994</v>
      </c>
      <c r="G173" s="4">
        <v>93266.479000000007</v>
      </c>
      <c r="H173" s="5">
        <f>20 / 86400</f>
        <v>2.3148148148148149E-4</v>
      </c>
      <c r="I173" t="s">
        <v>145</v>
      </c>
      <c r="J173" t="s">
        <v>162</v>
      </c>
      <c r="K173" s="5">
        <f>163 / 86400</f>
        <v>1.8865740740740742E-3</v>
      </c>
      <c r="L173" s="5">
        <f>449 / 86400</f>
        <v>5.1967592592592595E-3</v>
      </c>
    </row>
    <row r="174" spans="1:12" x14ac:dyDescent="0.25">
      <c r="A174" s="3">
        <v>45705.52143518519</v>
      </c>
      <c r="B174" t="s">
        <v>137</v>
      </c>
      <c r="C174" s="3">
        <v>45705.521956018521</v>
      </c>
      <c r="D174" t="s">
        <v>137</v>
      </c>
      <c r="E174" s="4">
        <v>0</v>
      </c>
      <c r="F174" s="4">
        <v>93266.479000000007</v>
      </c>
      <c r="G174" s="4">
        <v>93266.479000000007</v>
      </c>
      <c r="H174" s="5">
        <f>39 / 86400</f>
        <v>4.5138888888888887E-4</v>
      </c>
      <c r="I174" t="s">
        <v>73</v>
      </c>
      <c r="J174" t="s">
        <v>73</v>
      </c>
      <c r="K174" s="5">
        <f>45 / 86400</f>
        <v>5.2083333333333333E-4</v>
      </c>
      <c r="L174" s="5">
        <f>113 / 86400</f>
        <v>1.3078703703703703E-3</v>
      </c>
    </row>
    <row r="175" spans="1:12" x14ac:dyDescent="0.25">
      <c r="A175" s="3">
        <v>45705.523263888885</v>
      </c>
      <c r="B175" t="s">
        <v>137</v>
      </c>
      <c r="C175" s="3">
        <v>45705.524606481486</v>
      </c>
      <c r="D175" t="s">
        <v>80</v>
      </c>
      <c r="E175" s="4">
        <v>0.222</v>
      </c>
      <c r="F175" s="4">
        <v>93266.479000000007</v>
      </c>
      <c r="G175" s="4">
        <v>93266.701000000001</v>
      </c>
      <c r="H175" s="5">
        <f>0 / 86400</f>
        <v>0</v>
      </c>
      <c r="I175" t="s">
        <v>30</v>
      </c>
      <c r="J175" t="s">
        <v>151</v>
      </c>
      <c r="K175" s="5">
        <f>116 / 86400</f>
        <v>1.3425925925925925E-3</v>
      </c>
      <c r="L175" s="5">
        <f>265 / 86400</f>
        <v>3.0671296296296297E-3</v>
      </c>
    </row>
    <row r="176" spans="1:12" x14ac:dyDescent="0.25">
      <c r="A176" s="3">
        <v>45705.527673611112</v>
      </c>
      <c r="B176" t="s">
        <v>80</v>
      </c>
      <c r="C176" s="3">
        <v>45705.528425925921</v>
      </c>
      <c r="D176" t="s">
        <v>161</v>
      </c>
      <c r="E176" s="4">
        <v>3.4000000000000002E-2</v>
      </c>
      <c r="F176" s="4">
        <v>93266.701000000001</v>
      </c>
      <c r="G176" s="4">
        <v>93266.735000000001</v>
      </c>
      <c r="H176" s="5">
        <f>19 / 86400</f>
        <v>2.199074074074074E-4</v>
      </c>
      <c r="I176" t="s">
        <v>84</v>
      </c>
      <c r="J176" t="s">
        <v>143</v>
      </c>
      <c r="K176" s="5">
        <f>65 / 86400</f>
        <v>7.5231481481481482E-4</v>
      </c>
      <c r="L176" s="5">
        <f>70 / 86400</f>
        <v>8.1018518518518516E-4</v>
      </c>
    </row>
    <row r="177" spans="1:12" x14ac:dyDescent="0.25">
      <c r="A177" s="3">
        <v>45705.529236111106</v>
      </c>
      <c r="B177" t="s">
        <v>161</v>
      </c>
      <c r="C177" s="3">
        <v>45705.533206018517</v>
      </c>
      <c r="D177" t="s">
        <v>128</v>
      </c>
      <c r="E177" s="4">
        <v>1.3080000000000001</v>
      </c>
      <c r="F177" s="4">
        <v>93266.735000000001</v>
      </c>
      <c r="G177" s="4">
        <v>93268.043000000005</v>
      </c>
      <c r="H177" s="5">
        <f>0 / 86400</f>
        <v>0</v>
      </c>
      <c r="I177" t="s">
        <v>150</v>
      </c>
      <c r="J177" t="s">
        <v>75</v>
      </c>
      <c r="K177" s="5">
        <f>343 / 86400</f>
        <v>3.9699074074074072E-3</v>
      </c>
      <c r="L177" s="5">
        <f>2395 / 86400</f>
        <v>2.7719907407407408E-2</v>
      </c>
    </row>
    <row r="178" spans="1:12" x14ac:dyDescent="0.25">
      <c r="A178" s="3">
        <v>45705.560925925922</v>
      </c>
      <c r="B178" t="s">
        <v>128</v>
      </c>
      <c r="C178" s="3">
        <v>45705.691817129627</v>
      </c>
      <c r="D178" t="s">
        <v>177</v>
      </c>
      <c r="E178" s="4">
        <v>51.167999999999999</v>
      </c>
      <c r="F178" s="4">
        <v>93268.043000000005</v>
      </c>
      <c r="G178" s="4">
        <v>93319.210999999996</v>
      </c>
      <c r="H178" s="5">
        <f>3540 / 86400</f>
        <v>4.0972222222222222E-2</v>
      </c>
      <c r="I178" t="s">
        <v>180</v>
      </c>
      <c r="J178" t="s">
        <v>62</v>
      </c>
      <c r="K178" s="5">
        <f>11308 / 86400</f>
        <v>0.13087962962962962</v>
      </c>
      <c r="L178" s="5">
        <f>1410 / 86400</f>
        <v>1.6319444444444445E-2</v>
      </c>
    </row>
    <row r="179" spans="1:12" x14ac:dyDescent="0.25">
      <c r="A179" s="3">
        <v>45705.708136574074</v>
      </c>
      <c r="B179" t="s">
        <v>177</v>
      </c>
      <c r="C179" s="3">
        <v>45705.843946759254</v>
      </c>
      <c r="D179" t="s">
        <v>175</v>
      </c>
      <c r="E179" s="4">
        <v>41.258000000000003</v>
      </c>
      <c r="F179" s="4">
        <v>93319.210999999996</v>
      </c>
      <c r="G179" s="4">
        <v>93360.468999999997</v>
      </c>
      <c r="H179" s="5">
        <f>3777 / 86400</f>
        <v>4.3715277777777777E-2</v>
      </c>
      <c r="I179" t="s">
        <v>181</v>
      </c>
      <c r="J179" t="s">
        <v>66</v>
      </c>
      <c r="K179" s="5">
        <f>11734 / 86400</f>
        <v>0.13581018518518517</v>
      </c>
      <c r="L179" s="5">
        <f>1571 / 86400</f>
        <v>1.818287037037037E-2</v>
      </c>
    </row>
    <row r="180" spans="1:12" x14ac:dyDescent="0.25">
      <c r="A180" s="3">
        <v>45705.862129629633</v>
      </c>
      <c r="B180" t="s">
        <v>175</v>
      </c>
      <c r="C180" s="3">
        <v>45705.884224537032</v>
      </c>
      <c r="D180" t="s">
        <v>28</v>
      </c>
      <c r="E180" s="4">
        <v>6.7690000000000001</v>
      </c>
      <c r="F180" s="4">
        <v>93360.468999999997</v>
      </c>
      <c r="G180" s="4">
        <v>93367.237999999998</v>
      </c>
      <c r="H180" s="5">
        <f>520 / 86400</f>
        <v>6.0185185185185185E-3</v>
      </c>
      <c r="I180" t="s">
        <v>176</v>
      </c>
      <c r="J180" t="s">
        <v>66</v>
      </c>
      <c r="K180" s="5">
        <f>1908 / 86400</f>
        <v>2.2083333333333333E-2</v>
      </c>
      <c r="L180" s="5">
        <f>10002 / 86400</f>
        <v>0.11576388888888889</v>
      </c>
    </row>
    <row r="181" spans="1:12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 spans="1:12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 spans="1:12" s="10" customFormat="1" ht="20.100000000000001" customHeight="1" x14ac:dyDescent="0.35">
      <c r="A183" s="12" t="s">
        <v>447</v>
      </c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1:12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 spans="1:12" ht="30" x14ac:dyDescent="0.25">
      <c r="A185" s="2" t="s">
        <v>6</v>
      </c>
      <c r="B185" s="2" t="s">
        <v>7</v>
      </c>
      <c r="C185" s="2" t="s">
        <v>8</v>
      </c>
      <c r="D185" s="2" t="s">
        <v>9</v>
      </c>
      <c r="E185" s="2" t="s">
        <v>10</v>
      </c>
      <c r="F185" s="2" t="s">
        <v>11</v>
      </c>
      <c r="G185" s="2" t="s">
        <v>12</v>
      </c>
      <c r="H185" s="2" t="s">
        <v>13</v>
      </c>
      <c r="I185" s="2" t="s">
        <v>14</v>
      </c>
      <c r="J185" s="2" t="s">
        <v>15</v>
      </c>
      <c r="K185" s="2" t="s">
        <v>16</v>
      </c>
      <c r="L185" s="2" t="s">
        <v>17</v>
      </c>
    </row>
    <row r="186" spans="1:12" x14ac:dyDescent="0.25">
      <c r="A186" s="3">
        <v>45705.172337962962</v>
      </c>
      <c r="B186" t="s">
        <v>18</v>
      </c>
      <c r="C186" s="3">
        <v>45705.258935185186</v>
      </c>
      <c r="D186" t="s">
        <v>182</v>
      </c>
      <c r="E186" s="4">
        <v>49.430999999999997</v>
      </c>
      <c r="F186" s="4">
        <v>138919.65</v>
      </c>
      <c r="G186" s="4">
        <v>138969.08100000001</v>
      </c>
      <c r="H186" s="5">
        <f>1259 / 86400</f>
        <v>1.457175925925926E-2</v>
      </c>
      <c r="I186" t="s">
        <v>172</v>
      </c>
      <c r="J186" t="s">
        <v>129</v>
      </c>
      <c r="K186" s="5">
        <f>7481 / 86400</f>
        <v>8.6585648148148148E-2</v>
      </c>
      <c r="L186" s="5">
        <f>15199 / 86400</f>
        <v>0.17591435185185186</v>
      </c>
    </row>
    <row r="187" spans="1:12" x14ac:dyDescent="0.25">
      <c r="A187" s="3">
        <v>45705.262511574074</v>
      </c>
      <c r="B187" t="s">
        <v>182</v>
      </c>
      <c r="C187" s="3">
        <v>45705.264050925922</v>
      </c>
      <c r="D187" t="s">
        <v>128</v>
      </c>
      <c r="E187" s="4">
        <v>0.44600000000000001</v>
      </c>
      <c r="F187" s="4">
        <v>138969.08100000001</v>
      </c>
      <c r="G187" s="4">
        <v>138969.527</v>
      </c>
      <c r="H187" s="5">
        <f>0 / 86400</f>
        <v>0</v>
      </c>
      <c r="I187" t="s">
        <v>38</v>
      </c>
      <c r="J187" t="s">
        <v>162</v>
      </c>
      <c r="K187" s="5">
        <f>132 / 86400</f>
        <v>1.5277777777777779E-3</v>
      </c>
      <c r="L187" s="5">
        <f>354 / 86400</f>
        <v>4.0972222222222226E-3</v>
      </c>
    </row>
    <row r="188" spans="1:12" x14ac:dyDescent="0.25">
      <c r="A188" s="3">
        <v>45705.268148148149</v>
      </c>
      <c r="B188" t="s">
        <v>128</v>
      </c>
      <c r="C188" s="3">
        <v>45705.268703703703</v>
      </c>
      <c r="D188" t="s">
        <v>128</v>
      </c>
      <c r="E188" s="4">
        <v>3.5999999999999997E-2</v>
      </c>
      <c r="F188" s="4">
        <v>138969.527</v>
      </c>
      <c r="G188" s="4">
        <v>138969.56299999999</v>
      </c>
      <c r="H188" s="5">
        <f>39 / 86400</f>
        <v>4.5138888888888887E-4</v>
      </c>
      <c r="I188" t="s">
        <v>73</v>
      </c>
      <c r="J188" t="s">
        <v>84</v>
      </c>
      <c r="K188" s="5">
        <f>47 / 86400</f>
        <v>5.4398148148148144E-4</v>
      </c>
      <c r="L188" s="5">
        <f>140 / 86400</f>
        <v>1.6203703703703703E-3</v>
      </c>
    </row>
    <row r="189" spans="1:12" x14ac:dyDescent="0.25">
      <c r="A189" s="3">
        <v>45705.270324074074</v>
      </c>
      <c r="B189" t="s">
        <v>128</v>
      </c>
      <c r="C189" s="3">
        <v>45705.517893518518</v>
      </c>
      <c r="D189" t="s">
        <v>80</v>
      </c>
      <c r="E189" s="4">
        <v>100.56399999999999</v>
      </c>
      <c r="F189" s="4">
        <v>138969.56299999999</v>
      </c>
      <c r="G189" s="4">
        <v>139070.12700000001</v>
      </c>
      <c r="H189" s="5">
        <f>6601 / 86400</f>
        <v>7.6400462962962962E-2</v>
      </c>
      <c r="I189" t="s">
        <v>34</v>
      </c>
      <c r="J189" t="s">
        <v>32</v>
      </c>
      <c r="K189" s="5">
        <f>21390 / 86400</f>
        <v>0.24756944444444445</v>
      </c>
      <c r="L189" s="5">
        <f>296 / 86400</f>
        <v>3.425925925925926E-3</v>
      </c>
    </row>
    <row r="190" spans="1:12" x14ac:dyDescent="0.25">
      <c r="A190" s="3">
        <v>45705.521319444444</v>
      </c>
      <c r="B190" t="s">
        <v>80</v>
      </c>
      <c r="C190" s="3">
        <v>45705.522337962961</v>
      </c>
      <c r="D190" t="s">
        <v>80</v>
      </c>
      <c r="E190" s="4">
        <v>3.6999999999999998E-2</v>
      </c>
      <c r="F190" s="4">
        <v>139070.12700000001</v>
      </c>
      <c r="G190" s="4">
        <v>139070.16399999999</v>
      </c>
      <c r="H190" s="5">
        <f>39 / 86400</f>
        <v>4.5138888888888887E-4</v>
      </c>
      <c r="I190" t="s">
        <v>153</v>
      </c>
      <c r="J190" t="s">
        <v>143</v>
      </c>
      <c r="K190" s="5">
        <f>87 / 86400</f>
        <v>1.0069444444444444E-3</v>
      </c>
      <c r="L190" s="5">
        <f>2668 / 86400</f>
        <v>3.0879629629629628E-2</v>
      </c>
    </row>
    <row r="191" spans="1:12" x14ac:dyDescent="0.25">
      <c r="A191" s="3">
        <v>45705.553217592591</v>
      </c>
      <c r="B191" t="s">
        <v>80</v>
      </c>
      <c r="C191" s="3">
        <v>45705.71429398148</v>
      </c>
      <c r="D191" t="s">
        <v>183</v>
      </c>
      <c r="E191" s="4">
        <v>73.88</v>
      </c>
      <c r="F191" s="4">
        <v>139070.16399999999</v>
      </c>
      <c r="G191" s="4">
        <v>139144.04399999999</v>
      </c>
      <c r="H191" s="5">
        <f>4058 / 86400</f>
        <v>4.6967592592592596E-2</v>
      </c>
      <c r="I191" t="s">
        <v>61</v>
      </c>
      <c r="J191" t="s">
        <v>27</v>
      </c>
      <c r="K191" s="5">
        <f>13916 / 86400</f>
        <v>0.16106481481481483</v>
      </c>
      <c r="L191" s="5">
        <f>167 / 86400</f>
        <v>1.9328703703703704E-3</v>
      </c>
    </row>
    <row r="192" spans="1:12" x14ac:dyDescent="0.25">
      <c r="A192" s="3">
        <v>45705.716226851851</v>
      </c>
      <c r="B192" t="s">
        <v>183</v>
      </c>
      <c r="C192" s="3">
        <v>45705.790659722217</v>
      </c>
      <c r="D192" t="s">
        <v>139</v>
      </c>
      <c r="E192" s="4">
        <v>30.172999999999998</v>
      </c>
      <c r="F192" s="4">
        <v>139144.04399999999</v>
      </c>
      <c r="G192" s="4">
        <v>139174.217</v>
      </c>
      <c r="H192" s="5">
        <f>2800 / 86400</f>
        <v>3.2407407407407406E-2</v>
      </c>
      <c r="I192" t="s">
        <v>140</v>
      </c>
      <c r="J192" t="s">
        <v>32</v>
      </c>
      <c r="K192" s="5">
        <f>6431 / 86400</f>
        <v>7.4432870370370371E-2</v>
      </c>
      <c r="L192" s="5">
        <f>389 / 86400</f>
        <v>4.5023148148148149E-3</v>
      </c>
    </row>
    <row r="193" spans="1:12" x14ac:dyDescent="0.25">
      <c r="A193" s="3">
        <v>45705.795162037037</v>
      </c>
      <c r="B193" t="s">
        <v>184</v>
      </c>
      <c r="C193" s="3">
        <v>45705.797048611115</v>
      </c>
      <c r="D193" t="s">
        <v>185</v>
      </c>
      <c r="E193" s="4">
        <v>0.56000000000000005</v>
      </c>
      <c r="F193" s="4">
        <v>139174.217</v>
      </c>
      <c r="G193" s="4">
        <v>139174.777</v>
      </c>
      <c r="H193" s="5">
        <f>19 / 86400</f>
        <v>2.199074074074074E-4</v>
      </c>
      <c r="I193" t="s">
        <v>27</v>
      </c>
      <c r="J193" t="s">
        <v>162</v>
      </c>
      <c r="K193" s="5">
        <f>162 / 86400</f>
        <v>1.8749999999999999E-3</v>
      </c>
      <c r="L193" s="5">
        <f>165 / 86400</f>
        <v>1.9097222222222222E-3</v>
      </c>
    </row>
    <row r="194" spans="1:12" x14ac:dyDescent="0.25">
      <c r="A194" s="3">
        <v>45705.798958333333</v>
      </c>
      <c r="B194" t="s">
        <v>185</v>
      </c>
      <c r="C194" s="3">
        <v>45705.802025462966</v>
      </c>
      <c r="D194" t="s">
        <v>18</v>
      </c>
      <c r="E194" s="4">
        <v>0.51200000000000001</v>
      </c>
      <c r="F194" s="4">
        <v>139174.777</v>
      </c>
      <c r="G194" s="4">
        <v>139175.28899999999</v>
      </c>
      <c r="H194" s="5">
        <f>119 / 86400</f>
        <v>1.3773148148148147E-3</v>
      </c>
      <c r="I194" t="s">
        <v>141</v>
      </c>
      <c r="J194" t="s">
        <v>151</v>
      </c>
      <c r="K194" s="5">
        <f>264 / 86400</f>
        <v>3.0555555555555557E-3</v>
      </c>
      <c r="L194" s="5">
        <f>17104 / 86400</f>
        <v>0.19796296296296295</v>
      </c>
    </row>
    <row r="195" spans="1:12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 spans="1:12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 spans="1:12" s="10" customFormat="1" ht="20.100000000000001" customHeight="1" x14ac:dyDescent="0.35">
      <c r="A197" s="12" t="s">
        <v>448</v>
      </c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1:12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 spans="1:12" ht="30" x14ac:dyDescent="0.25">
      <c r="A199" s="2" t="s">
        <v>6</v>
      </c>
      <c r="B199" s="2" t="s">
        <v>7</v>
      </c>
      <c r="C199" s="2" t="s">
        <v>8</v>
      </c>
      <c r="D199" s="2" t="s">
        <v>9</v>
      </c>
      <c r="E199" s="2" t="s">
        <v>10</v>
      </c>
      <c r="F199" s="2" t="s">
        <v>11</v>
      </c>
      <c r="G199" s="2" t="s">
        <v>12</v>
      </c>
      <c r="H199" s="2" t="s">
        <v>13</v>
      </c>
      <c r="I199" s="2" t="s">
        <v>14</v>
      </c>
      <c r="J199" s="2" t="s">
        <v>15</v>
      </c>
      <c r="K199" s="2" t="s">
        <v>16</v>
      </c>
      <c r="L199" s="2" t="s">
        <v>17</v>
      </c>
    </row>
    <row r="200" spans="1:12" x14ac:dyDescent="0.25">
      <c r="A200" s="3">
        <v>45705.012800925921</v>
      </c>
      <c r="B200" t="s">
        <v>35</v>
      </c>
      <c r="C200" s="3">
        <v>45705.013032407413</v>
      </c>
      <c r="D200" t="s">
        <v>35</v>
      </c>
      <c r="E200" s="4">
        <v>2.6360744237899779E-3</v>
      </c>
      <c r="F200" s="4">
        <v>348466.61613095173</v>
      </c>
      <c r="G200" s="4">
        <v>348466.61876702617</v>
      </c>
      <c r="H200" s="5">
        <f t="shared" ref="H200:H263" si="0">0 / 86400</f>
        <v>0</v>
      </c>
      <c r="I200" t="s">
        <v>144</v>
      </c>
      <c r="J200" t="s">
        <v>73</v>
      </c>
      <c r="K200" s="5">
        <f>20 / 86400</f>
        <v>2.3148148148148149E-4</v>
      </c>
      <c r="L200" s="5">
        <f>1146 / 86400</f>
        <v>1.3263888888888889E-2</v>
      </c>
    </row>
    <row r="201" spans="1:12" x14ac:dyDescent="0.25">
      <c r="A201" s="3">
        <v>45705.013495370367</v>
      </c>
      <c r="B201" t="s">
        <v>35</v>
      </c>
      <c r="C201" s="3">
        <v>45705.013726851852</v>
      </c>
      <c r="D201" t="s">
        <v>186</v>
      </c>
      <c r="E201" s="4">
        <v>4.3496651649475096E-3</v>
      </c>
      <c r="F201" s="4">
        <v>348466.62357374863</v>
      </c>
      <c r="G201" s="4">
        <v>348466.62792341382</v>
      </c>
      <c r="H201" s="5">
        <f t="shared" si="0"/>
        <v>0</v>
      </c>
      <c r="I201" t="s">
        <v>144</v>
      </c>
      <c r="J201" t="s">
        <v>144</v>
      </c>
      <c r="K201" s="5">
        <f>20 / 86400</f>
        <v>2.3148148148148149E-4</v>
      </c>
      <c r="L201" s="5">
        <f>20 / 86400</f>
        <v>2.3148148148148149E-4</v>
      </c>
    </row>
    <row r="202" spans="1:12" x14ac:dyDescent="0.25">
      <c r="A202" s="3">
        <v>45705.013958333337</v>
      </c>
      <c r="B202" t="s">
        <v>186</v>
      </c>
      <c r="C202" s="3">
        <v>45705.015497685185</v>
      </c>
      <c r="D202" t="s">
        <v>186</v>
      </c>
      <c r="E202" s="4">
        <v>2.030882724225521</v>
      </c>
      <c r="F202" s="4">
        <v>348466.66332582693</v>
      </c>
      <c r="G202" s="4">
        <v>348468.69420855114</v>
      </c>
      <c r="H202" s="5">
        <f t="shared" si="0"/>
        <v>0</v>
      </c>
      <c r="I202" t="s">
        <v>29</v>
      </c>
      <c r="J202" t="s">
        <v>160</v>
      </c>
      <c r="K202" s="5">
        <f>133 / 86400</f>
        <v>1.5393518518518519E-3</v>
      </c>
      <c r="L202" s="5">
        <f>20 / 86400</f>
        <v>2.3148148148148149E-4</v>
      </c>
    </row>
    <row r="203" spans="1:12" x14ac:dyDescent="0.25">
      <c r="A203" s="3">
        <v>45705.015729166669</v>
      </c>
      <c r="B203" t="s">
        <v>187</v>
      </c>
      <c r="C203" s="3">
        <v>45705.017118055555</v>
      </c>
      <c r="D203" t="s">
        <v>188</v>
      </c>
      <c r="E203" s="4">
        <v>1.761565517127514</v>
      </c>
      <c r="F203" s="4">
        <v>348468.87598682084</v>
      </c>
      <c r="G203" s="4">
        <v>348470.63755233795</v>
      </c>
      <c r="H203" s="5">
        <f t="shared" si="0"/>
        <v>0</v>
      </c>
      <c r="I203" t="s">
        <v>61</v>
      </c>
      <c r="J203" t="s">
        <v>189</v>
      </c>
      <c r="K203" s="5">
        <f>120 / 86400</f>
        <v>1.3888888888888889E-3</v>
      </c>
      <c r="L203" s="5">
        <f>5 / 86400</f>
        <v>5.7870370370370373E-5</v>
      </c>
    </row>
    <row r="204" spans="1:12" x14ac:dyDescent="0.25">
      <c r="A204" s="3">
        <v>45705.017175925925</v>
      </c>
      <c r="B204" t="s">
        <v>188</v>
      </c>
      <c r="C204" s="3">
        <v>45705.018564814818</v>
      </c>
      <c r="D204" t="s">
        <v>190</v>
      </c>
      <c r="E204" s="4">
        <v>1.7512861476540567</v>
      </c>
      <c r="F204" s="4">
        <v>348470.65049058938</v>
      </c>
      <c r="G204" s="4">
        <v>348472.40177673701</v>
      </c>
      <c r="H204" s="5">
        <f t="shared" si="0"/>
        <v>0</v>
      </c>
      <c r="I204" t="s">
        <v>37</v>
      </c>
      <c r="J204" t="s">
        <v>189</v>
      </c>
      <c r="K204" s="5">
        <f>120 / 86400</f>
        <v>1.3888888888888889E-3</v>
      </c>
      <c r="L204" s="5">
        <f>6 / 86400</f>
        <v>6.9444444444444444E-5</v>
      </c>
    </row>
    <row r="205" spans="1:12" x14ac:dyDescent="0.25">
      <c r="A205" s="3">
        <v>45705.018634259264</v>
      </c>
      <c r="B205" t="s">
        <v>190</v>
      </c>
      <c r="C205" s="3">
        <v>45705.019479166665</v>
      </c>
      <c r="D205" t="s">
        <v>191</v>
      </c>
      <c r="E205" s="4">
        <v>0.75146971404552465</v>
      </c>
      <c r="F205" s="4">
        <v>348472.40544560953</v>
      </c>
      <c r="G205" s="4">
        <v>348473.15691532358</v>
      </c>
      <c r="H205" s="5">
        <f t="shared" si="0"/>
        <v>0</v>
      </c>
      <c r="I205" t="s">
        <v>192</v>
      </c>
      <c r="J205" t="s">
        <v>193</v>
      </c>
      <c r="K205" s="5">
        <f>73 / 86400</f>
        <v>8.4490740740740739E-4</v>
      </c>
      <c r="L205" s="5">
        <f>20 / 86400</f>
        <v>2.3148148148148149E-4</v>
      </c>
    </row>
    <row r="206" spans="1:12" x14ac:dyDescent="0.25">
      <c r="A206" s="3">
        <v>45705.01971064815</v>
      </c>
      <c r="B206" t="s">
        <v>191</v>
      </c>
      <c r="C206" s="3">
        <v>45705.019942129627</v>
      </c>
      <c r="D206" t="s">
        <v>191</v>
      </c>
      <c r="E206" s="4">
        <v>0.13222707134485245</v>
      </c>
      <c r="F206" s="4">
        <v>348473.26415671699</v>
      </c>
      <c r="G206" s="4">
        <v>348473.39638378832</v>
      </c>
      <c r="H206" s="5">
        <f t="shared" si="0"/>
        <v>0</v>
      </c>
      <c r="I206" t="s">
        <v>194</v>
      </c>
      <c r="J206" t="s">
        <v>129</v>
      </c>
      <c r="K206" s="5">
        <f>20 / 86400</f>
        <v>2.3148148148148149E-4</v>
      </c>
      <c r="L206" s="5">
        <f>20 / 86400</f>
        <v>2.3148148148148149E-4</v>
      </c>
    </row>
    <row r="207" spans="1:12" x14ac:dyDescent="0.25">
      <c r="A207" s="3">
        <v>45705.020173611112</v>
      </c>
      <c r="B207" t="s">
        <v>191</v>
      </c>
      <c r="C207" s="3">
        <v>45705.024826388893</v>
      </c>
      <c r="D207" t="s">
        <v>191</v>
      </c>
      <c r="E207" s="4">
        <v>3.258368946671486</v>
      </c>
      <c r="F207" s="4">
        <v>348473.55076123617</v>
      </c>
      <c r="G207" s="4">
        <v>348476.80913018284</v>
      </c>
      <c r="H207" s="5">
        <f t="shared" si="0"/>
        <v>0</v>
      </c>
      <c r="I207" t="s">
        <v>176</v>
      </c>
      <c r="J207" t="s">
        <v>150</v>
      </c>
      <c r="K207" s="5">
        <f>402 / 86400</f>
        <v>4.6527777777777774E-3</v>
      </c>
      <c r="L207" s="5">
        <f>20 / 86400</f>
        <v>2.3148148148148149E-4</v>
      </c>
    </row>
    <row r="208" spans="1:12" x14ac:dyDescent="0.25">
      <c r="A208" s="3">
        <v>45705.025057870371</v>
      </c>
      <c r="B208" t="s">
        <v>191</v>
      </c>
      <c r="C208" s="3">
        <v>45705.02621527778</v>
      </c>
      <c r="D208" t="s">
        <v>39</v>
      </c>
      <c r="E208" s="4">
        <v>0.64975293999910355</v>
      </c>
      <c r="F208" s="4">
        <v>348476.82181933563</v>
      </c>
      <c r="G208" s="4">
        <v>348477.47157227562</v>
      </c>
      <c r="H208" s="5">
        <f t="shared" si="0"/>
        <v>0</v>
      </c>
      <c r="I208" t="s">
        <v>193</v>
      </c>
      <c r="J208" t="s">
        <v>141</v>
      </c>
      <c r="K208" s="5">
        <f>100 / 86400</f>
        <v>1.1574074074074073E-3</v>
      </c>
      <c r="L208" s="5">
        <f>40 / 86400</f>
        <v>4.6296296296296298E-4</v>
      </c>
    </row>
    <row r="209" spans="1:12" x14ac:dyDescent="0.25">
      <c r="A209" s="3">
        <v>45705.026678240742</v>
      </c>
      <c r="B209" t="s">
        <v>39</v>
      </c>
      <c r="C209" s="3">
        <v>45705.029224537036</v>
      </c>
      <c r="D209" t="s">
        <v>195</v>
      </c>
      <c r="E209" s="4">
        <v>2.5922826384902002</v>
      </c>
      <c r="F209" s="4">
        <v>348477.47984229855</v>
      </c>
      <c r="G209" s="4">
        <v>348480.07212493708</v>
      </c>
      <c r="H209" s="5">
        <f t="shared" si="0"/>
        <v>0</v>
      </c>
      <c r="I209" t="s">
        <v>172</v>
      </c>
      <c r="J209" t="s">
        <v>196</v>
      </c>
      <c r="K209" s="5">
        <f>220 / 86400</f>
        <v>2.5462962962962965E-3</v>
      </c>
      <c r="L209" s="5">
        <f>40 / 86400</f>
        <v>4.6296296296296298E-4</v>
      </c>
    </row>
    <row r="210" spans="1:12" x14ac:dyDescent="0.25">
      <c r="A210" s="3">
        <v>45705.029687499999</v>
      </c>
      <c r="B210" t="s">
        <v>195</v>
      </c>
      <c r="C210" s="3">
        <v>45705.031307870369</v>
      </c>
      <c r="D210" t="s">
        <v>121</v>
      </c>
      <c r="E210" s="4">
        <v>1.2150382342338562</v>
      </c>
      <c r="F210" s="4">
        <v>348480.16750738287</v>
      </c>
      <c r="G210" s="4">
        <v>348481.38254561712</v>
      </c>
      <c r="H210" s="5">
        <f t="shared" si="0"/>
        <v>0</v>
      </c>
      <c r="I210" t="s">
        <v>197</v>
      </c>
      <c r="J210" t="s">
        <v>145</v>
      </c>
      <c r="K210" s="5">
        <f>140 / 86400</f>
        <v>1.6203703703703703E-3</v>
      </c>
      <c r="L210" s="5">
        <f>20 / 86400</f>
        <v>2.3148148148148149E-4</v>
      </c>
    </row>
    <row r="211" spans="1:12" x14ac:dyDescent="0.25">
      <c r="A211" s="3">
        <v>45705.031539351854</v>
      </c>
      <c r="B211" t="s">
        <v>121</v>
      </c>
      <c r="C211" s="3">
        <v>45705.03292824074</v>
      </c>
      <c r="D211" t="s">
        <v>198</v>
      </c>
      <c r="E211" s="4">
        <v>1.1280111103057862</v>
      </c>
      <c r="F211" s="4">
        <v>348481.41064724972</v>
      </c>
      <c r="G211" s="4">
        <v>348482.53865836002</v>
      </c>
      <c r="H211" s="5">
        <f t="shared" si="0"/>
        <v>0</v>
      </c>
      <c r="I211" t="s">
        <v>92</v>
      </c>
      <c r="J211" t="s">
        <v>199</v>
      </c>
      <c r="K211" s="5">
        <f>120 / 86400</f>
        <v>1.3888888888888889E-3</v>
      </c>
      <c r="L211" s="5">
        <f>20 / 86400</f>
        <v>2.3148148148148149E-4</v>
      </c>
    </row>
    <row r="212" spans="1:12" x14ac:dyDescent="0.25">
      <c r="A212" s="3">
        <v>45705.033159722225</v>
      </c>
      <c r="B212" t="s">
        <v>200</v>
      </c>
      <c r="C212" s="3">
        <v>45705.036168981482</v>
      </c>
      <c r="D212" t="s">
        <v>201</v>
      </c>
      <c r="E212" s="4">
        <v>2.904359939813614</v>
      </c>
      <c r="F212" s="4">
        <v>348482.7541729089</v>
      </c>
      <c r="G212" s="4">
        <v>348485.6585328487</v>
      </c>
      <c r="H212" s="5">
        <f t="shared" si="0"/>
        <v>0</v>
      </c>
      <c r="I212" t="s">
        <v>101</v>
      </c>
      <c r="J212" t="s">
        <v>202</v>
      </c>
      <c r="K212" s="5">
        <f>260 / 86400</f>
        <v>3.0092592592592593E-3</v>
      </c>
      <c r="L212" s="5">
        <f>20 / 86400</f>
        <v>2.3148148148148149E-4</v>
      </c>
    </row>
    <row r="213" spans="1:12" x14ac:dyDescent="0.25">
      <c r="A213" s="3">
        <v>45705.036400462966</v>
      </c>
      <c r="B213" t="s">
        <v>201</v>
      </c>
      <c r="C213" s="3">
        <v>45705.037233796298</v>
      </c>
      <c r="D213" t="s">
        <v>203</v>
      </c>
      <c r="E213" s="4">
        <v>9.5242680013179773E-2</v>
      </c>
      <c r="F213" s="4">
        <v>348485.66336764244</v>
      </c>
      <c r="G213" s="4">
        <v>348485.75861032249</v>
      </c>
      <c r="H213" s="5">
        <f t="shared" si="0"/>
        <v>0</v>
      </c>
      <c r="I213" t="s">
        <v>45</v>
      </c>
      <c r="J213" t="s">
        <v>142</v>
      </c>
      <c r="K213" s="5">
        <f>72 / 86400</f>
        <v>8.3333333333333339E-4</v>
      </c>
      <c r="L213" s="5">
        <f>74 / 86400</f>
        <v>8.564814814814815E-4</v>
      </c>
    </row>
    <row r="214" spans="1:12" x14ac:dyDescent="0.25">
      <c r="A214" s="3">
        <v>45705.038090277776</v>
      </c>
      <c r="B214" t="s">
        <v>203</v>
      </c>
      <c r="C214" s="3">
        <v>45705.038194444445</v>
      </c>
      <c r="D214" t="s">
        <v>203</v>
      </c>
      <c r="E214" s="4">
        <v>5.6329010128974913E-3</v>
      </c>
      <c r="F214" s="4">
        <v>348485.766883865</v>
      </c>
      <c r="G214" s="4">
        <v>348485.77251676604</v>
      </c>
      <c r="H214" s="5">
        <f t="shared" si="0"/>
        <v>0</v>
      </c>
      <c r="I214" t="s">
        <v>153</v>
      </c>
      <c r="J214" t="s">
        <v>143</v>
      </c>
      <c r="K214" s="5">
        <f>9 / 86400</f>
        <v>1.0416666666666667E-4</v>
      </c>
      <c r="L214" s="5">
        <f>514 / 86400</f>
        <v>5.9490740740740745E-3</v>
      </c>
    </row>
    <row r="215" spans="1:12" x14ac:dyDescent="0.25">
      <c r="A215" s="3">
        <v>45705.04414351852</v>
      </c>
      <c r="B215" t="s">
        <v>203</v>
      </c>
      <c r="C215" s="3">
        <v>45705.047731481478</v>
      </c>
      <c r="D215" t="s">
        <v>28</v>
      </c>
      <c r="E215" s="4">
        <v>1.1236956452727318</v>
      </c>
      <c r="F215" s="4">
        <v>348485.78306900727</v>
      </c>
      <c r="G215" s="4">
        <v>348486.90676465252</v>
      </c>
      <c r="H215" s="5">
        <f t="shared" si="0"/>
        <v>0</v>
      </c>
      <c r="I215" t="s">
        <v>141</v>
      </c>
      <c r="J215" t="s">
        <v>66</v>
      </c>
      <c r="K215" s="5">
        <f>310 / 86400</f>
        <v>3.5879629629629629E-3</v>
      </c>
      <c r="L215" s="5">
        <f>357 / 86400</f>
        <v>4.1319444444444442E-3</v>
      </c>
    </row>
    <row r="216" spans="1:12" x14ac:dyDescent="0.25">
      <c r="A216" s="3">
        <v>45705.051863425921</v>
      </c>
      <c r="B216" t="s">
        <v>28</v>
      </c>
      <c r="C216" s="3">
        <v>45705.053101851852</v>
      </c>
      <c r="D216" t="s">
        <v>28</v>
      </c>
      <c r="E216" s="4">
        <v>0.29429708355665207</v>
      </c>
      <c r="F216" s="4">
        <v>348486.92228747177</v>
      </c>
      <c r="G216" s="4">
        <v>348487.21658455534</v>
      </c>
      <c r="H216" s="5">
        <f t="shared" si="0"/>
        <v>0</v>
      </c>
      <c r="I216" t="s">
        <v>23</v>
      </c>
      <c r="J216" t="s">
        <v>118</v>
      </c>
      <c r="K216" s="5">
        <f>107 / 86400</f>
        <v>1.238425925925926E-3</v>
      </c>
      <c r="L216" s="5">
        <f>60 / 86400</f>
        <v>6.9444444444444447E-4</v>
      </c>
    </row>
    <row r="217" spans="1:12" x14ac:dyDescent="0.25">
      <c r="A217" s="3">
        <v>45705.053796296299</v>
      </c>
      <c r="B217" t="s">
        <v>28</v>
      </c>
      <c r="C217" s="3">
        <v>45705.054456018523</v>
      </c>
      <c r="D217" t="s">
        <v>28</v>
      </c>
      <c r="E217" s="4">
        <v>0.20955057680606842</v>
      </c>
      <c r="F217" s="4">
        <v>348487.22246007691</v>
      </c>
      <c r="G217" s="4">
        <v>348487.43201065372</v>
      </c>
      <c r="H217" s="5">
        <f t="shared" si="0"/>
        <v>0</v>
      </c>
      <c r="I217" t="s">
        <v>45</v>
      </c>
      <c r="J217" t="s">
        <v>66</v>
      </c>
      <c r="K217" s="5">
        <f>57 / 86400</f>
        <v>6.5972222222222224E-4</v>
      </c>
      <c r="L217" s="5">
        <f>28 / 86400</f>
        <v>3.2407407407407406E-4</v>
      </c>
    </row>
    <row r="218" spans="1:12" x14ac:dyDescent="0.25">
      <c r="A218" s="3">
        <v>45705.054780092592</v>
      </c>
      <c r="B218" t="s">
        <v>28</v>
      </c>
      <c r="C218" s="3">
        <v>45705.056516203702</v>
      </c>
      <c r="D218" t="s">
        <v>28</v>
      </c>
      <c r="E218" s="4">
        <v>0.58137055057287212</v>
      </c>
      <c r="F218" s="4">
        <v>348487.43920560455</v>
      </c>
      <c r="G218" s="4">
        <v>348488.0205761551</v>
      </c>
      <c r="H218" s="5">
        <f t="shared" si="0"/>
        <v>0</v>
      </c>
      <c r="I218" t="s">
        <v>141</v>
      </c>
      <c r="J218" t="s">
        <v>75</v>
      </c>
      <c r="K218" s="5">
        <f>150 / 86400</f>
        <v>1.736111111111111E-3</v>
      </c>
      <c r="L218" s="5">
        <f>175 / 86400</f>
        <v>2.0254629629629629E-3</v>
      </c>
    </row>
    <row r="219" spans="1:12" x14ac:dyDescent="0.25">
      <c r="A219" s="3">
        <v>45705.058541666665</v>
      </c>
      <c r="B219" t="s">
        <v>36</v>
      </c>
      <c r="C219" s="3">
        <v>45705.058749999997</v>
      </c>
      <c r="D219" t="s">
        <v>36</v>
      </c>
      <c r="E219" s="4">
        <v>2.4389746725559235E-2</v>
      </c>
      <c r="F219" s="4">
        <v>348488.04955918179</v>
      </c>
      <c r="G219" s="4">
        <v>348488.07394892856</v>
      </c>
      <c r="H219" s="5">
        <f t="shared" si="0"/>
        <v>0</v>
      </c>
      <c r="I219" t="s">
        <v>153</v>
      </c>
      <c r="J219" t="s">
        <v>142</v>
      </c>
      <c r="K219" s="5">
        <f>18 / 86400</f>
        <v>2.0833333333333335E-4</v>
      </c>
      <c r="L219" s="5">
        <f>25852 / 86400</f>
        <v>0.29921296296296296</v>
      </c>
    </row>
    <row r="220" spans="1:12" x14ac:dyDescent="0.25">
      <c r="A220" s="3">
        <v>45705.357962962968</v>
      </c>
      <c r="B220" t="s">
        <v>36</v>
      </c>
      <c r="C220" s="3">
        <v>45705.358194444445</v>
      </c>
      <c r="D220" t="s">
        <v>36</v>
      </c>
      <c r="E220" s="4">
        <v>5.7990658283233647E-4</v>
      </c>
      <c r="F220" s="4">
        <v>348488.11597610003</v>
      </c>
      <c r="G220" s="4">
        <v>348488.1165560066</v>
      </c>
      <c r="H220" s="5">
        <f t="shared" si="0"/>
        <v>0</v>
      </c>
      <c r="I220" t="s">
        <v>144</v>
      </c>
      <c r="J220" t="s">
        <v>73</v>
      </c>
      <c r="K220" s="5">
        <f>20 / 86400</f>
        <v>2.3148148148148149E-4</v>
      </c>
      <c r="L220" s="5">
        <f>400 / 86400</f>
        <v>4.6296296296296294E-3</v>
      </c>
    </row>
    <row r="221" spans="1:12" x14ac:dyDescent="0.25">
      <c r="A221" s="3">
        <v>45705.362824074073</v>
      </c>
      <c r="B221" t="s">
        <v>36</v>
      </c>
      <c r="C221" s="3">
        <v>45705.363877314812</v>
      </c>
      <c r="D221" t="s">
        <v>36</v>
      </c>
      <c r="E221" s="4">
        <v>3.1290508925914763E-2</v>
      </c>
      <c r="F221" s="4">
        <v>348488.22471943783</v>
      </c>
      <c r="G221" s="4">
        <v>348488.25600994675</v>
      </c>
      <c r="H221" s="5">
        <f t="shared" si="0"/>
        <v>0</v>
      </c>
      <c r="I221" t="s">
        <v>142</v>
      </c>
      <c r="J221" t="s">
        <v>144</v>
      </c>
      <c r="K221" s="5">
        <f>91 / 86400</f>
        <v>1.0532407407407407E-3</v>
      </c>
      <c r="L221" s="5">
        <f>6 / 86400</f>
        <v>6.9444444444444444E-5</v>
      </c>
    </row>
    <row r="222" spans="1:12" x14ac:dyDescent="0.25">
      <c r="A222" s="3">
        <v>45705.363946759258</v>
      </c>
      <c r="B222" t="s">
        <v>36</v>
      </c>
      <c r="C222" s="3">
        <v>45705.36717592593</v>
      </c>
      <c r="D222" t="s">
        <v>36</v>
      </c>
      <c r="E222" s="4">
        <v>7.0501893162727355E-3</v>
      </c>
      <c r="F222" s="4">
        <v>348488.2576434284</v>
      </c>
      <c r="G222" s="4">
        <v>348488.2646936177</v>
      </c>
      <c r="H222" s="5">
        <f t="shared" si="0"/>
        <v>0</v>
      </c>
      <c r="I222" t="s">
        <v>144</v>
      </c>
      <c r="J222" t="s">
        <v>73</v>
      </c>
      <c r="K222" s="5">
        <f>279 / 86400</f>
        <v>3.2291666666666666E-3</v>
      </c>
      <c r="L222" s="5">
        <f>38 / 86400</f>
        <v>4.3981481481481481E-4</v>
      </c>
    </row>
    <row r="223" spans="1:12" x14ac:dyDescent="0.25">
      <c r="A223" s="3">
        <v>45705.367615740739</v>
      </c>
      <c r="B223" t="s">
        <v>28</v>
      </c>
      <c r="C223" s="3">
        <v>45705.371331018519</v>
      </c>
      <c r="D223" t="s">
        <v>204</v>
      </c>
      <c r="E223" s="4">
        <v>1.5273134509921074</v>
      </c>
      <c r="F223" s="4">
        <v>348488.27686098852</v>
      </c>
      <c r="G223" s="4">
        <v>348489.80417443952</v>
      </c>
      <c r="H223" s="5">
        <f t="shared" si="0"/>
        <v>0</v>
      </c>
      <c r="I223" t="s">
        <v>147</v>
      </c>
      <c r="J223" t="s">
        <v>32</v>
      </c>
      <c r="K223" s="5">
        <f>321 / 86400</f>
        <v>3.7152777777777778E-3</v>
      </c>
      <c r="L223" s="5">
        <f>40 / 86400</f>
        <v>4.6296296296296298E-4</v>
      </c>
    </row>
    <row r="224" spans="1:12" x14ac:dyDescent="0.25">
      <c r="A224" s="3">
        <v>45705.371793981481</v>
      </c>
      <c r="B224" t="s">
        <v>205</v>
      </c>
      <c r="C224" s="3">
        <v>45705.372025462959</v>
      </c>
      <c r="D224" t="s">
        <v>205</v>
      </c>
      <c r="E224" s="4">
        <v>4.2010013461112978E-3</v>
      </c>
      <c r="F224" s="4">
        <v>348489.81160759099</v>
      </c>
      <c r="G224" s="4">
        <v>348489.81580859231</v>
      </c>
      <c r="H224" s="5">
        <f t="shared" si="0"/>
        <v>0</v>
      </c>
      <c r="I224" t="s">
        <v>153</v>
      </c>
      <c r="J224" t="s">
        <v>144</v>
      </c>
      <c r="K224" s="5">
        <f>20 / 86400</f>
        <v>2.3148148148148149E-4</v>
      </c>
      <c r="L224" s="5">
        <f>12 / 86400</f>
        <v>1.3888888888888889E-4</v>
      </c>
    </row>
    <row r="225" spans="1:12" x14ac:dyDescent="0.25">
      <c r="A225" s="3">
        <v>45705.372164351851</v>
      </c>
      <c r="B225" t="s">
        <v>205</v>
      </c>
      <c r="C225" s="3">
        <v>45705.37332175926</v>
      </c>
      <c r="D225" t="s">
        <v>111</v>
      </c>
      <c r="E225" s="4">
        <v>0.77749883991479873</v>
      </c>
      <c r="F225" s="4">
        <v>348489.81904991379</v>
      </c>
      <c r="G225" s="4">
        <v>348490.59654875367</v>
      </c>
      <c r="H225" s="5">
        <f t="shared" si="0"/>
        <v>0</v>
      </c>
      <c r="I225" t="s">
        <v>160</v>
      </c>
      <c r="J225" t="s">
        <v>117</v>
      </c>
      <c r="K225" s="5">
        <f>100 / 86400</f>
        <v>1.1574074074074073E-3</v>
      </c>
      <c r="L225" s="5">
        <f>100 / 86400</f>
        <v>1.1574074074074073E-3</v>
      </c>
    </row>
    <row r="226" spans="1:12" x14ac:dyDescent="0.25">
      <c r="A226" s="3">
        <v>45705.374479166669</v>
      </c>
      <c r="B226" t="s">
        <v>111</v>
      </c>
      <c r="C226" s="3">
        <v>45705.377650462964</v>
      </c>
      <c r="D226" t="s">
        <v>198</v>
      </c>
      <c r="E226" s="4">
        <v>2.4744275184869768</v>
      </c>
      <c r="F226" s="4">
        <v>348490.62563556619</v>
      </c>
      <c r="G226" s="4">
        <v>348493.10006308468</v>
      </c>
      <c r="H226" s="5">
        <f t="shared" si="0"/>
        <v>0</v>
      </c>
      <c r="I226" t="s">
        <v>97</v>
      </c>
      <c r="J226" t="s">
        <v>206</v>
      </c>
      <c r="K226" s="5">
        <f>274 / 86400</f>
        <v>3.1712962962962962E-3</v>
      </c>
      <c r="L226" s="5">
        <f>20 / 86400</f>
        <v>2.3148148148148149E-4</v>
      </c>
    </row>
    <row r="227" spans="1:12" x14ac:dyDescent="0.25">
      <c r="A227" s="3">
        <v>45705.377881944441</v>
      </c>
      <c r="B227" t="s">
        <v>198</v>
      </c>
      <c r="C227" s="3">
        <v>45705.378483796296</v>
      </c>
      <c r="D227" t="s">
        <v>121</v>
      </c>
      <c r="E227" s="4">
        <v>4.1098072230815887E-2</v>
      </c>
      <c r="F227" s="4">
        <v>348493.12761507847</v>
      </c>
      <c r="G227" s="4">
        <v>348493.16871315066</v>
      </c>
      <c r="H227" s="5">
        <f t="shared" si="0"/>
        <v>0</v>
      </c>
      <c r="I227" t="s">
        <v>142</v>
      </c>
      <c r="J227" t="s">
        <v>84</v>
      </c>
      <c r="K227" s="5">
        <f>52 / 86400</f>
        <v>6.018518518518519E-4</v>
      </c>
      <c r="L227" s="5">
        <f>40 / 86400</f>
        <v>4.6296296296296298E-4</v>
      </c>
    </row>
    <row r="228" spans="1:12" x14ac:dyDescent="0.25">
      <c r="A228" s="3">
        <v>45705.378946759258</v>
      </c>
      <c r="B228" t="s">
        <v>121</v>
      </c>
      <c r="C228" s="3">
        <v>45705.386365740742</v>
      </c>
      <c r="D228" t="s">
        <v>191</v>
      </c>
      <c r="E228" s="4">
        <v>6.5560198130011562</v>
      </c>
      <c r="F228" s="4">
        <v>348493.1774307802</v>
      </c>
      <c r="G228" s="4">
        <v>348499.73345059319</v>
      </c>
      <c r="H228" s="5">
        <f t="shared" si="0"/>
        <v>0</v>
      </c>
      <c r="I228" t="s">
        <v>159</v>
      </c>
      <c r="J228" t="s">
        <v>193</v>
      </c>
      <c r="K228" s="5">
        <f>641 / 86400</f>
        <v>7.4189814814814813E-3</v>
      </c>
      <c r="L228" s="5">
        <f>20 / 86400</f>
        <v>2.3148148148148149E-4</v>
      </c>
    </row>
    <row r="229" spans="1:12" x14ac:dyDescent="0.25">
      <c r="A229" s="3">
        <v>45705.386597222227</v>
      </c>
      <c r="B229" t="s">
        <v>191</v>
      </c>
      <c r="C229" s="3">
        <v>45705.393888888888</v>
      </c>
      <c r="D229" t="s">
        <v>207</v>
      </c>
      <c r="E229" s="4">
        <v>6.9572515480518344</v>
      </c>
      <c r="F229" s="4">
        <v>348499.75257595169</v>
      </c>
      <c r="G229" s="4">
        <v>348506.70982749976</v>
      </c>
      <c r="H229" s="5">
        <f t="shared" si="0"/>
        <v>0</v>
      </c>
      <c r="I229" t="s">
        <v>180</v>
      </c>
      <c r="J229" t="s">
        <v>202</v>
      </c>
      <c r="K229" s="5">
        <f>630 / 86400</f>
        <v>7.2916666666666668E-3</v>
      </c>
      <c r="L229" s="5">
        <f>40 / 86400</f>
        <v>4.6296296296296298E-4</v>
      </c>
    </row>
    <row r="230" spans="1:12" x14ac:dyDescent="0.25">
      <c r="A230" s="3">
        <v>45705.39435185185</v>
      </c>
      <c r="B230" t="s">
        <v>207</v>
      </c>
      <c r="C230" s="3">
        <v>45705.407361111109</v>
      </c>
      <c r="D230" t="s">
        <v>146</v>
      </c>
      <c r="E230" s="4">
        <v>2.224243850708008</v>
      </c>
      <c r="F230" s="4">
        <v>348506.75081528461</v>
      </c>
      <c r="G230" s="4">
        <v>348508.97505913529</v>
      </c>
      <c r="H230" s="5">
        <f t="shared" si="0"/>
        <v>0</v>
      </c>
      <c r="I230" t="s">
        <v>145</v>
      </c>
      <c r="J230" t="s">
        <v>151</v>
      </c>
      <c r="K230" s="5">
        <f>1124 / 86400</f>
        <v>1.3009259259259259E-2</v>
      </c>
      <c r="L230" s="5">
        <f>12 / 86400</f>
        <v>1.3888888888888889E-4</v>
      </c>
    </row>
    <row r="231" spans="1:12" x14ac:dyDescent="0.25">
      <c r="A231" s="3">
        <v>45705.407500000001</v>
      </c>
      <c r="B231" t="s">
        <v>208</v>
      </c>
      <c r="C231" s="3">
        <v>45705.408067129625</v>
      </c>
      <c r="D231" t="s">
        <v>183</v>
      </c>
      <c r="E231" s="4">
        <v>0.18032216018438338</v>
      </c>
      <c r="F231" s="4">
        <v>348509.00237038755</v>
      </c>
      <c r="G231" s="4">
        <v>348509.18269254774</v>
      </c>
      <c r="H231" s="5">
        <f t="shared" si="0"/>
        <v>0</v>
      </c>
      <c r="I231" t="s">
        <v>62</v>
      </c>
      <c r="J231" t="s">
        <v>66</v>
      </c>
      <c r="K231" s="5">
        <f>49 / 86400</f>
        <v>5.6712962962962967E-4</v>
      </c>
      <c r="L231" s="5">
        <f>8 / 86400</f>
        <v>9.2592592592592588E-5</v>
      </c>
    </row>
    <row r="232" spans="1:12" x14ac:dyDescent="0.25">
      <c r="A232" s="3">
        <v>45705.408159722225</v>
      </c>
      <c r="B232" t="s">
        <v>183</v>
      </c>
      <c r="C232" s="3">
        <v>45705.409548611111</v>
      </c>
      <c r="D232" t="s">
        <v>209</v>
      </c>
      <c r="E232" s="4">
        <v>0.48265222024917603</v>
      </c>
      <c r="F232" s="4">
        <v>348509.18555682187</v>
      </c>
      <c r="G232" s="4">
        <v>348509.66820904211</v>
      </c>
      <c r="H232" s="5">
        <f t="shared" si="0"/>
        <v>0</v>
      </c>
      <c r="I232" t="s">
        <v>145</v>
      </c>
      <c r="J232" t="s">
        <v>75</v>
      </c>
      <c r="K232" s="5">
        <f>120 / 86400</f>
        <v>1.3888888888888889E-3</v>
      </c>
      <c r="L232" s="5">
        <f>8 / 86400</f>
        <v>9.2592592592592588E-5</v>
      </c>
    </row>
    <row r="233" spans="1:12" x14ac:dyDescent="0.25">
      <c r="A233" s="3">
        <v>45705.409641203703</v>
      </c>
      <c r="B233" t="s">
        <v>209</v>
      </c>
      <c r="C233" s="3">
        <v>45705.409872685181</v>
      </c>
      <c r="D233" t="s">
        <v>35</v>
      </c>
      <c r="E233" s="4">
        <v>4.948694145679474E-2</v>
      </c>
      <c r="F233" s="4">
        <v>348509.68945362518</v>
      </c>
      <c r="G233" s="4">
        <v>348509.73894056666</v>
      </c>
      <c r="H233" s="5">
        <f t="shared" si="0"/>
        <v>0</v>
      </c>
      <c r="I233" t="s">
        <v>27</v>
      </c>
      <c r="J233" t="s">
        <v>133</v>
      </c>
      <c r="K233" s="5">
        <f>20 / 86400</f>
        <v>2.3148148148148149E-4</v>
      </c>
      <c r="L233" s="5">
        <f>40 / 86400</f>
        <v>4.6296296296296298E-4</v>
      </c>
    </row>
    <row r="234" spans="1:12" x14ac:dyDescent="0.25">
      <c r="A234" s="3">
        <v>45705.41033564815</v>
      </c>
      <c r="B234" t="s">
        <v>35</v>
      </c>
      <c r="C234" s="3">
        <v>45705.410567129627</v>
      </c>
      <c r="D234" t="s">
        <v>35</v>
      </c>
      <c r="E234" s="4">
        <v>6.7703862190246584E-3</v>
      </c>
      <c r="F234" s="4">
        <v>348509.74862209603</v>
      </c>
      <c r="G234" s="4">
        <v>348509.75539248221</v>
      </c>
      <c r="H234" s="5">
        <f t="shared" si="0"/>
        <v>0</v>
      </c>
      <c r="I234" t="s">
        <v>84</v>
      </c>
      <c r="J234" t="s">
        <v>144</v>
      </c>
      <c r="K234" s="5">
        <f>20 / 86400</f>
        <v>2.3148148148148149E-4</v>
      </c>
      <c r="L234" s="5">
        <f>60 / 86400</f>
        <v>6.9444444444444447E-4</v>
      </c>
    </row>
    <row r="235" spans="1:12" x14ac:dyDescent="0.25">
      <c r="A235" s="3">
        <v>45705.411261574074</v>
      </c>
      <c r="B235" t="s">
        <v>210</v>
      </c>
      <c r="C235" s="3">
        <v>45705.411493055552</v>
      </c>
      <c r="D235" t="s">
        <v>210</v>
      </c>
      <c r="E235" s="4">
        <v>6.8443260788917538E-3</v>
      </c>
      <c r="F235" s="4">
        <v>348509.77137572283</v>
      </c>
      <c r="G235" s="4">
        <v>348509.77822004893</v>
      </c>
      <c r="H235" s="5">
        <f t="shared" si="0"/>
        <v>0</v>
      </c>
      <c r="I235" t="s">
        <v>144</v>
      </c>
      <c r="J235" t="s">
        <v>144</v>
      </c>
      <c r="K235" s="5">
        <f>20 / 86400</f>
        <v>2.3148148148148149E-4</v>
      </c>
      <c r="L235" s="5">
        <f>100 / 86400</f>
        <v>1.1574074074074073E-3</v>
      </c>
    </row>
    <row r="236" spans="1:12" x14ac:dyDescent="0.25">
      <c r="A236" s="3">
        <v>45705.412650462968</v>
      </c>
      <c r="B236" t="s">
        <v>35</v>
      </c>
      <c r="C236" s="3">
        <v>45705.412881944445</v>
      </c>
      <c r="D236" t="s">
        <v>210</v>
      </c>
      <c r="E236" s="4">
        <v>1.5145453214645385E-3</v>
      </c>
      <c r="F236" s="4">
        <v>348509.80193829624</v>
      </c>
      <c r="G236" s="4">
        <v>348509.80345284159</v>
      </c>
      <c r="H236" s="5">
        <f t="shared" si="0"/>
        <v>0</v>
      </c>
      <c r="I236" t="s">
        <v>143</v>
      </c>
      <c r="J236" t="s">
        <v>73</v>
      </c>
      <c r="K236" s="5">
        <f>20 / 86400</f>
        <v>2.3148148148148149E-4</v>
      </c>
      <c r="L236" s="5">
        <f>20 / 86400</f>
        <v>2.3148148148148149E-4</v>
      </c>
    </row>
    <row r="237" spans="1:12" x14ac:dyDescent="0.25">
      <c r="A237" s="3">
        <v>45705.413113425922</v>
      </c>
      <c r="B237" t="s">
        <v>210</v>
      </c>
      <c r="C237" s="3">
        <v>45705.413344907407</v>
      </c>
      <c r="D237" t="s">
        <v>210</v>
      </c>
      <c r="E237" s="4">
        <v>1.0675440430641175E-3</v>
      </c>
      <c r="F237" s="4">
        <v>348509.80514448899</v>
      </c>
      <c r="G237" s="4">
        <v>348509.80621203303</v>
      </c>
      <c r="H237" s="5">
        <f t="shared" si="0"/>
        <v>0</v>
      </c>
      <c r="I237" t="s">
        <v>144</v>
      </c>
      <c r="J237" t="s">
        <v>73</v>
      </c>
      <c r="K237" s="5">
        <f>20 / 86400</f>
        <v>2.3148148148148149E-4</v>
      </c>
      <c r="L237" s="5">
        <f>149 / 86400</f>
        <v>1.724537037037037E-3</v>
      </c>
    </row>
    <row r="238" spans="1:12" x14ac:dyDescent="0.25">
      <c r="A238" s="3">
        <v>45705.41506944444</v>
      </c>
      <c r="B238" t="s">
        <v>210</v>
      </c>
      <c r="C238" s="3">
        <v>45705.415868055556</v>
      </c>
      <c r="D238" t="s">
        <v>211</v>
      </c>
      <c r="E238" s="4">
        <v>0.22543430495262146</v>
      </c>
      <c r="F238" s="4">
        <v>348509.83441017865</v>
      </c>
      <c r="G238" s="4">
        <v>348510.05984448362</v>
      </c>
      <c r="H238" s="5">
        <f t="shared" si="0"/>
        <v>0</v>
      </c>
      <c r="I238" t="s">
        <v>152</v>
      </c>
      <c r="J238" t="s">
        <v>162</v>
      </c>
      <c r="K238" s="5">
        <f>69 / 86400</f>
        <v>7.9861111111111116E-4</v>
      </c>
      <c r="L238" s="5">
        <f>20 / 86400</f>
        <v>2.3148148148148149E-4</v>
      </c>
    </row>
    <row r="239" spans="1:12" x14ac:dyDescent="0.25">
      <c r="A239" s="3">
        <v>45705.416099537033</v>
      </c>
      <c r="B239" t="s">
        <v>211</v>
      </c>
      <c r="C239" s="3">
        <v>45705.417141203703</v>
      </c>
      <c r="D239" t="s">
        <v>212</v>
      </c>
      <c r="E239" s="4">
        <v>0.42030936020612719</v>
      </c>
      <c r="F239" s="4">
        <v>348510.0651090155</v>
      </c>
      <c r="G239" s="4">
        <v>348510.48541837576</v>
      </c>
      <c r="H239" s="5">
        <f t="shared" si="0"/>
        <v>0</v>
      </c>
      <c r="I239" t="s">
        <v>157</v>
      </c>
      <c r="J239" t="s">
        <v>32</v>
      </c>
      <c r="K239" s="5">
        <f>90 / 86400</f>
        <v>1.0416666666666667E-3</v>
      </c>
      <c r="L239" s="5">
        <f>17 / 86400</f>
        <v>1.9675925925925926E-4</v>
      </c>
    </row>
    <row r="240" spans="1:12" x14ac:dyDescent="0.25">
      <c r="A240" s="3">
        <v>45705.417337962965</v>
      </c>
      <c r="B240" t="s">
        <v>212</v>
      </c>
      <c r="C240" s="3">
        <v>45705.420682870375</v>
      </c>
      <c r="D240" t="s">
        <v>213</v>
      </c>
      <c r="E240" s="4">
        <v>2.4039309614896776</v>
      </c>
      <c r="F240" s="4">
        <v>348510.48786909098</v>
      </c>
      <c r="G240" s="4">
        <v>348512.89180005249</v>
      </c>
      <c r="H240" s="5">
        <f t="shared" si="0"/>
        <v>0</v>
      </c>
      <c r="I240" t="s">
        <v>214</v>
      </c>
      <c r="J240" t="s">
        <v>152</v>
      </c>
      <c r="K240" s="5">
        <f>289 / 86400</f>
        <v>3.3449074074074076E-3</v>
      </c>
      <c r="L240" s="5">
        <f>20 / 86400</f>
        <v>2.3148148148148149E-4</v>
      </c>
    </row>
    <row r="241" spans="1:12" x14ac:dyDescent="0.25">
      <c r="A241" s="3">
        <v>45705.420914351853</v>
      </c>
      <c r="B241" t="s">
        <v>187</v>
      </c>
      <c r="C241" s="3">
        <v>45705.422997685186</v>
      </c>
      <c r="D241" t="s">
        <v>190</v>
      </c>
      <c r="E241" s="4">
        <v>2.1935431992411614</v>
      </c>
      <c r="F241" s="4">
        <v>348512.93122028094</v>
      </c>
      <c r="G241" s="4">
        <v>348515.12476348021</v>
      </c>
      <c r="H241" s="5">
        <f t="shared" si="0"/>
        <v>0</v>
      </c>
      <c r="I241" t="s">
        <v>65</v>
      </c>
      <c r="J241" t="s">
        <v>215</v>
      </c>
      <c r="K241" s="5">
        <f>180 / 86400</f>
        <v>2.0833333333333333E-3</v>
      </c>
      <c r="L241" s="5">
        <f>20 / 86400</f>
        <v>2.3148148148148149E-4</v>
      </c>
    </row>
    <row r="242" spans="1:12" x14ac:dyDescent="0.25">
      <c r="A242" s="3">
        <v>45705.42322916667</v>
      </c>
      <c r="B242" t="s">
        <v>190</v>
      </c>
      <c r="C242" s="3">
        <v>45705.426527777774</v>
      </c>
      <c r="D242" t="s">
        <v>191</v>
      </c>
      <c r="E242" s="4">
        <v>2.7359338578581811</v>
      </c>
      <c r="F242" s="4">
        <v>348515.29450948723</v>
      </c>
      <c r="G242" s="4">
        <v>348518.03044334508</v>
      </c>
      <c r="H242" s="5">
        <f t="shared" si="0"/>
        <v>0</v>
      </c>
      <c r="I242" t="s">
        <v>173</v>
      </c>
      <c r="J242" t="s">
        <v>216</v>
      </c>
      <c r="K242" s="5">
        <f>285 / 86400</f>
        <v>3.2986111111111111E-3</v>
      </c>
      <c r="L242" s="5">
        <f>20 / 86400</f>
        <v>2.3148148148148149E-4</v>
      </c>
    </row>
    <row r="243" spans="1:12" x14ac:dyDescent="0.25">
      <c r="A243" s="3">
        <v>45705.426759259259</v>
      </c>
      <c r="B243" t="s">
        <v>191</v>
      </c>
      <c r="C243" s="3">
        <v>45705.42863425926</v>
      </c>
      <c r="D243" t="s">
        <v>217</v>
      </c>
      <c r="E243" s="4">
        <v>1.2602878130078317</v>
      </c>
      <c r="F243" s="4">
        <v>348518.14404068893</v>
      </c>
      <c r="G243" s="4">
        <v>348519.40432850196</v>
      </c>
      <c r="H243" s="5">
        <f t="shared" si="0"/>
        <v>0</v>
      </c>
      <c r="I243" t="s">
        <v>218</v>
      </c>
      <c r="J243" t="s">
        <v>117</v>
      </c>
      <c r="K243" s="5">
        <f>162 / 86400</f>
        <v>1.8749999999999999E-3</v>
      </c>
      <c r="L243" s="5">
        <f>20 / 86400</f>
        <v>2.3148148148148149E-4</v>
      </c>
    </row>
    <row r="244" spans="1:12" x14ac:dyDescent="0.25">
      <c r="A244" s="3">
        <v>45705.428865740745</v>
      </c>
      <c r="B244" t="s">
        <v>217</v>
      </c>
      <c r="C244" s="3">
        <v>45705.429571759261</v>
      </c>
      <c r="D244" t="s">
        <v>191</v>
      </c>
      <c r="E244" s="4">
        <v>0.52136308181285862</v>
      </c>
      <c r="F244" s="4">
        <v>348519.51847185689</v>
      </c>
      <c r="G244" s="4">
        <v>348520.03983493871</v>
      </c>
      <c r="H244" s="5">
        <f t="shared" si="0"/>
        <v>0</v>
      </c>
      <c r="I244" t="s">
        <v>106</v>
      </c>
      <c r="J244" t="s">
        <v>145</v>
      </c>
      <c r="K244" s="5">
        <f>61 / 86400</f>
        <v>7.0601851851851847E-4</v>
      </c>
      <c r="L244" s="5">
        <f>5 / 86400</f>
        <v>5.7870370370370373E-5</v>
      </c>
    </row>
    <row r="245" spans="1:12" x14ac:dyDescent="0.25">
      <c r="A245" s="3">
        <v>45705.429629629631</v>
      </c>
      <c r="B245" t="s">
        <v>191</v>
      </c>
      <c r="C245" s="3">
        <v>45705.430543981478</v>
      </c>
      <c r="D245" t="s">
        <v>219</v>
      </c>
      <c r="E245" s="4">
        <v>0.6626477761864662</v>
      </c>
      <c r="F245" s="4">
        <v>348520.04329197103</v>
      </c>
      <c r="G245" s="4">
        <v>348520.70593974722</v>
      </c>
      <c r="H245" s="5">
        <f t="shared" si="0"/>
        <v>0</v>
      </c>
      <c r="I245" t="s">
        <v>173</v>
      </c>
      <c r="J245" t="s">
        <v>152</v>
      </c>
      <c r="K245" s="5">
        <f>79 / 86400</f>
        <v>9.1435185185185185E-4</v>
      </c>
      <c r="L245" s="5">
        <f>2 / 86400</f>
        <v>2.3148148148148147E-5</v>
      </c>
    </row>
    <row r="246" spans="1:12" x14ac:dyDescent="0.25">
      <c r="A246" s="3">
        <v>45705.430567129632</v>
      </c>
      <c r="B246" t="s">
        <v>220</v>
      </c>
      <c r="C246" s="3">
        <v>45705.434965277775</v>
      </c>
      <c r="D246" t="s">
        <v>198</v>
      </c>
      <c r="E246" s="4">
        <v>3.8761293094754219</v>
      </c>
      <c r="F246" s="4">
        <v>348520.70725480054</v>
      </c>
      <c r="G246" s="4">
        <v>348524.58338411001</v>
      </c>
      <c r="H246" s="5">
        <f t="shared" si="0"/>
        <v>0</v>
      </c>
      <c r="I246" t="s">
        <v>221</v>
      </c>
      <c r="J246" t="s">
        <v>193</v>
      </c>
      <c r="K246" s="5">
        <f>380 / 86400</f>
        <v>4.3981481481481484E-3</v>
      </c>
      <c r="L246" s="5">
        <f>20 / 86400</f>
        <v>2.3148148148148149E-4</v>
      </c>
    </row>
    <row r="247" spans="1:12" x14ac:dyDescent="0.25">
      <c r="A247" s="3">
        <v>45705.435196759259</v>
      </c>
      <c r="B247" t="s">
        <v>198</v>
      </c>
      <c r="C247" s="3">
        <v>45705.441435185188</v>
      </c>
      <c r="D247" t="s">
        <v>201</v>
      </c>
      <c r="E247" s="4">
        <v>4.312142859280109</v>
      </c>
      <c r="F247" s="4">
        <v>348524.58559000894</v>
      </c>
      <c r="G247" s="4">
        <v>348528.89773286821</v>
      </c>
      <c r="H247" s="5">
        <f t="shared" si="0"/>
        <v>0</v>
      </c>
      <c r="I247" t="s">
        <v>222</v>
      </c>
      <c r="J247" t="s">
        <v>150</v>
      </c>
      <c r="K247" s="5">
        <f>539 / 86400</f>
        <v>6.2384259259259259E-3</v>
      </c>
      <c r="L247" s="5">
        <f>20 / 86400</f>
        <v>2.3148148148148149E-4</v>
      </c>
    </row>
    <row r="248" spans="1:12" x14ac:dyDescent="0.25">
      <c r="A248" s="3">
        <v>45705.441666666666</v>
      </c>
      <c r="B248" t="s">
        <v>201</v>
      </c>
      <c r="C248" s="3">
        <v>45705.446064814816</v>
      </c>
      <c r="D248" t="s">
        <v>223</v>
      </c>
      <c r="E248" s="4">
        <v>3.6071205756664275</v>
      </c>
      <c r="F248" s="4">
        <v>348528.89956403361</v>
      </c>
      <c r="G248" s="4">
        <v>348532.50668460928</v>
      </c>
      <c r="H248" s="5">
        <f t="shared" si="0"/>
        <v>0</v>
      </c>
      <c r="I248" t="s">
        <v>172</v>
      </c>
      <c r="J248" t="s">
        <v>199</v>
      </c>
      <c r="K248" s="5">
        <f>380 / 86400</f>
        <v>4.3981481481481484E-3</v>
      </c>
      <c r="L248" s="5">
        <f>40 / 86400</f>
        <v>4.6296296296296298E-4</v>
      </c>
    </row>
    <row r="249" spans="1:12" x14ac:dyDescent="0.25">
      <c r="A249" s="3">
        <v>45705.446527777778</v>
      </c>
      <c r="B249" t="s">
        <v>223</v>
      </c>
      <c r="C249" s="3">
        <v>45705.447453703702</v>
      </c>
      <c r="D249" t="s">
        <v>79</v>
      </c>
      <c r="E249" s="4">
        <v>1.0215720170140266</v>
      </c>
      <c r="F249" s="4">
        <v>348532.51134087454</v>
      </c>
      <c r="G249" s="4">
        <v>348533.53291289159</v>
      </c>
      <c r="H249" s="5">
        <f t="shared" si="0"/>
        <v>0</v>
      </c>
      <c r="I249" t="s">
        <v>167</v>
      </c>
      <c r="J249" t="s">
        <v>147</v>
      </c>
      <c r="K249" s="5">
        <f>80 / 86400</f>
        <v>9.2592592592592596E-4</v>
      </c>
      <c r="L249" s="5">
        <f>20 / 86400</f>
        <v>2.3148148148148149E-4</v>
      </c>
    </row>
    <row r="250" spans="1:12" x14ac:dyDescent="0.25">
      <c r="A250" s="3">
        <v>45705.447685185187</v>
      </c>
      <c r="B250" t="s">
        <v>79</v>
      </c>
      <c r="C250" s="3">
        <v>45705.448379629626</v>
      </c>
      <c r="D250" t="s">
        <v>96</v>
      </c>
      <c r="E250" s="4">
        <v>0.52271383309364317</v>
      </c>
      <c r="F250" s="4">
        <v>348533.74186954327</v>
      </c>
      <c r="G250" s="4">
        <v>348534.26458337635</v>
      </c>
      <c r="H250" s="5">
        <f t="shared" si="0"/>
        <v>0</v>
      </c>
      <c r="I250" t="s">
        <v>222</v>
      </c>
      <c r="J250" t="s">
        <v>145</v>
      </c>
      <c r="K250" s="5">
        <f>60 / 86400</f>
        <v>6.9444444444444447E-4</v>
      </c>
      <c r="L250" s="5">
        <f>20 / 86400</f>
        <v>2.3148148148148149E-4</v>
      </c>
    </row>
    <row r="251" spans="1:12" x14ac:dyDescent="0.25">
      <c r="A251" s="3">
        <v>45705.448611111111</v>
      </c>
      <c r="B251" t="s">
        <v>96</v>
      </c>
      <c r="C251" s="3">
        <v>45705.45</v>
      </c>
      <c r="D251" t="s">
        <v>96</v>
      </c>
      <c r="E251" s="4">
        <v>0.19772247534990312</v>
      </c>
      <c r="F251" s="4">
        <v>348534.27786505147</v>
      </c>
      <c r="G251" s="4">
        <v>348534.4755875268</v>
      </c>
      <c r="H251" s="5">
        <f t="shared" si="0"/>
        <v>0</v>
      </c>
      <c r="I251" t="s">
        <v>32</v>
      </c>
      <c r="J251" t="s">
        <v>153</v>
      </c>
      <c r="K251" s="5">
        <f>120 / 86400</f>
        <v>1.3888888888888889E-3</v>
      </c>
      <c r="L251" s="5">
        <f>15 / 86400</f>
        <v>1.7361111111111112E-4</v>
      </c>
    </row>
    <row r="252" spans="1:12" x14ac:dyDescent="0.25">
      <c r="A252" s="3">
        <v>45705.450173611112</v>
      </c>
      <c r="B252" t="s">
        <v>96</v>
      </c>
      <c r="C252" s="3">
        <v>45705.450636574074</v>
      </c>
      <c r="D252" t="s">
        <v>96</v>
      </c>
      <c r="E252" s="4">
        <v>5.0074065446853638E-2</v>
      </c>
      <c r="F252" s="4">
        <v>348534.4830379273</v>
      </c>
      <c r="G252" s="4">
        <v>348534.53311199276</v>
      </c>
      <c r="H252" s="5">
        <f t="shared" si="0"/>
        <v>0</v>
      </c>
      <c r="I252" t="s">
        <v>142</v>
      </c>
      <c r="J252" t="s">
        <v>142</v>
      </c>
      <c r="K252" s="5">
        <f>40 / 86400</f>
        <v>4.6296296296296298E-4</v>
      </c>
      <c r="L252" s="5">
        <f>20 / 86400</f>
        <v>2.3148148148148149E-4</v>
      </c>
    </row>
    <row r="253" spans="1:12" x14ac:dyDescent="0.25">
      <c r="A253" s="3">
        <v>45705.450868055559</v>
      </c>
      <c r="B253" t="s">
        <v>96</v>
      </c>
      <c r="C253" s="3">
        <v>45705.451562499999</v>
      </c>
      <c r="D253" t="s">
        <v>96</v>
      </c>
      <c r="E253" s="4">
        <v>0.11263664799928665</v>
      </c>
      <c r="F253" s="4">
        <v>348534.54826324206</v>
      </c>
      <c r="G253" s="4">
        <v>348534.66089989006</v>
      </c>
      <c r="H253" s="5">
        <f t="shared" si="0"/>
        <v>0</v>
      </c>
      <c r="I253" t="s">
        <v>20</v>
      </c>
      <c r="J253" t="s">
        <v>151</v>
      </c>
      <c r="K253" s="5">
        <f>60 / 86400</f>
        <v>6.9444444444444447E-4</v>
      </c>
      <c r="L253" s="5">
        <f>106 / 86400</f>
        <v>1.2268518518518518E-3</v>
      </c>
    </row>
    <row r="254" spans="1:12" x14ac:dyDescent="0.25">
      <c r="A254" s="3">
        <v>45705.452789351853</v>
      </c>
      <c r="B254" t="s">
        <v>96</v>
      </c>
      <c r="C254" s="3">
        <v>45705.453252314815</v>
      </c>
      <c r="D254" t="s">
        <v>96</v>
      </c>
      <c r="E254" s="4">
        <v>9.6005887746810917E-2</v>
      </c>
      <c r="F254" s="4">
        <v>348534.69000445493</v>
      </c>
      <c r="G254" s="4">
        <v>348534.78601034265</v>
      </c>
      <c r="H254" s="5">
        <f t="shared" si="0"/>
        <v>0</v>
      </c>
      <c r="I254" t="s">
        <v>118</v>
      </c>
      <c r="J254" t="s">
        <v>133</v>
      </c>
      <c r="K254" s="5">
        <f>40 / 86400</f>
        <v>4.6296296296296298E-4</v>
      </c>
      <c r="L254" s="5">
        <f>13 / 86400</f>
        <v>1.5046296296296297E-4</v>
      </c>
    </row>
    <row r="255" spans="1:12" x14ac:dyDescent="0.25">
      <c r="A255" s="3">
        <v>45705.453402777777</v>
      </c>
      <c r="B255" t="s">
        <v>96</v>
      </c>
      <c r="C255" s="3">
        <v>45705.455983796295</v>
      </c>
      <c r="D255" t="s">
        <v>96</v>
      </c>
      <c r="E255" s="4">
        <v>0.40937884217500686</v>
      </c>
      <c r="F255" s="4">
        <v>348534.79016719252</v>
      </c>
      <c r="G255" s="4">
        <v>348535.19954603468</v>
      </c>
      <c r="H255" s="5">
        <f t="shared" si="0"/>
        <v>0</v>
      </c>
      <c r="I255" t="s">
        <v>62</v>
      </c>
      <c r="J255" t="s">
        <v>151</v>
      </c>
      <c r="K255" s="5">
        <f>223 / 86400</f>
        <v>2.5810185185185185E-3</v>
      </c>
      <c r="L255" s="5">
        <f>34 / 86400</f>
        <v>3.9351851851851852E-4</v>
      </c>
    </row>
    <row r="256" spans="1:12" x14ac:dyDescent="0.25">
      <c r="A256" s="3">
        <v>45705.456377314811</v>
      </c>
      <c r="B256" t="s">
        <v>96</v>
      </c>
      <c r="C256" s="3">
        <v>45705.457048611112</v>
      </c>
      <c r="D256" t="s">
        <v>96</v>
      </c>
      <c r="E256" s="4">
        <v>0.16469746643304825</v>
      </c>
      <c r="F256" s="4">
        <v>348535.21398244804</v>
      </c>
      <c r="G256" s="4">
        <v>348535.37867991446</v>
      </c>
      <c r="H256" s="5">
        <f t="shared" si="0"/>
        <v>0</v>
      </c>
      <c r="I256" t="s">
        <v>62</v>
      </c>
      <c r="J256" t="s">
        <v>118</v>
      </c>
      <c r="K256" s="5">
        <f>58 / 86400</f>
        <v>6.7129629629629625E-4</v>
      </c>
      <c r="L256" s="5">
        <f>20 / 86400</f>
        <v>2.3148148148148149E-4</v>
      </c>
    </row>
    <row r="257" spans="1:12" x14ac:dyDescent="0.25">
      <c r="A257" s="3">
        <v>45705.457280092596</v>
      </c>
      <c r="B257" t="s">
        <v>96</v>
      </c>
      <c r="C257" s="3">
        <v>45705.457800925928</v>
      </c>
      <c r="D257" t="s">
        <v>96</v>
      </c>
      <c r="E257" s="4">
        <v>9.1029218554496763E-2</v>
      </c>
      <c r="F257" s="4">
        <v>348535.38300571829</v>
      </c>
      <c r="G257" s="4">
        <v>348535.47403493687</v>
      </c>
      <c r="H257" s="5">
        <f t="shared" si="0"/>
        <v>0</v>
      </c>
      <c r="I257" t="s">
        <v>153</v>
      </c>
      <c r="J257" t="s">
        <v>151</v>
      </c>
      <c r="K257" s="5">
        <f>45 / 86400</f>
        <v>5.2083333333333333E-4</v>
      </c>
      <c r="L257" s="5">
        <f>60 / 86400</f>
        <v>6.9444444444444447E-4</v>
      </c>
    </row>
    <row r="258" spans="1:12" x14ac:dyDescent="0.25">
      <c r="A258" s="3">
        <v>45705.458495370374</v>
      </c>
      <c r="B258" t="s">
        <v>96</v>
      </c>
      <c r="C258" s="3">
        <v>45705.459363425922</v>
      </c>
      <c r="D258" t="s">
        <v>96</v>
      </c>
      <c r="E258" s="4">
        <v>9.5274076282978057E-2</v>
      </c>
      <c r="F258" s="4">
        <v>348535.49654388498</v>
      </c>
      <c r="G258" s="4">
        <v>348535.59181796125</v>
      </c>
      <c r="H258" s="5">
        <f t="shared" si="0"/>
        <v>0</v>
      </c>
      <c r="I258" t="s">
        <v>133</v>
      </c>
      <c r="J258" t="s">
        <v>142</v>
      </c>
      <c r="K258" s="5">
        <f>75 / 86400</f>
        <v>8.6805555555555551E-4</v>
      </c>
      <c r="L258" s="5">
        <f>4 / 86400</f>
        <v>4.6296296296296294E-5</v>
      </c>
    </row>
    <row r="259" spans="1:12" x14ac:dyDescent="0.25">
      <c r="A259" s="3">
        <v>45705.459409722222</v>
      </c>
      <c r="B259" t="s">
        <v>96</v>
      </c>
      <c r="C259" s="3">
        <v>45705.460138888884</v>
      </c>
      <c r="D259" t="s">
        <v>96</v>
      </c>
      <c r="E259" s="4">
        <v>0.12638586264848709</v>
      </c>
      <c r="F259" s="4">
        <v>348535.59656537505</v>
      </c>
      <c r="G259" s="4">
        <v>348535.72295123769</v>
      </c>
      <c r="H259" s="5">
        <f t="shared" si="0"/>
        <v>0</v>
      </c>
      <c r="I259" t="s">
        <v>62</v>
      </c>
      <c r="J259" t="s">
        <v>151</v>
      </c>
      <c r="K259" s="5">
        <f>63 / 86400</f>
        <v>7.291666666666667E-4</v>
      </c>
      <c r="L259" s="5">
        <f>33 / 86400</f>
        <v>3.8194444444444446E-4</v>
      </c>
    </row>
    <row r="260" spans="1:12" x14ac:dyDescent="0.25">
      <c r="A260" s="3">
        <v>45705.460520833338</v>
      </c>
      <c r="B260" t="s">
        <v>96</v>
      </c>
      <c r="C260" s="3">
        <v>45705.461446759262</v>
      </c>
      <c r="D260" t="s">
        <v>96</v>
      </c>
      <c r="E260" s="4">
        <v>8.3879743337631221E-2</v>
      </c>
      <c r="F260" s="4">
        <v>348535.73104551667</v>
      </c>
      <c r="G260" s="4">
        <v>348535.81492526003</v>
      </c>
      <c r="H260" s="5">
        <f t="shared" si="0"/>
        <v>0</v>
      </c>
      <c r="I260" t="s">
        <v>153</v>
      </c>
      <c r="J260" t="s">
        <v>148</v>
      </c>
      <c r="K260" s="5">
        <f>80 / 86400</f>
        <v>9.2592592592592596E-4</v>
      </c>
      <c r="L260" s="5">
        <f>20 / 86400</f>
        <v>2.3148148148148149E-4</v>
      </c>
    </row>
    <row r="261" spans="1:12" x14ac:dyDescent="0.25">
      <c r="A261" s="3">
        <v>45705.461678240739</v>
      </c>
      <c r="B261" t="s">
        <v>96</v>
      </c>
      <c r="C261" s="3">
        <v>45705.46193287037</v>
      </c>
      <c r="D261" t="s">
        <v>224</v>
      </c>
      <c r="E261" s="4">
        <v>5.8608375012874601E-2</v>
      </c>
      <c r="F261" s="4">
        <v>348535.81745868729</v>
      </c>
      <c r="G261" s="4">
        <v>348535.87606706232</v>
      </c>
      <c r="H261" s="5">
        <f t="shared" si="0"/>
        <v>0</v>
      </c>
      <c r="I261" t="s">
        <v>151</v>
      </c>
      <c r="J261" t="s">
        <v>118</v>
      </c>
      <c r="K261" s="5">
        <f>22 / 86400</f>
        <v>2.5462962962962961E-4</v>
      </c>
      <c r="L261" s="5">
        <f>20 / 86400</f>
        <v>2.3148148148148149E-4</v>
      </c>
    </row>
    <row r="262" spans="1:12" x14ac:dyDescent="0.25">
      <c r="A262" s="3">
        <v>45705.462164351848</v>
      </c>
      <c r="B262" t="s">
        <v>225</v>
      </c>
      <c r="C262" s="3">
        <v>45705.462627314817</v>
      </c>
      <c r="D262" t="s">
        <v>113</v>
      </c>
      <c r="E262" s="4">
        <v>5.9893937528133392E-2</v>
      </c>
      <c r="F262" s="4">
        <v>348535.884371661</v>
      </c>
      <c r="G262" s="4">
        <v>348535.94426559855</v>
      </c>
      <c r="H262" s="5">
        <f t="shared" si="0"/>
        <v>0</v>
      </c>
      <c r="I262" t="s">
        <v>142</v>
      </c>
      <c r="J262" t="s">
        <v>142</v>
      </c>
      <c r="K262" s="5">
        <f>40 / 86400</f>
        <v>4.6296296296296298E-4</v>
      </c>
      <c r="L262" s="5">
        <f>20 / 86400</f>
        <v>2.3148148148148149E-4</v>
      </c>
    </row>
    <row r="263" spans="1:12" x14ac:dyDescent="0.25">
      <c r="A263" s="3">
        <v>45705.462858796294</v>
      </c>
      <c r="B263" t="s">
        <v>113</v>
      </c>
      <c r="C263" s="3">
        <v>45705.464247685188</v>
      </c>
      <c r="D263" t="s">
        <v>226</v>
      </c>
      <c r="E263" s="4">
        <v>0.60715155893564221</v>
      </c>
      <c r="F263" s="4">
        <v>348535.96551916841</v>
      </c>
      <c r="G263" s="4">
        <v>348536.57267072739</v>
      </c>
      <c r="H263" s="5">
        <f t="shared" si="0"/>
        <v>0</v>
      </c>
      <c r="I263" t="s">
        <v>227</v>
      </c>
      <c r="J263" t="s">
        <v>23</v>
      </c>
      <c r="K263" s="5">
        <f>120 / 86400</f>
        <v>1.3888888888888889E-3</v>
      </c>
      <c r="L263" s="5">
        <f>15 / 86400</f>
        <v>1.7361111111111112E-4</v>
      </c>
    </row>
    <row r="264" spans="1:12" x14ac:dyDescent="0.25">
      <c r="A264" s="3">
        <v>45705.464421296296</v>
      </c>
      <c r="B264" t="s">
        <v>226</v>
      </c>
      <c r="C264" s="3">
        <v>45705.465497685189</v>
      </c>
      <c r="D264" t="s">
        <v>228</v>
      </c>
      <c r="E264" s="4">
        <v>0.30724886965751647</v>
      </c>
      <c r="F264" s="4">
        <v>348536.57595782966</v>
      </c>
      <c r="G264" s="4">
        <v>348536.88320669933</v>
      </c>
      <c r="H264" s="5">
        <f t="shared" ref="H264:H327" si="1">0 / 86400</f>
        <v>0</v>
      </c>
      <c r="I264" t="s">
        <v>157</v>
      </c>
      <c r="J264" t="s">
        <v>162</v>
      </c>
      <c r="K264" s="5">
        <f>93 / 86400</f>
        <v>1.0763888888888889E-3</v>
      </c>
      <c r="L264" s="5">
        <f>17 / 86400</f>
        <v>1.9675925925925926E-4</v>
      </c>
    </row>
    <row r="265" spans="1:12" x14ac:dyDescent="0.25">
      <c r="A265" s="3">
        <v>45705.465694444443</v>
      </c>
      <c r="B265" t="s">
        <v>113</v>
      </c>
      <c r="C265" s="3">
        <v>45705.46665509259</v>
      </c>
      <c r="D265" t="s">
        <v>225</v>
      </c>
      <c r="E265" s="4">
        <v>0.29648617696762086</v>
      </c>
      <c r="F265" s="4">
        <v>348537.07960058434</v>
      </c>
      <c r="G265" s="4">
        <v>348537.3760867613</v>
      </c>
      <c r="H265" s="5">
        <f t="shared" si="1"/>
        <v>0</v>
      </c>
      <c r="I265" t="s">
        <v>202</v>
      </c>
      <c r="J265" t="s">
        <v>66</v>
      </c>
      <c r="K265" s="5">
        <f>83 / 86400</f>
        <v>9.6064814814814819E-4</v>
      </c>
      <c r="L265" s="5">
        <f>40 / 86400</f>
        <v>4.6296296296296298E-4</v>
      </c>
    </row>
    <row r="266" spans="1:12" x14ac:dyDescent="0.25">
      <c r="A266" s="3">
        <v>45705.46711805556</v>
      </c>
      <c r="B266" t="s">
        <v>225</v>
      </c>
      <c r="C266" s="3">
        <v>45705.467962962968</v>
      </c>
      <c r="D266" t="s">
        <v>225</v>
      </c>
      <c r="E266" s="4">
        <v>0.2166324805021286</v>
      </c>
      <c r="F266" s="4">
        <v>348538.22035277821</v>
      </c>
      <c r="G266" s="4">
        <v>348538.43698525871</v>
      </c>
      <c r="H266" s="5">
        <f t="shared" si="1"/>
        <v>0</v>
      </c>
      <c r="I266" t="s">
        <v>176</v>
      </c>
      <c r="J266" t="s">
        <v>45</v>
      </c>
      <c r="K266" s="5">
        <f>73 / 86400</f>
        <v>8.4490740740740739E-4</v>
      </c>
      <c r="L266" s="5">
        <f>18 / 86400</f>
        <v>2.0833333333333335E-4</v>
      </c>
    </row>
    <row r="267" spans="1:12" x14ac:dyDescent="0.25">
      <c r="A267" s="3">
        <v>45705.468171296292</v>
      </c>
      <c r="B267" t="s">
        <v>229</v>
      </c>
      <c r="C267" s="3">
        <v>45705.470972222218</v>
      </c>
      <c r="D267" t="s">
        <v>230</v>
      </c>
      <c r="E267" s="4">
        <v>1.68252566665411</v>
      </c>
      <c r="F267" s="4">
        <v>348538.4424269406</v>
      </c>
      <c r="G267" s="4">
        <v>348540.12495260726</v>
      </c>
      <c r="H267" s="5">
        <f t="shared" si="1"/>
        <v>0</v>
      </c>
      <c r="I267" t="s">
        <v>160</v>
      </c>
      <c r="J267" t="s">
        <v>163</v>
      </c>
      <c r="K267" s="5">
        <f>242 / 86400</f>
        <v>2.8009259259259259E-3</v>
      </c>
      <c r="L267" s="5">
        <f>32 / 86400</f>
        <v>3.7037037037037035E-4</v>
      </c>
    </row>
    <row r="268" spans="1:12" x14ac:dyDescent="0.25">
      <c r="A268" s="3">
        <v>45705.471342592587</v>
      </c>
      <c r="B268" t="s">
        <v>230</v>
      </c>
      <c r="C268" s="3">
        <v>45705.471805555557</v>
      </c>
      <c r="D268" t="s">
        <v>230</v>
      </c>
      <c r="E268" s="4">
        <v>5.4159634590148928E-2</v>
      </c>
      <c r="F268" s="4">
        <v>348540.13390611578</v>
      </c>
      <c r="G268" s="4">
        <v>348540.18806575035</v>
      </c>
      <c r="H268" s="5">
        <f t="shared" si="1"/>
        <v>0</v>
      </c>
      <c r="I268" t="s">
        <v>151</v>
      </c>
      <c r="J268" t="s">
        <v>142</v>
      </c>
      <c r="K268" s="5">
        <f>40 / 86400</f>
        <v>4.6296296296296298E-4</v>
      </c>
      <c r="L268" s="5">
        <f>69 / 86400</f>
        <v>7.9861111111111116E-4</v>
      </c>
    </row>
    <row r="269" spans="1:12" x14ac:dyDescent="0.25">
      <c r="A269" s="3">
        <v>45705.472604166665</v>
      </c>
      <c r="B269" t="s">
        <v>230</v>
      </c>
      <c r="C269" s="3">
        <v>45705.473298611112</v>
      </c>
      <c r="D269" t="s">
        <v>231</v>
      </c>
      <c r="E269" s="4">
        <v>0.3852924208641052</v>
      </c>
      <c r="F269" s="4">
        <v>348540.21199821756</v>
      </c>
      <c r="G269" s="4">
        <v>348540.59729063843</v>
      </c>
      <c r="H269" s="5">
        <f t="shared" si="1"/>
        <v>0</v>
      </c>
      <c r="I269" t="s">
        <v>106</v>
      </c>
      <c r="J269" t="s">
        <v>141</v>
      </c>
      <c r="K269" s="5">
        <f>60 / 86400</f>
        <v>6.9444444444444447E-4</v>
      </c>
      <c r="L269" s="5">
        <f>20 / 86400</f>
        <v>2.3148148148148149E-4</v>
      </c>
    </row>
    <row r="270" spans="1:12" x14ac:dyDescent="0.25">
      <c r="A270" s="3">
        <v>45705.473530092597</v>
      </c>
      <c r="B270" t="s">
        <v>231</v>
      </c>
      <c r="C270" s="3">
        <v>45705.473993055552</v>
      </c>
      <c r="D270" t="s">
        <v>231</v>
      </c>
      <c r="E270" s="4">
        <v>0.2944459350705147</v>
      </c>
      <c r="F270" s="4">
        <v>348540.72485340614</v>
      </c>
      <c r="G270" s="4">
        <v>348541.01929934119</v>
      </c>
      <c r="H270" s="5">
        <f t="shared" si="1"/>
        <v>0</v>
      </c>
      <c r="I270" t="s">
        <v>227</v>
      </c>
      <c r="J270" t="s">
        <v>232</v>
      </c>
      <c r="K270" s="5">
        <f>40 / 86400</f>
        <v>4.6296296296296298E-4</v>
      </c>
      <c r="L270" s="5">
        <f>27 / 86400</f>
        <v>3.1250000000000001E-4</v>
      </c>
    </row>
    <row r="271" spans="1:12" x14ac:dyDescent="0.25">
      <c r="A271" s="3">
        <v>45705.474305555559</v>
      </c>
      <c r="B271" t="s">
        <v>231</v>
      </c>
      <c r="C271" s="3">
        <v>45705.477476851855</v>
      </c>
      <c r="D271" t="s">
        <v>233</v>
      </c>
      <c r="E271" s="4">
        <v>1.5221979094147682</v>
      </c>
      <c r="F271" s="4">
        <v>348541.02644349402</v>
      </c>
      <c r="G271" s="4">
        <v>348542.54864140344</v>
      </c>
      <c r="H271" s="5">
        <f t="shared" si="1"/>
        <v>0</v>
      </c>
      <c r="I271" t="s">
        <v>196</v>
      </c>
      <c r="J271" t="s">
        <v>20</v>
      </c>
      <c r="K271" s="5">
        <f>274 / 86400</f>
        <v>3.1712962962962962E-3</v>
      </c>
      <c r="L271" s="5">
        <f>20 / 86400</f>
        <v>2.3148148148148149E-4</v>
      </c>
    </row>
    <row r="272" spans="1:12" x14ac:dyDescent="0.25">
      <c r="A272" s="3">
        <v>45705.477708333332</v>
      </c>
      <c r="B272" t="s">
        <v>233</v>
      </c>
      <c r="C272" s="3">
        <v>45705.478599537033</v>
      </c>
      <c r="D272" t="s">
        <v>234</v>
      </c>
      <c r="E272" s="4">
        <v>0.40253583270311355</v>
      </c>
      <c r="F272" s="4">
        <v>348542.57163102832</v>
      </c>
      <c r="G272" s="4">
        <v>348542.97416686098</v>
      </c>
      <c r="H272" s="5">
        <f t="shared" si="1"/>
        <v>0</v>
      </c>
      <c r="I272" t="s">
        <v>216</v>
      </c>
      <c r="J272" t="s">
        <v>27</v>
      </c>
      <c r="K272" s="5">
        <f>77 / 86400</f>
        <v>8.9120370370370373E-4</v>
      </c>
      <c r="L272" s="5">
        <f>24 / 86400</f>
        <v>2.7777777777777778E-4</v>
      </c>
    </row>
    <row r="273" spans="1:12" x14ac:dyDescent="0.25">
      <c r="A273" s="3">
        <v>45705.478877314818</v>
      </c>
      <c r="B273" t="s">
        <v>235</v>
      </c>
      <c r="C273" s="3">
        <v>45705.47934027778</v>
      </c>
      <c r="D273" t="s">
        <v>235</v>
      </c>
      <c r="E273" s="4">
        <v>0.1770613678097725</v>
      </c>
      <c r="F273" s="4">
        <v>348542.98159993347</v>
      </c>
      <c r="G273" s="4">
        <v>348543.15866130125</v>
      </c>
      <c r="H273" s="5">
        <f t="shared" si="1"/>
        <v>0</v>
      </c>
      <c r="I273" t="s">
        <v>75</v>
      </c>
      <c r="J273" t="s">
        <v>62</v>
      </c>
      <c r="K273" s="5">
        <f>40 / 86400</f>
        <v>4.6296296296296298E-4</v>
      </c>
      <c r="L273" s="5">
        <f>23 / 86400</f>
        <v>2.6620370370370372E-4</v>
      </c>
    </row>
    <row r="274" spans="1:12" x14ac:dyDescent="0.25">
      <c r="A274" s="3">
        <v>45705.47960648148</v>
      </c>
      <c r="B274" t="s">
        <v>234</v>
      </c>
      <c r="C274" s="3">
        <v>45705.481238425928</v>
      </c>
      <c r="D274" t="s">
        <v>236</v>
      </c>
      <c r="E274" s="4">
        <v>0.53603237569332118</v>
      </c>
      <c r="F274" s="4">
        <v>348543.16577863443</v>
      </c>
      <c r="G274" s="4">
        <v>348543.70181101013</v>
      </c>
      <c r="H274" s="5">
        <f t="shared" si="1"/>
        <v>0</v>
      </c>
      <c r="I274" t="s">
        <v>193</v>
      </c>
      <c r="J274" t="s">
        <v>75</v>
      </c>
      <c r="K274" s="5">
        <f>141 / 86400</f>
        <v>1.6319444444444445E-3</v>
      </c>
      <c r="L274" s="5">
        <f>20 / 86400</f>
        <v>2.3148148148148149E-4</v>
      </c>
    </row>
    <row r="275" spans="1:12" x14ac:dyDescent="0.25">
      <c r="A275" s="3">
        <v>45705.481469907405</v>
      </c>
      <c r="B275" t="s">
        <v>237</v>
      </c>
      <c r="C275" s="3">
        <v>45705.483090277776</v>
      </c>
      <c r="D275" t="s">
        <v>238</v>
      </c>
      <c r="E275" s="4">
        <v>1.0646969864964486</v>
      </c>
      <c r="F275" s="4">
        <v>348543.78158991085</v>
      </c>
      <c r="G275" s="4">
        <v>348544.84628689737</v>
      </c>
      <c r="H275" s="5">
        <f t="shared" si="1"/>
        <v>0</v>
      </c>
      <c r="I275" t="s">
        <v>215</v>
      </c>
      <c r="J275" t="s">
        <v>232</v>
      </c>
      <c r="K275" s="5">
        <f>140 / 86400</f>
        <v>1.6203703703703703E-3</v>
      </c>
      <c r="L275" s="5">
        <f>33 / 86400</f>
        <v>3.8194444444444446E-4</v>
      </c>
    </row>
    <row r="276" spans="1:12" x14ac:dyDescent="0.25">
      <c r="A276" s="3">
        <v>45705.483472222222</v>
      </c>
      <c r="B276" t="s">
        <v>238</v>
      </c>
      <c r="C276" s="3">
        <v>45705.486539351856</v>
      </c>
      <c r="D276" t="s">
        <v>239</v>
      </c>
      <c r="E276" s="4">
        <v>1.6682363228201866</v>
      </c>
      <c r="F276" s="4">
        <v>348544.86153720273</v>
      </c>
      <c r="G276" s="4">
        <v>348546.52977352554</v>
      </c>
      <c r="H276" s="5">
        <f t="shared" si="1"/>
        <v>0</v>
      </c>
      <c r="I276" t="s">
        <v>240</v>
      </c>
      <c r="J276" t="s">
        <v>141</v>
      </c>
      <c r="K276" s="5">
        <f>265 / 86400</f>
        <v>3.0671296296296297E-3</v>
      </c>
      <c r="L276" s="5">
        <f>20 / 86400</f>
        <v>2.3148148148148149E-4</v>
      </c>
    </row>
    <row r="277" spans="1:12" x14ac:dyDescent="0.25">
      <c r="A277" s="3">
        <v>45705.486770833333</v>
      </c>
      <c r="B277" t="s">
        <v>241</v>
      </c>
      <c r="C277" s="3">
        <v>45705.489351851851</v>
      </c>
      <c r="D277" t="s">
        <v>242</v>
      </c>
      <c r="E277" s="4">
        <v>1.0272973428368568</v>
      </c>
      <c r="F277" s="4">
        <v>348546.63026130368</v>
      </c>
      <c r="G277" s="4">
        <v>348547.65755864652</v>
      </c>
      <c r="H277" s="5">
        <f t="shared" si="1"/>
        <v>0</v>
      </c>
      <c r="I277" t="s">
        <v>199</v>
      </c>
      <c r="J277" t="s">
        <v>32</v>
      </c>
      <c r="K277" s="5">
        <f>223 / 86400</f>
        <v>2.5810185185185185E-3</v>
      </c>
      <c r="L277" s="5">
        <f>20 / 86400</f>
        <v>2.3148148148148149E-4</v>
      </c>
    </row>
    <row r="278" spans="1:12" x14ac:dyDescent="0.25">
      <c r="A278" s="3">
        <v>45705.489583333328</v>
      </c>
      <c r="B278" t="s">
        <v>242</v>
      </c>
      <c r="C278" s="3">
        <v>45705.49013888889</v>
      </c>
      <c r="D278" t="s">
        <v>243</v>
      </c>
      <c r="E278" s="4">
        <v>4.0025833964347841E-2</v>
      </c>
      <c r="F278" s="4">
        <v>348547.70169369783</v>
      </c>
      <c r="G278" s="4">
        <v>348547.74171953177</v>
      </c>
      <c r="H278" s="5">
        <f t="shared" si="1"/>
        <v>0</v>
      </c>
      <c r="I278" t="s">
        <v>151</v>
      </c>
      <c r="J278" t="s">
        <v>84</v>
      </c>
      <c r="K278" s="5">
        <f>48 / 86400</f>
        <v>5.5555555555555556E-4</v>
      </c>
      <c r="L278" s="5">
        <f>20 / 86400</f>
        <v>2.3148148148148149E-4</v>
      </c>
    </row>
    <row r="279" spans="1:12" x14ac:dyDescent="0.25">
      <c r="A279" s="3">
        <v>45705.490370370375</v>
      </c>
      <c r="B279" t="s">
        <v>243</v>
      </c>
      <c r="C279" s="3">
        <v>45705.495474537034</v>
      </c>
      <c r="D279" t="s">
        <v>244</v>
      </c>
      <c r="E279" s="4">
        <v>1.6901528528928758</v>
      </c>
      <c r="F279" s="4">
        <v>348547.75706434611</v>
      </c>
      <c r="G279" s="4">
        <v>348549.44721719902</v>
      </c>
      <c r="H279" s="5">
        <f t="shared" si="1"/>
        <v>0</v>
      </c>
      <c r="I279" t="s">
        <v>157</v>
      </c>
      <c r="J279" t="s">
        <v>75</v>
      </c>
      <c r="K279" s="5">
        <f>441 / 86400</f>
        <v>5.1041666666666666E-3</v>
      </c>
      <c r="L279" s="5">
        <f>40 / 86400</f>
        <v>4.6296296296296298E-4</v>
      </c>
    </row>
    <row r="280" spans="1:12" x14ac:dyDescent="0.25">
      <c r="A280" s="3">
        <v>45705.495937500003</v>
      </c>
      <c r="B280" t="s">
        <v>244</v>
      </c>
      <c r="C280" s="3">
        <v>45705.496655092589</v>
      </c>
      <c r="D280" t="s">
        <v>245</v>
      </c>
      <c r="E280" s="4">
        <v>0.24507146137952804</v>
      </c>
      <c r="F280" s="4">
        <v>348549.46053621115</v>
      </c>
      <c r="G280" s="4">
        <v>348549.70560767251</v>
      </c>
      <c r="H280" s="5">
        <f t="shared" si="1"/>
        <v>0</v>
      </c>
      <c r="I280" t="s">
        <v>27</v>
      </c>
      <c r="J280" t="s">
        <v>75</v>
      </c>
      <c r="K280" s="5">
        <f>62 / 86400</f>
        <v>7.1759259259259259E-4</v>
      </c>
      <c r="L280" s="5">
        <f>20 / 86400</f>
        <v>2.3148148148148149E-4</v>
      </c>
    </row>
    <row r="281" spans="1:12" x14ac:dyDescent="0.25">
      <c r="A281" s="3">
        <v>45705.496886574074</v>
      </c>
      <c r="B281" t="s">
        <v>245</v>
      </c>
      <c r="C281" s="3">
        <v>45705.497349537036</v>
      </c>
      <c r="D281" t="s">
        <v>246</v>
      </c>
      <c r="E281" s="4">
        <v>1.2452184617519379E-2</v>
      </c>
      <c r="F281" s="4">
        <v>348549.70652854646</v>
      </c>
      <c r="G281" s="4">
        <v>348549.71898073109</v>
      </c>
      <c r="H281" s="5">
        <f t="shared" si="1"/>
        <v>0</v>
      </c>
      <c r="I281" t="s">
        <v>143</v>
      </c>
      <c r="J281" t="s">
        <v>144</v>
      </c>
      <c r="K281" s="5">
        <f>40 / 86400</f>
        <v>4.6296296296296298E-4</v>
      </c>
      <c r="L281" s="5">
        <f>47 / 86400</f>
        <v>5.4398148148148144E-4</v>
      </c>
    </row>
    <row r="282" spans="1:12" x14ac:dyDescent="0.25">
      <c r="A282" s="3">
        <v>45705.497893518521</v>
      </c>
      <c r="B282" t="s">
        <v>246</v>
      </c>
      <c r="C282" s="3">
        <v>45705.498819444445</v>
      </c>
      <c r="D282" t="s">
        <v>247</v>
      </c>
      <c r="E282" s="4">
        <v>0.54117768567800517</v>
      </c>
      <c r="F282" s="4">
        <v>348549.73328571423</v>
      </c>
      <c r="G282" s="4">
        <v>348550.2744633999</v>
      </c>
      <c r="H282" s="5">
        <f t="shared" si="1"/>
        <v>0</v>
      </c>
      <c r="I282" t="s">
        <v>248</v>
      </c>
      <c r="J282" t="s">
        <v>129</v>
      </c>
      <c r="K282" s="5">
        <f>80 / 86400</f>
        <v>9.2592592592592596E-4</v>
      </c>
      <c r="L282" s="5">
        <f>31 / 86400</f>
        <v>3.5879629629629629E-4</v>
      </c>
    </row>
    <row r="283" spans="1:12" x14ac:dyDescent="0.25">
      <c r="A283" s="3">
        <v>45705.499178240745</v>
      </c>
      <c r="B283" t="s">
        <v>247</v>
      </c>
      <c r="C283" s="3">
        <v>45705.4996412037</v>
      </c>
      <c r="D283" t="s">
        <v>249</v>
      </c>
      <c r="E283" s="4">
        <v>0.41611418557167051</v>
      </c>
      <c r="F283" s="4">
        <v>348550.30314718158</v>
      </c>
      <c r="G283" s="4">
        <v>348550.71926136717</v>
      </c>
      <c r="H283" s="5">
        <f t="shared" si="1"/>
        <v>0</v>
      </c>
      <c r="I283" t="s">
        <v>159</v>
      </c>
      <c r="J283" t="s">
        <v>193</v>
      </c>
      <c r="K283" s="5">
        <f>40 / 86400</f>
        <v>4.6296296296296298E-4</v>
      </c>
      <c r="L283" s="5">
        <f>4 / 86400</f>
        <v>4.6296296296296294E-5</v>
      </c>
    </row>
    <row r="284" spans="1:12" x14ac:dyDescent="0.25">
      <c r="A284" s="3">
        <v>45705.4996875</v>
      </c>
      <c r="B284" t="s">
        <v>249</v>
      </c>
      <c r="C284" s="3">
        <v>45705.500150462962</v>
      </c>
      <c r="D284" t="s">
        <v>250</v>
      </c>
      <c r="E284" s="4">
        <v>0.36377946382761001</v>
      </c>
      <c r="F284" s="4">
        <v>348550.72443429235</v>
      </c>
      <c r="G284" s="4">
        <v>348551.08821375621</v>
      </c>
      <c r="H284" s="5">
        <f t="shared" si="1"/>
        <v>0</v>
      </c>
      <c r="I284" t="s">
        <v>251</v>
      </c>
      <c r="J284" t="s">
        <v>206</v>
      </c>
      <c r="K284" s="5">
        <f>40 / 86400</f>
        <v>4.6296296296296298E-4</v>
      </c>
      <c r="L284" s="5">
        <f>4 / 86400</f>
        <v>4.6296296296296294E-5</v>
      </c>
    </row>
    <row r="285" spans="1:12" x14ac:dyDescent="0.25">
      <c r="A285" s="3">
        <v>45705.500196759254</v>
      </c>
      <c r="B285" t="s">
        <v>250</v>
      </c>
      <c r="C285" s="3">
        <v>45705.501122685186</v>
      </c>
      <c r="D285" t="s">
        <v>138</v>
      </c>
      <c r="E285" s="4">
        <v>0.73629683768749232</v>
      </c>
      <c r="F285" s="4">
        <v>348551.09147694684</v>
      </c>
      <c r="G285" s="4">
        <v>348551.82777378452</v>
      </c>
      <c r="H285" s="5">
        <f t="shared" si="1"/>
        <v>0</v>
      </c>
      <c r="I285" t="s">
        <v>181</v>
      </c>
      <c r="J285" t="s">
        <v>206</v>
      </c>
      <c r="K285" s="5">
        <f>80 / 86400</f>
        <v>9.2592592592592596E-4</v>
      </c>
      <c r="L285" s="5">
        <f>117 / 86400</f>
        <v>1.3541666666666667E-3</v>
      </c>
    </row>
    <row r="286" spans="1:12" x14ac:dyDescent="0.25">
      <c r="A286" s="3">
        <v>45705.502476851849</v>
      </c>
      <c r="B286" t="s">
        <v>252</v>
      </c>
      <c r="C286" s="3">
        <v>45705.50335648148</v>
      </c>
      <c r="D286" t="s">
        <v>253</v>
      </c>
      <c r="E286" s="4">
        <v>0.23363050061464311</v>
      </c>
      <c r="F286" s="4">
        <v>348552.17196427344</v>
      </c>
      <c r="G286" s="4">
        <v>348552.40559477406</v>
      </c>
      <c r="H286" s="5">
        <f t="shared" si="1"/>
        <v>0</v>
      </c>
      <c r="I286" t="s">
        <v>32</v>
      </c>
      <c r="J286" t="s">
        <v>45</v>
      </c>
      <c r="K286" s="5">
        <f>76 / 86400</f>
        <v>8.7962962962962962E-4</v>
      </c>
      <c r="L286" s="5">
        <f>4 / 86400</f>
        <v>4.6296296296296294E-5</v>
      </c>
    </row>
    <row r="287" spans="1:12" x14ac:dyDescent="0.25">
      <c r="A287" s="3">
        <v>45705.503402777773</v>
      </c>
      <c r="B287" t="s">
        <v>253</v>
      </c>
      <c r="C287" s="3">
        <v>45705.503634259258</v>
      </c>
      <c r="D287" t="s">
        <v>253</v>
      </c>
      <c r="E287" s="4">
        <v>1.1322258472442627E-2</v>
      </c>
      <c r="F287" s="4">
        <v>348552.40937031637</v>
      </c>
      <c r="G287" s="4">
        <v>348552.42069257487</v>
      </c>
      <c r="H287" s="5">
        <f t="shared" si="1"/>
        <v>0</v>
      </c>
      <c r="I287" t="s">
        <v>142</v>
      </c>
      <c r="J287" t="s">
        <v>143</v>
      </c>
      <c r="K287" s="5">
        <f>20 / 86400</f>
        <v>2.3148148148148149E-4</v>
      </c>
      <c r="L287" s="5">
        <f>29 / 86400</f>
        <v>3.3564814814814812E-4</v>
      </c>
    </row>
    <row r="288" spans="1:12" x14ac:dyDescent="0.25">
      <c r="A288" s="3">
        <v>45705.503969907411</v>
      </c>
      <c r="B288" t="s">
        <v>253</v>
      </c>
      <c r="C288" s="3">
        <v>45705.505590277782</v>
      </c>
      <c r="D288" t="s">
        <v>254</v>
      </c>
      <c r="E288" s="4">
        <v>0.24465869545936583</v>
      </c>
      <c r="F288" s="4">
        <v>348552.43348059029</v>
      </c>
      <c r="G288" s="4">
        <v>348552.67813928577</v>
      </c>
      <c r="H288" s="5">
        <f t="shared" si="1"/>
        <v>0</v>
      </c>
      <c r="I288" t="s">
        <v>62</v>
      </c>
      <c r="J288" t="s">
        <v>153</v>
      </c>
      <c r="K288" s="5">
        <f>140 / 86400</f>
        <v>1.6203703703703703E-3</v>
      </c>
      <c r="L288" s="5">
        <f>60 / 86400</f>
        <v>6.9444444444444447E-4</v>
      </c>
    </row>
    <row r="289" spans="1:12" x14ac:dyDescent="0.25">
      <c r="A289" s="3">
        <v>45705.506284722222</v>
      </c>
      <c r="B289" t="s">
        <v>254</v>
      </c>
      <c r="C289" s="3">
        <v>45705.507187499999</v>
      </c>
      <c r="D289" t="s">
        <v>255</v>
      </c>
      <c r="E289" s="4">
        <v>4.2590940535068511E-2</v>
      </c>
      <c r="F289" s="4">
        <v>348552.70473957504</v>
      </c>
      <c r="G289" s="4">
        <v>348552.74733051559</v>
      </c>
      <c r="H289" s="5">
        <f t="shared" si="1"/>
        <v>0</v>
      </c>
      <c r="I289" t="s">
        <v>142</v>
      </c>
      <c r="J289" t="s">
        <v>143</v>
      </c>
      <c r="K289" s="5">
        <f>78 / 86400</f>
        <v>9.0277777777777774E-4</v>
      </c>
      <c r="L289" s="5">
        <f>20 / 86400</f>
        <v>2.3148148148148149E-4</v>
      </c>
    </row>
    <row r="290" spans="1:12" x14ac:dyDescent="0.25">
      <c r="A290" s="3">
        <v>45705.507418981477</v>
      </c>
      <c r="B290" t="s">
        <v>254</v>
      </c>
      <c r="C290" s="3">
        <v>45705.507650462961</v>
      </c>
      <c r="D290" t="s">
        <v>254</v>
      </c>
      <c r="E290" s="4">
        <v>1.3248742520809174E-2</v>
      </c>
      <c r="F290" s="4">
        <v>348552.76764174493</v>
      </c>
      <c r="G290" s="4">
        <v>348552.78089048743</v>
      </c>
      <c r="H290" s="5">
        <f t="shared" si="1"/>
        <v>0</v>
      </c>
      <c r="I290" t="s">
        <v>144</v>
      </c>
      <c r="J290" t="s">
        <v>143</v>
      </c>
      <c r="K290" s="5">
        <f>20 / 86400</f>
        <v>2.3148148148148149E-4</v>
      </c>
      <c r="L290" s="5">
        <f>40 / 86400</f>
        <v>4.6296296296296298E-4</v>
      </c>
    </row>
    <row r="291" spans="1:12" x14ac:dyDescent="0.25">
      <c r="A291" s="3">
        <v>45705.508113425924</v>
      </c>
      <c r="B291" t="s">
        <v>254</v>
      </c>
      <c r="C291" s="3">
        <v>45705.508888888886</v>
      </c>
      <c r="D291" t="s">
        <v>103</v>
      </c>
      <c r="E291" s="4">
        <v>4.595802867412567E-2</v>
      </c>
      <c r="F291" s="4">
        <v>348552.79765922285</v>
      </c>
      <c r="G291" s="4">
        <v>348552.84361725149</v>
      </c>
      <c r="H291" s="5">
        <f t="shared" si="1"/>
        <v>0</v>
      </c>
      <c r="I291" t="s">
        <v>133</v>
      </c>
      <c r="J291" t="s">
        <v>143</v>
      </c>
      <c r="K291" s="5">
        <f>67 / 86400</f>
        <v>7.7546296296296293E-4</v>
      </c>
      <c r="L291" s="5">
        <f>120 / 86400</f>
        <v>1.3888888888888889E-3</v>
      </c>
    </row>
    <row r="292" spans="1:12" x14ac:dyDescent="0.25">
      <c r="A292" s="3">
        <v>45705.510277777779</v>
      </c>
      <c r="B292" t="s">
        <v>103</v>
      </c>
      <c r="C292" s="3">
        <v>45705.510509259257</v>
      </c>
      <c r="D292" t="s">
        <v>103</v>
      </c>
      <c r="E292" s="4">
        <v>3.900617301464081E-3</v>
      </c>
      <c r="F292" s="4">
        <v>348552.86634292518</v>
      </c>
      <c r="G292" s="4">
        <v>348552.87024354248</v>
      </c>
      <c r="H292" s="5">
        <f t="shared" si="1"/>
        <v>0</v>
      </c>
      <c r="I292" t="s">
        <v>144</v>
      </c>
      <c r="J292" t="s">
        <v>144</v>
      </c>
      <c r="K292" s="5">
        <f>20 / 86400</f>
        <v>2.3148148148148149E-4</v>
      </c>
      <c r="L292" s="5">
        <f>2 / 86400</f>
        <v>2.3148148148148147E-5</v>
      </c>
    </row>
    <row r="293" spans="1:12" x14ac:dyDescent="0.25">
      <c r="A293" s="3">
        <v>45705.51053240741</v>
      </c>
      <c r="B293" t="s">
        <v>103</v>
      </c>
      <c r="C293" s="3">
        <v>45705.510879629626</v>
      </c>
      <c r="D293" t="s">
        <v>256</v>
      </c>
      <c r="E293" s="4">
        <v>5.3991177439689633E-2</v>
      </c>
      <c r="F293" s="4">
        <v>348552.87228644284</v>
      </c>
      <c r="G293" s="4">
        <v>348552.92627762025</v>
      </c>
      <c r="H293" s="5">
        <f t="shared" si="1"/>
        <v>0</v>
      </c>
      <c r="I293" t="s">
        <v>32</v>
      </c>
      <c r="J293" t="s">
        <v>153</v>
      </c>
      <c r="K293" s="5">
        <f>30 / 86400</f>
        <v>3.4722222222222224E-4</v>
      </c>
      <c r="L293" s="5">
        <f>15 / 86400</f>
        <v>1.7361111111111112E-4</v>
      </c>
    </row>
    <row r="294" spans="1:12" x14ac:dyDescent="0.25">
      <c r="A294" s="3">
        <v>45705.511053240742</v>
      </c>
      <c r="B294" t="s">
        <v>256</v>
      </c>
      <c r="C294" s="3">
        <v>45705.515532407408</v>
      </c>
      <c r="D294" t="s">
        <v>257</v>
      </c>
      <c r="E294" s="4">
        <v>0.7102308486104012</v>
      </c>
      <c r="F294" s="4">
        <v>348552.934242749</v>
      </c>
      <c r="G294" s="4">
        <v>348553.64447359758</v>
      </c>
      <c r="H294" s="5">
        <f t="shared" si="1"/>
        <v>0</v>
      </c>
      <c r="I294" t="s">
        <v>27</v>
      </c>
      <c r="J294" t="s">
        <v>151</v>
      </c>
      <c r="K294" s="5">
        <f>387 / 86400</f>
        <v>4.4791666666666669E-3</v>
      </c>
      <c r="L294" s="5">
        <f>29 / 86400</f>
        <v>3.3564814814814812E-4</v>
      </c>
    </row>
    <row r="295" spans="1:12" x14ac:dyDescent="0.25">
      <c r="A295" s="3">
        <v>45705.515868055554</v>
      </c>
      <c r="B295" t="s">
        <v>257</v>
      </c>
      <c r="C295" s="3">
        <v>45705.516562500001</v>
      </c>
      <c r="D295" t="s">
        <v>258</v>
      </c>
      <c r="E295" s="4">
        <v>9.4837404072284692E-2</v>
      </c>
      <c r="F295" s="4">
        <v>348553.65559804876</v>
      </c>
      <c r="G295" s="4">
        <v>348553.75043545279</v>
      </c>
      <c r="H295" s="5">
        <f t="shared" si="1"/>
        <v>0</v>
      </c>
      <c r="I295" t="s">
        <v>45</v>
      </c>
      <c r="J295" t="s">
        <v>153</v>
      </c>
      <c r="K295" s="5">
        <f>60 / 86400</f>
        <v>6.9444444444444447E-4</v>
      </c>
      <c r="L295" s="5">
        <f>14 / 86400</f>
        <v>1.6203703703703703E-4</v>
      </c>
    </row>
    <row r="296" spans="1:12" x14ac:dyDescent="0.25">
      <c r="A296" s="3">
        <v>45705.516724537039</v>
      </c>
      <c r="B296" t="s">
        <v>259</v>
      </c>
      <c r="C296" s="3">
        <v>45705.517129629632</v>
      </c>
      <c r="D296" t="s">
        <v>260</v>
      </c>
      <c r="E296" s="4">
        <v>0.17313536667823792</v>
      </c>
      <c r="F296" s="4">
        <v>348553.94890414254</v>
      </c>
      <c r="G296" s="4">
        <v>348554.12203950924</v>
      </c>
      <c r="H296" s="5">
        <f t="shared" si="1"/>
        <v>0</v>
      </c>
      <c r="I296" t="s">
        <v>117</v>
      </c>
      <c r="J296" t="s">
        <v>23</v>
      </c>
      <c r="K296" s="5">
        <f>35 / 86400</f>
        <v>4.0509259259259258E-4</v>
      </c>
      <c r="L296" s="5">
        <f>43 / 86400</f>
        <v>4.9768518518518521E-4</v>
      </c>
    </row>
    <row r="297" spans="1:12" x14ac:dyDescent="0.25">
      <c r="A297" s="3">
        <v>45705.51762731481</v>
      </c>
      <c r="B297" t="s">
        <v>170</v>
      </c>
      <c r="C297" s="3">
        <v>45705.524756944447</v>
      </c>
      <c r="D297" t="s">
        <v>261</v>
      </c>
      <c r="E297" s="4">
        <v>0.12513611650466919</v>
      </c>
      <c r="F297" s="4">
        <v>348554.16323116026</v>
      </c>
      <c r="G297" s="4">
        <v>348554.28836727678</v>
      </c>
      <c r="H297" s="5">
        <f t="shared" si="1"/>
        <v>0</v>
      </c>
      <c r="I297" t="s">
        <v>107</v>
      </c>
      <c r="J297" t="s">
        <v>144</v>
      </c>
      <c r="K297" s="5">
        <f>616 / 86400</f>
        <v>7.1296296296296299E-3</v>
      </c>
      <c r="L297" s="5">
        <f>10 / 86400</f>
        <v>1.1574074074074075E-4</v>
      </c>
    </row>
    <row r="298" spans="1:12" x14ac:dyDescent="0.25">
      <c r="A298" s="3">
        <v>45705.524872685186</v>
      </c>
      <c r="B298" t="s">
        <v>261</v>
      </c>
      <c r="C298" s="3">
        <v>45705.525104166663</v>
      </c>
      <c r="D298" t="s">
        <v>261</v>
      </c>
      <c r="E298" s="4">
        <v>9.75095921754837E-3</v>
      </c>
      <c r="F298" s="4">
        <v>348554.29349488119</v>
      </c>
      <c r="G298" s="4">
        <v>348554.30324584042</v>
      </c>
      <c r="H298" s="5">
        <f t="shared" si="1"/>
        <v>0</v>
      </c>
      <c r="I298" t="s">
        <v>142</v>
      </c>
      <c r="J298" t="s">
        <v>143</v>
      </c>
      <c r="K298" s="5">
        <f>20 / 86400</f>
        <v>2.3148148148148149E-4</v>
      </c>
      <c r="L298" s="5">
        <f>80 / 86400</f>
        <v>9.2592592592592596E-4</v>
      </c>
    </row>
    <row r="299" spans="1:12" x14ac:dyDescent="0.25">
      <c r="A299" s="3">
        <v>45705.526030092587</v>
      </c>
      <c r="B299" t="s">
        <v>261</v>
      </c>
      <c r="C299" s="3">
        <v>45705.526851851857</v>
      </c>
      <c r="D299" t="s">
        <v>262</v>
      </c>
      <c r="E299" s="4">
        <v>0.46734732311964033</v>
      </c>
      <c r="F299" s="4">
        <v>348554.33940857544</v>
      </c>
      <c r="G299" s="4">
        <v>348554.80675589852</v>
      </c>
      <c r="H299" s="5">
        <f t="shared" si="1"/>
        <v>0</v>
      </c>
      <c r="I299" t="s">
        <v>181</v>
      </c>
      <c r="J299" t="s">
        <v>129</v>
      </c>
      <c r="K299" s="5">
        <f>71 / 86400</f>
        <v>8.2175925925925927E-4</v>
      </c>
      <c r="L299" s="5">
        <f>20 / 86400</f>
        <v>2.3148148148148149E-4</v>
      </c>
    </row>
    <row r="300" spans="1:12" x14ac:dyDescent="0.25">
      <c r="A300" s="3">
        <v>45705.527083333334</v>
      </c>
      <c r="B300" t="s">
        <v>262</v>
      </c>
      <c r="C300" s="3">
        <v>45705.527546296296</v>
      </c>
      <c r="D300" t="s">
        <v>249</v>
      </c>
      <c r="E300" s="4">
        <v>0.26791830456256865</v>
      </c>
      <c r="F300" s="4">
        <v>348554.87141792575</v>
      </c>
      <c r="G300" s="4">
        <v>348555.13933623035</v>
      </c>
      <c r="H300" s="5">
        <f t="shared" si="1"/>
        <v>0</v>
      </c>
      <c r="I300" t="s">
        <v>216</v>
      </c>
      <c r="J300" t="s">
        <v>129</v>
      </c>
      <c r="K300" s="5">
        <f>40 / 86400</f>
        <v>4.6296296296296298E-4</v>
      </c>
      <c r="L300" s="5">
        <f>20 / 86400</f>
        <v>2.3148148148148149E-4</v>
      </c>
    </row>
    <row r="301" spans="1:12" x14ac:dyDescent="0.25">
      <c r="A301" s="3">
        <v>45705.527777777781</v>
      </c>
      <c r="B301" t="s">
        <v>263</v>
      </c>
      <c r="C301" s="3">
        <v>45705.529027777782</v>
      </c>
      <c r="D301" t="s">
        <v>264</v>
      </c>
      <c r="E301" s="4">
        <v>0.37603200900554656</v>
      </c>
      <c r="F301" s="4">
        <v>348555.1419283413</v>
      </c>
      <c r="G301" s="4">
        <v>348555.51796035026</v>
      </c>
      <c r="H301" s="5">
        <f t="shared" si="1"/>
        <v>0</v>
      </c>
      <c r="I301" t="s">
        <v>265</v>
      </c>
      <c r="J301" t="s">
        <v>66</v>
      </c>
      <c r="K301" s="5">
        <f>108 / 86400</f>
        <v>1.25E-3</v>
      </c>
      <c r="L301" s="5">
        <f>20 / 86400</f>
        <v>2.3148148148148149E-4</v>
      </c>
    </row>
    <row r="302" spans="1:12" x14ac:dyDescent="0.25">
      <c r="A302" s="3">
        <v>45705.52925925926</v>
      </c>
      <c r="B302" t="s">
        <v>264</v>
      </c>
      <c r="C302" s="3">
        <v>45705.530416666668</v>
      </c>
      <c r="D302" t="s">
        <v>266</v>
      </c>
      <c r="E302" s="4">
        <v>0.52438561713695531</v>
      </c>
      <c r="F302" s="4">
        <v>348555.52376362093</v>
      </c>
      <c r="G302" s="4">
        <v>348556.04814923805</v>
      </c>
      <c r="H302" s="5">
        <f t="shared" si="1"/>
        <v>0</v>
      </c>
      <c r="I302" t="s">
        <v>265</v>
      </c>
      <c r="J302" t="s">
        <v>27</v>
      </c>
      <c r="K302" s="5">
        <f>100 / 86400</f>
        <v>1.1574074074074073E-3</v>
      </c>
      <c r="L302" s="5">
        <f>20 / 86400</f>
        <v>2.3148148148148149E-4</v>
      </c>
    </row>
    <row r="303" spans="1:12" x14ac:dyDescent="0.25">
      <c r="A303" s="3">
        <v>45705.530648148153</v>
      </c>
      <c r="B303" t="s">
        <v>266</v>
      </c>
      <c r="C303" s="3">
        <v>45705.53087962963</v>
      </c>
      <c r="D303" t="s">
        <v>266</v>
      </c>
      <c r="E303" s="4">
        <v>6.0563400983810424E-3</v>
      </c>
      <c r="F303" s="4">
        <v>348556.05029739428</v>
      </c>
      <c r="G303" s="4">
        <v>348556.0563537344</v>
      </c>
      <c r="H303" s="5">
        <f t="shared" si="1"/>
        <v>0</v>
      </c>
      <c r="I303" t="s">
        <v>144</v>
      </c>
      <c r="J303" t="s">
        <v>144</v>
      </c>
      <c r="K303" s="5">
        <f>20 / 86400</f>
        <v>2.3148148148148149E-4</v>
      </c>
      <c r="L303" s="5">
        <f>40 / 86400</f>
        <v>4.6296296296296298E-4</v>
      </c>
    </row>
    <row r="304" spans="1:12" x14ac:dyDescent="0.25">
      <c r="A304" s="3">
        <v>45705.531342592592</v>
      </c>
      <c r="B304" t="s">
        <v>266</v>
      </c>
      <c r="C304" s="3">
        <v>45705.531574074077</v>
      </c>
      <c r="D304" t="s">
        <v>266</v>
      </c>
      <c r="E304" s="4">
        <v>6.8943626284599302E-3</v>
      </c>
      <c r="F304" s="4">
        <v>348556.06352649408</v>
      </c>
      <c r="G304" s="4">
        <v>348556.0704208567</v>
      </c>
      <c r="H304" s="5">
        <f t="shared" si="1"/>
        <v>0</v>
      </c>
      <c r="I304" t="s">
        <v>143</v>
      </c>
      <c r="J304" t="s">
        <v>144</v>
      </c>
      <c r="K304" s="5">
        <f>20 / 86400</f>
        <v>2.3148148148148149E-4</v>
      </c>
      <c r="L304" s="5">
        <f>20 / 86400</f>
        <v>2.3148148148148149E-4</v>
      </c>
    </row>
    <row r="305" spans="1:12" x14ac:dyDescent="0.25">
      <c r="A305" s="3">
        <v>45705.531805555554</v>
      </c>
      <c r="B305" t="s">
        <v>267</v>
      </c>
      <c r="C305" s="3">
        <v>45705.532418981486</v>
      </c>
      <c r="D305" t="s">
        <v>267</v>
      </c>
      <c r="E305" s="4">
        <v>0.20023515039682388</v>
      </c>
      <c r="F305" s="4">
        <v>348556.0794071891</v>
      </c>
      <c r="G305" s="4">
        <v>348556.27964233945</v>
      </c>
      <c r="H305" s="5">
        <f t="shared" si="1"/>
        <v>0</v>
      </c>
      <c r="I305" t="s">
        <v>265</v>
      </c>
      <c r="J305" t="s">
        <v>75</v>
      </c>
      <c r="K305" s="5">
        <f>53 / 86400</f>
        <v>6.134259259259259E-4</v>
      </c>
      <c r="L305" s="5">
        <f>7 / 86400</f>
        <v>8.1018518518518516E-5</v>
      </c>
    </row>
    <row r="306" spans="1:12" x14ac:dyDescent="0.25">
      <c r="A306" s="3">
        <v>45705.532500000001</v>
      </c>
      <c r="B306" t="s">
        <v>267</v>
      </c>
      <c r="C306" s="3">
        <v>45705.534861111111</v>
      </c>
      <c r="D306" t="s">
        <v>268</v>
      </c>
      <c r="E306" s="4">
        <v>0.71870366084575654</v>
      </c>
      <c r="F306" s="4">
        <v>348556.2875785873</v>
      </c>
      <c r="G306" s="4">
        <v>348557.00628224813</v>
      </c>
      <c r="H306" s="5">
        <f t="shared" si="1"/>
        <v>0</v>
      </c>
      <c r="I306" t="s">
        <v>199</v>
      </c>
      <c r="J306" t="s">
        <v>66</v>
      </c>
      <c r="K306" s="5">
        <f>204 / 86400</f>
        <v>2.3611111111111111E-3</v>
      </c>
      <c r="L306" s="5">
        <f>20 / 86400</f>
        <v>2.3148148148148149E-4</v>
      </c>
    </row>
    <row r="307" spans="1:12" x14ac:dyDescent="0.25">
      <c r="A307" s="3">
        <v>45705.535092592589</v>
      </c>
      <c r="B307" t="s">
        <v>269</v>
      </c>
      <c r="C307" s="3">
        <v>45705.539687500001</v>
      </c>
      <c r="D307" t="s">
        <v>270</v>
      </c>
      <c r="E307" s="4">
        <v>1.6881786813139916</v>
      </c>
      <c r="F307" s="4">
        <v>348557.0354487166</v>
      </c>
      <c r="G307" s="4">
        <v>348558.72362739791</v>
      </c>
      <c r="H307" s="5">
        <f t="shared" si="1"/>
        <v>0</v>
      </c>
      <c r="I307" t="s">
        <v>199</v>
      </c>
      <c r="J307" t="s">
        <v>30</v>
      </c>
      <c r="K307" s="5">
        <f>397 / 86400</f>
        <v>4.5949074074074078E-3</v>
      </c>
      <c r="L307" s="5">
        <f>75 / 86400</f>
        <v>8.6805555555555551E-4</v>
      </c>
    </row>
    <row r="308" spans="1:12" x14ac:dyDescent="0.25">
      <c r="A308" s="3">
        <v>45705.540555555555</v>
      </c>
      <c r="B308" t="s">
        <v>270</v>
      </c>
      <c r="C308" s="3">
        <v>45705.541249999995</v>
      </c>
      <c r="D308" t="s">
        <v>271</v>
      </c>
      <c r="E308" s="4">
        <v>9.0080390393733972E-2</v>
      </c>
      <c r="F308" s="4">
        <v>348558.7344377088</v>
      </c>
      <c r="G308" s="4">
        <v>348558.82451809919</v>
      </c>
      <c r="H308" s="5">
        <f t="shared" si="1"/>
        <v>0</v>
      </c>
      <c r="I308" t="s">
        <v>45</v>
      </c>
      <c r="J308" t="s">
        <v>142</v>
      </c>
      <c r="K308" s="5">
        <f>60 / 86400</f>
        <v>6.9444444444444447E-4</v>
      </c>
      <c r="L308" s="5">
        <f>40 / 86400</f>
        <v>4.6296296296296298E-4</v>
      </c>
    </row>
    <row r="309" spans="1:12" x14ac:dyDescent="0.25">
      <c r="A309" s="3">
        <v>45705.541712962964</v>
      </c>
      <c r="B309" t="s">
        <v>271</v>
      </c>
      <c r="C309" s="3">
        <v>45705.543333333335</v>
      </c>
      <c r="D309" t="s">
        <v>272</v>
      </c>
      <c r="E309" s="4">
        <v>1.1705246126055717</v>
      </c>
      <c r="F309" s="4">
        <v>348558.82854838442</v>
      </c>
      <c r="G309" s="4">
        <v>348559.99907299702</v>
      </c>
      <c r="H309" s="5">
        <f t="shared" si="1"/>
        <v>0</v>
      </c>
      <c r="I309" t="s">
        <v>197</v>
      </c>
      <c r="J309" t="s">
        <v>152</v>
      </c>
      <c r="K309" s="5">
        <f>140 / 86400</f>
        <v>1.6203703703703703E-3</v>
      </c>
      <c r="L309" s="5">
        <f>20 / 86400</f>
        <v>2.3148148148148149E-4</v>
      </c>
    </row>
    <row r="310" spans="1:12" x14ac:dyDescent="0.25">
      <c r="A310" s="3">
        <v>45705.543564814812</v>
      </c>
      <c r="B310" t="s">
        <v>272</v>
      </c>
      <c r="C310" s="3">
        <v>45705.544027777782</v>
      </c>
      <c r="D310" t="s">
        <v>273</v>
      </c>
      <c r="E310" s="4">
        <v>0.27837145489454268</v>
      </c>
      <c r="F310" s="4">
        <v>348560.01867425547</v>
      </c>
      <c r="G310" s="4">
        <v>348560.29704571038</v>
      </c>
      <c r="H310" s="5">
        <f t="shared" si="1"/>
        <v>0</v>
      </c>
      <c r="I310" t="s">
        <v>194</v>
      </c>
      <c r="J310" t="s">
        <v>163</v>
      </c>
      <c r="K310" s="5">
        <f>40 / 86400</f>
        <v>4.6296296296296298E-4</v>
      </c>
      <c r="L310" s="5">
        <f>38 / 86400</f>
        <v>4.3981481481481481E-4</v>
      </c>
    </row>
    <row r="311" spans="1:12" x14ac:dyDescent="0.25">
      <c r="A311" s="3">
        <v>45705.544467592597</v>
      </c>
      <c r="B311" t="s">
        <v>273</v>
      </c>
      <c r="C311" s="3">
        <v>45705.545856481476</v>
      </c>
      <c r="D311" t="s">
        <v>131</v>
      </c>
      <c r="E311" s="4">
        <v>0.99764559936523434</v>
      </c>
      <c r="F311" s="4">
        <v>348560.30510419986</v>
      </c>
      <c r="G311" s="4">
        <v>348561.30274979922</v>
      </c>
      <c r="H311" s="5">
        <f t="shared" si="1"/>
        <v>0</v>
      </c>
      <c r="I311" t="s">
        <v>194</v>
      </c>
      <c r="J311" t="s">
        <v>152</v>
      </c>
      <c r="K311" s="5">
        <f>120 / 86400</f>
        <v>1.3888888888888889E-3</v>
      </c>
      <c r="L311" s="5">
        <f>51 / 86400</f>
        <v>5.9027777777777778E-4</v>
      </c>
    </row>
    <row r="312" spans="1:12" x14ac:dyDescent="0.25">
      <c r="A312" s="3">
        <v>45705.546446759261</v>
      </c>
      <c r="B312" t="s">
        <v>131</v>
      </c>
      <c r="C312" s="3">
        <v>45705.548900462964</v>
      </c>
      <c r="D312" t="s">
        <v>235</v>
      </c>
      <c r="E312" s="4">
        <v>1.1603352589011193</v>
      </c>
      <c r="F312" s="4">
        <v>348561.31091399567</v>
      </c>
      <c r="G312" s="4">
        <v>348562.4712492546</v>
      </c>
      <c r="H312" s="5">
        <f t="shared" si="1"/>
        <v>0</v>
      </c>
      <c r="I312" t="s">
        <v>194</v>
      </c>
      <c r="J312" t="s">
        <v>20</v>
      </c>
      <c r="K312" s="5">
        <f>212 / 86400</f>
        <v>2.4537037037037036E-3</v>
      </c>
      <c r="L312" s="5">
        <f>40 / 86400</f>
        <v>4.6296296296296298E-4</v>
      </c>
    </row>
    <row r="313" spans="1:12" x14ac:dyDescent="0.25">
      <c r="A313" s="3">
        <v>45705.549363425926</v>
      </c>
      <c r="B313" t="s">
        <v>274</v>
      </c>
      <c r="C313" s="3">
        <v>45705.54959490741</v>
      </c>
      <c r="D313" t="s">
        <v>235</v>
      </c>
      <c r="E313" s="4">
        <v>0.11004681754112243</v>
      </c>
      <c r="F313" s="4">
        <v>348562.55768277519</v>
      </c>
      <c r="G313" s="4">
        <v>348562.66772959277</v>
      </c>
      <c r="H313" s="5">
        <f t="shared" si="1"/>
        <v>0</v>
      </c>
      <c r="I313" t="s">
        <v>151</v>
      </c>
      <c r="J313" t="s">
        <v>20</v>
      </c>
      <c r="K313" s="5">
        <f>20 / 86400</f>
        <v>2.3148148148148149E-4</v>
      </c>
      <c r="L313" s="5">
        <f>2 / 86400</f>
        <v>2.3148148148148147E-5</v>
      </c>
    </row>
    <row r="314" spans="1:12" x14ac:dyDescent="0.25">
      <c r="A314" s="3">
        <v>45705.549618055556</v>
      </c>
      <c r="B314" t="s">
        <v>235</v>
      </c>
      <c r="C314" s="3">
        <v>45705.550312499996</v>
      </c>
      <c r="D314" t="s">
        <v>235</v>
      </c>
      <c r="E314" s="4">
        <v>0.35097750037908554</v>
      </c>
      <c r="F314" s="4">
        <v>348562.67014556745</v>
      </c>
      <c r="G314" s="4">
        <v>348563.02112306788</v>
      </c>
      <c r="H314" s="5">
        <f t="shared" si="1"/>
        <v>0</v>
      </c>
      <c r="I314" t="s">
        <v>196</v>
      </c>
      <c r="J314" t="s">
        <v>38</v>
      </c>
      <c r="K314" s="5">
        <f>60 / 86400</f>
        <v>6.9444444444444447E-4</v>
      </c>
      <c r="L314" s="5">
        <f>20 / 86400</f>
        <v>2.3148148148148149E-4</v>
      </c>
    </row>
    <row r="315" spans="1:12" x14ac:dyDescent="0.25">
      <c r="A315" s="3">
        <v>45705.550543981481</v>
      </c>
      <c r="B315" t="s">
        <v>235</v>
      </c>
      <c r="C315" s="3">
        <v>45705.550775462965</v>
      </c>
      <c r="D315" t="s">
        <v>235</v>
      </c>
      <c r="E315" s="4">
        <v>3.90988153219223E-3</v>
      </c>
      <c r="F315" s="4">
        <v>348563.03131867899</v>
      </c>
      <c r="G315" s="4">
        <v>348563.0352285605</v>
      </c>
      <c r="H315" s="5">
        <f t="shared" si="1"/>
        <v>0</v>
      </c>
      <c r="I315" t="s">
        <v>144</v>
      </c>
      <c r="J315" t="s">
        <v>144</v>
      </c>
      <c r="K315" s="5">
        <f>20 / 86400</f>
        <v>2.3148148148148149E-4</v>
      </c>
      <c r="L315" s="5">
        <f>28 / 86400</f>
        <v>3.2407407407407406E-4</v>
      </c>
    </row>
    <row r="316" spans="1:12" x14ac:dyDescent="0.25">
      <c r="A316" s="3">
        <v>45705.551099537042</v>
      </c>
      <c r="B316" t="s">
        <v>235</v>
      </c>
      <c r="C316" s="3">
        <v>45705.554629629631</v>
      </c>
      <c r="D316" t="s">
        <v>275</v>
      </c>
      <c r="E316" s="4">
        <v>2.0080923566818236</v>
      </c>
      <c r="F316" s="4">
        <v>348563.04055089538</v>
      </c>
      <c r="G316" s="4">
        <v>348565.04864325206</v>
      </c>
      <c r="H316" s="5">
        <f t="shared" si="1"/>
        <v>0</v>
      </c>
      <c r="I316" t="s">
        <v>196</v>
      </c>
      <c r="J316" t="s">
        <v>129</v>
      </c>
      <c r="K316" s="5">
        <f>305 / 86400</f>
        <v>3.5300925925925925E-3</v>
      </c>
      <c r="L316" s="5">
        <f>20 / 86400</f>
        <v>2.3148148148148149E-4</v>
      </c>
    </row>
    <row r="317" spans="1:12" x14ac:dyDescent="0.25">
      <c r="A317" s="3">
        <v>45705.554861111115</v>
      </c>
      <c r="B317" t="s">
        <v>275</v>
      </c>
      <c r="C317" s="3">
        <v>45705.55746527778</v>
      </c>
      <c r="D317" t="s">
        <v>225</v>
      </c>
      <c r="E317" s="4">
        <v>1.5319366476535796</v>
      </c>
      <c r="F317" s="4">
        <v>348565.05211410555</v>
      </c>
      <c r="G317" s="4">
        <v>348566.58405075315</v>
      </c>
      <c r="H317" s="5">
        <f t="shared" si="1"/>
        <v>0</v>
      </c>
      <c r="I317" t="s">
        <v>222</v>
      </c>
      <c r="J317" t="s">
        <v>163</v>
      </c>
      <c r="K317" s="5">
        <f>225 / 86400</f>
        <v>2.6041666666666665E-3</v>
      </c>
      <c r="L317" s="5">
        <f>40 / 86400</f>
        <v>4.6296296296296298E-4</v>
      </c>
    </row>
    <row r="318" spans="1:12" x14ac:dyDescent="0.25">
      <c r="A318" s="3">
        <v>45705.557928240742</v>
      </c>
      <c r="B318" t="s">
        <v>226</v>
      </c>
      <c r="C318" s="3">
        <v>45705.558391203704</v>
      </c>
      <c r="D318" t="s">
        <v>229</v>
      </c>
      <c r="E318" s="4">
        <v>0.28239869940280915</v>
      </c>
      <c r="F318" s="4">
        <v>348566.75124540477</v>
      </c>
      <c r="G318" s="4">
        <v>348567.0336441042</v>
      </c>
      <c r="H318" s="5">
        <f t="shared" si="1"/>
        <v>0</v>
      </c>
      <c r="I318" t="s">
        <v>147</v>
      </c>
      <c r="J318" t="s">
        <v>163</v>
      </c>
      <c r="K318" s="5">
        <f>40 / 86400</f>
        <v>4.6296296296296298E-4</v>
      </c>
      <c r="L318" s="5">
        <f>6 / 86400</f>
        <v>6.9444444444444444E-5</v>
      </c>
    </row>
    <row r="319" spans="1:12" x14ac:dyDescent="0.25">
      <c r="A319" s="3">
        <v>45705.55846064815</v>
      </c>
      <c r="B319" t="s">
        <v>229</v>
      </c>
      <c r="C319" s="3">
        <v>45705.558923611112</v>
      </c>
      <c r="D319" t="s">
        <v>229</v>
      </c>
      <c r="E319" s="4">
        <v>0.20474709290266038</v>
      </c>
      <c r="F319" s="4">
        <v>348567.03715197631</v>
      </c>
      <c r="G319" s="4">
        <v>348567.24189906917</v>
      </c>
      <c r="H319" s="5">
        <f t="shared" si="1"/>
        <v>0</v>
      </c>
      <c r="I319" t="s">
        <v>32</v>
      </c>
      <c r="J319" t="s">
        <v>23</v>
      </c>
      <c r="K319" s="5">
        <f>40 / 86400</f>
        <v>4.6296296296296298E-4</v>
      </c>
      <c r="L319" s="5">
        <f>20 / 86400</f>
        <v>2.3148148148148149E-4</v>
      </c>
    </row>
    <row r="320" spans="1:12" x14ac:dyDescent="0.25">
      <c r="A320" s="3">
        <v>45705.559155092589</v>
      </c>
      <c r="B320" t="s">
        <v>229</v>
      </c>
      <c r="C320" s="3">
        <v>45705.559386574074</v>
      </c>
      <c r="D320" t="s">
        <v>225</v>
      </c>
      <c r="E320" s="4">
        <v>3.9924318432807922E-2</v>
      </c>
      <c r="F320" s="4">
        <v>348567.35187277035</v>
      </c>
      <c r="G320" s="4">
        <v>348567.39179708879</v>
      </c>
      <c r="H320" s="5">
        <f t="shared" si="1"/>
        <v>0</v>
      </c>
      <c r="I320" t="s">
        <v>38</v>
      </c>
      <c r="J320" t="s">
        <v>151</v>
      </c>
      <c r="K320" s="5">
        <f>20 / 86400</f>
        <v>2.3148148148148149E-4</v>
      </c>
      <c r="L320" s="5">
        <f>20 / 86400</f>
        <v>2.3148148148148149E-4</v>
      </c>
    </row>
    <row r="321" spans="1:12" x14ac:dyDescent="0.25">
      <c r="A321" s="3">
        <v>45705.559618055559</v>
      </c>
      <c r="B321" t="s">
        <v>225</v>
      </c>
      <c r="C321" s="3">
        <v>45705.561006944445</v>
      </c>
      <c r="D321" t="s">
        <v>276</v>
      </c>
      <c r="E321" s="4">
        <v>1.1163629107475281</v>
      </c>
      <c r="F321" s="4">
        <v>348567.41327852325</v>
      </c>
      <c r="G321" s="4">
        <v>348568.52964143403</v>
      </c>
      <c r="H321" s="5">
        <f t="shared" si="1"/>
        <v>0</v>
      </c>
      <c r="I321" t="s">
        <v>221</v>
      </c>
      <c r="J321" t="s">
        <v>206</v>
      </c>
      <c r="K321" s="5">
        <f>120 / 86400</f>
        <v>1.3888888888888889E-3</v>
      </c>
      <c r="L321" s="5">
        <f>22 / 86400</f>
        <v>2.5462962962962961E-4</v>
      </c>
    </row>
    <row r="322" spans="1:12" x14ac:dyDescent="0.25">
      <c r="A322" s="3">
        <v>45705.561261574076</v>
      </c>
      <c r="B322" t="s">
        <v>229</v>
      </c>
      <c r="C322" s="3">
        <v>45705.56149305556</v>
      </c>
      <c r="D322" t="s">
        <v>113</v>
      </c>
      <c r="E322" s="4">
        <v>3.2572666466236112E-2</v>
      </c>
      <c r="F322" s="4">
        <v>348568.5457101785</v>
      </c>
      <c r="G322" s="4">
        <v>348568.57828284497</v>
      </c>
      <c r="H322" s="5">
        <f t="shared" si="1"/>
        <v>0</v>
      </c>
      <c r="I322" t="s">
        <v>151</v>
      </c>
      <c r="J322" t="s">
        <v>153</v>
      </c>
      <c r="K322" s="5">
        <f>20 / 86400</f>
        <v>2.3148148148148149E-4</v>
      </c>
      <c r="L322" s="5">
        <f>20 / 86400</f>
        <v>2.3148148148148149E-4</v>
      </c>
    </row>
    <row r="323" spans="1:12" x14ac:dyDescent="0.25">
      <c r="A323" s="3">
        <v>45705.561724537038</v>
      </c>
      <c r="B323" t="s">
        <v>277</v>
      </c>
      <c r="C323" s="3">
        <v>45705.562418981484</v>
      </c>
      <c r="D323" t="s">
        <v>278</v>
      </c>
      <c r="E323" s="4">
        <v>6.3506824076175694E-2</v>
      </c>
      <c r="F323" s="4">
        <v>348568.62244671053</v>
      </c>
      <c r="G323" s="4">
        <v>348568.68595353462</v>
      </c>
      <c r="H323" s="5">
        <f t="shared" si="1"/>
        <v>0</v>
      </c>
      <c r="I323" t="s">
        <v>153</v>
      </c>
      <c r="J323" t="s">
        <v>148</v>
      </c>
      <c r="K323" s="5">
        <f>60 / 86400</f>
        <v>6.9444444444444447E-4</v>
      </c>
      <c r="L323" s="5">
        <f>7 / 86400</f>
        <v>8.1018518518518516E-5</v>
      </c>
    </row>
    <row r="324" spans="1:12" x14ac:dyDescent="0.25">
      <c r="A324" s="3">
        <v>45705.5625</v>
      </c>
      <c r="B324" t="s">
        <v>278</v>
      </c>
      <c r="C324" s="3">
        <v>45705.563194444447</v>
      </c>
      <c r="D324" t="s">
        <v>277</v>
      </c>
      <c r="E324" s="4">
        <v>7.4530925393104547E-2</v>
      </c>
      <c r="F324" s="4">
        <v>348568.69020128733</v>
      </c>
      <c r="G324" s="4">
        <v>348568.7647322127</v>
      </c>
      <c r="H324" s="5">
        <f t="shared" si="1"/>
        <v>0</v>
      </c>
      <c r="I324" t="s">
        <v>142</v>
      </c>
      <c r="J324" t="s">
        <v>148</v>
      </c>
      <c r="K324" s="5">
        <f>60 / 86400</f>
        <v>6.9444444444444447E-4</v>
      </c>
      <c r="L324" s="5">
        <f>19 / 86400</f>
        <v>2.199074074074074E-4</v>
      </c>
    </row>
    <row r="325" spans="1:12" x14ac:dyDescent="0.25">
      <c r="A325" s="3">
        <v>45705.563414351855</v>
      </c>
      <c r="B325" t="s">
        <v>277</v>
      </c>
      <c r="C325" s="3">
        <v>45705.563645833332</v>
      </c>
      <c r="D325" t="s">
        <v>113</v>
      </c>
      <c r="E325" s="4">
        <v>8.9277380108833317E-3</v>
      </c>
      <c r="F325" s="4">
        <v>348568.78285361221</v>
      </c>
      <c r="G325" s="4">
        <v>348568.79178135021</v>
      </c>
      <c r="H325" s="5">
        <f t="shared" si="1"/>
        <v>0</v>
      </c>
      <c r="I325" t="s">
        <v>142</v>
      </c>
      <c r="J325" t="s">
        <v>143</v>
      </c>
      <c r="K325" s="5">
        <f>20 / 86400</f>
        <v>2.3148148148148149E-4</v>
      </c>
      <c r="L325" s="5">
        <f>4 / 86400</f>
        <v>4.6296296296296294E-5</v>
      </c>
    </row>
    <row r="326" spans="1:12" x14ac:dyDescent="0.25">
      <c r="A326" s="3">
        <v>45705.563692129625</v>
      </c>
      <c r="B326" t="s">
        <v>113</v>
      </c>
      <c r="C326" s="3">
        <v>45705.565312499995</v>
      </c>
      <c r="D326" t="s">
        <v>279</v>
      </c>
      <c r="E326" s="4">
        <v>0.29069879400730131</v>
      </c>
      <c r="F326" s="4">
        <v>348568.79634274729</v>
      </c>
      <c r="G326" s="4">
        <v>348569.08704154129</v>
      </c>
      <c r="H326" s="5">
        <f t="shared" si="1"/>
        <v>0</v>
      </c>
      <c r="I326" t="s">
        <v>23</v>
      </c>
      <c r="J326" t="s">
        <v>151</v>
      </c>
      <c r="K326" s="5">
        <f>140 / 86400</f>
        <v>1.6203703703703703E-3</v>
      </c>
      <c r="L326" s="5">
        <f>30 / 86400</f>
        <v>3.4722222222222224E-4</v>
      </c>
    </row>
    <row r="327" spans="1:12" x14ac:dyDescent="0.25">
      <c r="A327" s="3">
        <v>45705.565659722226</v>
      </c>
      <c r="B327" t="s">
        <v>226</v>
      </c>
      <c r="C327" s="3">
        <v>45705.566782407404</v>
      </c>
      <c r="D327" t="s">
        <v>225</v>
      </c>
      <c r="E327" s="4">
        <v>0.48613280445337298</v>
      </c>
      <c r="F327" s="4">
        <v>348569.14988929476</v>
      </c>
      <c r="G327" s="4">
        <v>348569.63602209918</v>
      </c>
      <c r="H327" s="5">
        <f t="shared" si="1"/>
        <v>0</v>
      </c>
      <c r="I327" t="s">
        <v>216</v>
      </c>
      <c r="J327" t="s">
        <v>23</v>
      </c>
      <c r="K327" s="5">
        <f>97 / 86400</f>
        <v>1.1226851851851851E-3</v>
      </c>
      <c r="L327" s="5">
        <f>40 / 86400</f>
        <v>4.6296296296296298E-4</v>
      </c>
    </row>
    <row r="328" spans="1:12" x14ac:dyDescent="0.25">
      <c r="A328" s="3">
        <v>45705.567245370374</v>
      </c>
      <c r="B328" t="s">
        <v>280</v>
      </c>
      <c r="C328" s="3">
        <v>45705.567708333328</v>
      </c>
      <c r="D328" t="s">
        <v>225</v>
      </c>
      <c r="E328" s="4">
        <v>0.13026600873470306</v>
      </c>
      <c r="F328" s="4">
        <v>348569.67681473261</v>
      </c>
      <c r="G328" s="4">
        <v>348569.80708074133</v>
      </c>
      <c r="H328" s="5">
        <f t="shared" ref="H328:H391" si="2">0 / 86400</f>
        <v>0</v>
      </c>
      <c r="I328" t="s">
        <v>27</v>
      </c>
      <c r="J328" t="s">
        <v>162</v>
      </c>
      <c r="K328" s="5">
        <f>40 / 86400</f>
        <v>4.6296296296296298E-4</v>
      </c>
      <c r="L328" s="5">
        <f>40 / 86400</f>
        <v>4.6296296296296298E-4</v>
      </c>
    </row>
    <row r="329" spans="1:12" x14ac:dyDescent="0.25">
      <c r="A329" s="3">
        <v>45705.568171296298</v>
      </c>
      <c r="B329" t="s">
        <v>224</v>
      </c>
      <c r="C329" s="3">
        <v>45705.569097222222</v>
      </c>
      <c r="D329" t="s">
        <v>96</v>
      </c>
      <c r="E329" s="4">
        <v>0.31763781791925433</v>
      </c>
      <c r="F329" s="4">
        <v>348569.84069941129</v>
      </c>
      <c r="G329" s="4">
        <v>348570.15833722916</v>
      </c>
      <c r="H329" s="5">
        <f t="shared" si="2"/>
        <v>0</v>
      </c>
      <c r="I329" t="s">
        <v>23</v>
      </c>
      <c r="J329" t="s">
        <v>75</v>
      </c>
      <c r="K329" s="5">
        <f>80 / 86400</f>
        <v>9.2592592592592596E-4</v>
      </c>
      <c r="L329" s="5">
        <f>40 / 86400</f>
        <v>4.6296296296296298E-4</v>
      </c>
    </row>
    <row r="330" spans="1:12" x14ac:dyDescent="0.25">
      <c r="A330" s="3">
        <v>45705.569560185184</v>
      </c>
      <c r="B330" t="s">
        <v>96</v>
      </c>
      <c r="C330" s="3">
        <v>45705.569791666669</v>
      </c>
      <c r="D330" t="s">
        <v>96</v>
      </c>
      <c r="E330" s="4">
        <v>1.8043285965919496E-2</v>
      </c>
      <c r="F330" s="4">
        <v>348570.21905915195</v>
      </c>
      <c r="G330" s="4">
        <v>348570.23710243794</v>
      </c>
      <c r="H330" s="5">
        <f t="shared" si="2"/>
        <v>0</v>
      </c>
      <c r="I330" t="s">
        <v>66</v>
      </c>
      <c r="J330" t="s">
        <v>84</v>
      </c>
      <c r="K330" s="5">
        <f>20 / 86400</f>
        <v>2.3148148148148149E-4</v>
      </c>
      <c r="L330" s="5">
        <f>20 / 86400</f>
        <v>2.3148148148148149E-4</v>
      </c>
    </row>
    <row r="331" spans="1:12" x14ac:dyDescent="0.25">
      <c r="A331" s="3">
        <v>45705.570023148146</v>
      </c>
      <c r="B331" t="s">
        <v>96</v>
      </c>
      <c r="C331" s="3">
        <v>45705.570486111115</v>
      </c>
      <c r="D331" t="s">
        <v>96</v>
      </c>
      <c r="E331" s="4">
        <v>0.16682286864519119</v>
      </c>
      <c r="F331" s="4">
        <v>348570.25019024755</v>
      </c>
      <c r="G331" s="4">
        <v>348570.41701311618</v>
      </c>
      <c r="H331" s="5">
        <f t="shared" si="2"/>
        <v>0</v>
      </c>
      <c r="I331" t="s">
        <v>20</v>
      </c>
      <c r="J331" t="s">
        <v>30</v>
      </c>
      <c r="K331" s="5">
        <f>40 / 86400</f>
        <v>4.6296296296296298E-4</v>
      </c>
      <c r="L331" s="5">
        <f>40 / 86400</f>
        <v>4.6296296296296298E-4</v>
      </c>
    </row>
    <row r="332" spans="1:12" x14ac:dyDescent="0.25">
      <c r="A332" s="3">
        <v>45705.57094907407</v>
      </c>
      <c r="B332" t="s">
        <v>96</v>
      </c>
      <c r="C332" s="3">
        <v>45705.571180555555</v>
      </c>
      <c r="D332" t="s">
        <v>96</v>
      </c>
      <c r="E332" s="4">
        <v>6.4858012020587927E-2</v>
      </c>
      <c r="F332" s="4">
        <v>348570.48239658237</v>
      </c>
      <c r="G332" s="4">
        <v>348570.54725459439</v>
      </c>
      <c r="H332" s="5">
        <f t="shared" si="2"/>
        <v>0</v>
      </c>
      <c r="I332" t="s">
        <v>32</v>
      </c>
      <c r="J332" t="s">
        <v>162</v>
      </c>
      <c r="K332" s="5">
        <f>20 / 86400</f>
        <v>2.3148148148148149E-4</v>
      </c>
      <c r="L332" s="5">
        <f>40 / 86400</f>
        <v>4.6296296296296298E-4</v>
      </c>
    </row>
    <row r="333" spans="1:12" x14ac:dyDescent="0.25">
      <c r="A333" s="3">
        <v>45705.571643518517</v>
      </c>
      <c r="B333" t="s">
        <v>281</v>
      </c>
      <c r="C333" s="3">
        <v>45705.572569444441</v>
      </c>
      <c r="D333" t="s">
        <v>96</v>
      </c>
      <c r="E333" s="4">
        <v>0.68083442252874371</v>
      </c>
      <c r="F333" s="4">
        <v>348570.59868929518</v>
      </c>
      <c r="G333" s="4">
        <v>348571.27952371771</v>
      </c>
      <c r="H333" s="5">
        <f t="shared" si="2"/>
        <v>0</v>
      </c>
      <c r="I333" t="s">
        <v>215</v>
      </c>
      <c r="J333" t="s">
        <v>145</v>
      </c>
      <c r="K333" s="5">
        <f>80 / 86400</f>
        <v>9.2592592592592596E-4</v>
      </c>
      <c r="L333" s="5">
        <f>20 / 86400</f>
        <v>2.3148148148148149E-4</v>
      </c>
    </row>
    <row r="334" spans="1:12" x14ac:dyDescent="0.25">
      <c r="A334" s="3">
        <v>45705.572800925926</v>
      </c>
      <c r="B334" t="s">
        <v>96</v>
      </c>
      <c r="C334" s="3">
        <v>45705.574884259258</v>
      </c>
      <c r="D334" t="s">
        <v>282</v>
      </c>
      <c r="E334" s="4">
        <v>1.5241357390284538</v>
      </c>
      <c r="F334" s="4">
        <v>348571.28406462539</v>
      </c>
      <c r="G334" s="4">
        <v>348572.80820036441</v>
      </c>
      <c r="H334" s="5">
        <f t="shared" si="2"/>
        <v>0</v>
      </c>
      <c r="I334" t="s">
        <v>240</v>
      </c>
      <c r="J334" t="s">
        <v>152</v>
      </c>
      <c r="K334" s="5">
        <f>180 / 86400</f>
        <v>2.0833333333333333E-3</v>
      </c>
      <c r="L334" s="5">
        <f>20 / 86400</f>
        <v>2.3148148148148149E-4</v>
      </c>
    </row>
    <row r="335" spans="1:12" x14ac:dyDescent="0.25">
      <c r="A335" s="3">
        <v>45705.575115740736</v>
      </c>
      <c r="B335" t="s">
        <v>282</v>
      </c>
      <c r="C335" s="3">
        <v>45705.575578703705</v>
      </c>
      <c r="D335" t="s">
        <v>79</v>
      </c>
      <c r="E335" s="4">
        <v>0.17055263400077819</v>
      </c>
      <c r="F335" s="4">
        <v>348572.83761905006</v>
      </c>
      <c r="G335" s="4">
        <v>348573.00817168411</v>
      </c>
      <c r="H335" s="5">
        <f t="shared" si="2"/>
        <v>0</v>
      </c>
      <c r="I335" t="s">
        <v>141</v>
      </c>
      <c r="J335" t="s">
        <v>30</v>
      </c>
      <c r="K335" s="5">
        <f>40 / 86400</f>
        <v>4.6296296296296298E-4</v>
      </c>
      <c r="L335" s="5">
        <f>40 / 86400</f>
        <v>4.6296296296296298E-4</v>
      </c>
    </row>
    <row r="336" spans="1:12" x14ac:dyDescent="0.25">
      <c r="A336" s="3">
        <v>45705.576041666667</v>
      </c>
      <c r="B336" t="s">
        <v>79</v>
      </c>
      <c r="C336" s="3">
        <v>45705.576273148152</v>
      </c>
      <c r="D336" t="s">
        <v>79</v>
      </c>
      <c r="E336" s="4">
        <v>1.8746076226234434E-2</v>
      </c>
      <c r="F336" s="4">
        <v>348573.04299078038</v>
      </c>
      <c r="G336" s="4">
        <v>348573.06173685659</v>
      </c>
      <c r="H336" s="5">
        <f t="shared" si="2"/>
        <v>0</v>
      </c>
      <c r="I336" t="s">
        <v>30</v>
      </c>
      <c r="J336" t="s">
        <v>84</v>
      </c>
      <c r="K336" s="5">
        <f>20 / 86400</f>
        <v>2.3148148148148149E-4</v>
      </c>
      <c r="L336" s="5">
        <f>40 / 86400</f>
        <v>4.6296296296296298E-4</v>
      </c>
    </row>
    <row r="337" spans="1:12" x14ac:dyDescent="0.25">
      <c r="A337" s="3">
        <v>45705.576736111107</v>
      </c>
      <c r="B337" t="s">
        <v>79</v>
      </c>
      <c r="C337" s="3">
        <v>45705.576967592591</v>
      </c>
      <c r="D337" t="s">
        <v>79</v>
      </c>
      <c r="E337" s="4">
        <v>7.4397516846656797E-3</v>
      </c>
      <c r="F337" s="4">
        <v>348573.06918663013</v>
      </c>
      <c r="G337" s="4">
        <v>348573.07662638184</v>
      </c>
      <c r="H337" s="5">
        <f t="shared" si="2"/>
        <v>0</v>
      </c>
      <c r="I337" t="s">
        <v>107</v>
      </c>
      <c r="J337" t="s">
        <v>144</v>
      </c>
      <c r="K337" s="5">
        <f>20 / 86400</f>
        <v>2.3148148148148149E-4</v>
      </c>
      <c r="L337" s="5">
        <f>20 / 86400</f>
        <v>2.3148148148148149E-4</v>
      </c>
    </row>
    <row r="338" spans="1:12" x14ac:dyDescent="0.25">
      <c r="A338" s="3">
        <v>45705.577199074076</v>
      </c>
      <c r="B338" t="s">
        <v>79</v>
      </c>
      <c r="C338" s="3">
        <v>45705.578032407408</v>
      </c>
      <c r="D338" t="s">
        <v>79</v>
      </c>
      <c r="E338" s="4">
        <v>0.47975134307146072</v>
      </c>
      <c r="F338" s="4">
        <v>348573.07931537792</v>
      </c>
      <c r="G338" s="4">
        <v>348573.55906672101</v>
      </c>
      <c r="H338" s="5">
        <f t="shared" si="2"/>
        <v>0</v>
      </c>
      <c r="I338" t="s">
        <v>150</v>
      </c>
      <c r="J338" t="s">
        <v>129</v>
      </c>
      <c r="K338" s="5">
        <f>72 / 86400</f>
        <v>8.3333333333333339E-4</v>
      </c>
      <c r="L338" s="5">
        <f>20 / 86400</f>
        <v>2.3148148148148149E-4</v>
      </c>
    </row>
    <row r="339" spans="1:12" x14ac:dyDescent="0.25">
      <c r="A339" s="3">
        <v>45705.578263888892</v>
      </c>
      <c r="B339" t="s">
        <v>79</v>
      </c>
      <c r="C339" s="3">
        <v>45705.581967592589</v>
      </c>
      <c r="D339" t="s">
        <v>79</v>
      </c>
      <c r="E339" s="4">
        <v>3.0838265516757963</v>
      </c>
      <c r="F339" s="4">
        <v>348573.61985397193</v>
      </c>
      <c r="G339" s="4">
        <v>348576.70368052361</v>
      </c>
      <c r="H339" s="5">
        <f t="shared" si="2"/>
        <v>0</v>
      </c>
      <c r="I339" t="s">
        <v>159</v>
      </c>
      <c r="J339" t="s">
        <v>216</v>
      </c>
      <c r="K339" s="5">
        <f>320 / 86400</f>
        <v>3.7037037037037038E-3</v>
      </c>
      <c r="L339" s="5">
        <f>40 / 86400</f>
        <v>4.6296296296296298E-4</v>
      </c>
    </row>
    <row r="340" spans="1:12" x14ac:dyDescent="0.25">
      <c r="A340" s="3">
        <v>45705.582430555558</v>
      </c>
      <c r="B340" t="s">
        <v>283</v>
      </c>
      <c r="C340" s="3">
        <v>45705.583356481482</v>
      </c>
      <c r="D340" t="s">
        <v>204</v>
      </c>
      <c r="E340" s="4">
        <v>0.92476636409759516</v>
      </c>
      <c r="F340" s="4">
        <v>348576.72999245423</v>
      </c>
      <c r="G340" s="4">
        <v>348577.65475881833</v>
      </c>
      <c r="H340" s="5">
        <f t="shared" si="2"/>
        <v>0</v>
      </c>
      <c r="I340" t="s">
        <v>160</v>
      </c>
      <c r="J340" t="s">
        <v>196</v>
      </c>
      <c r="K340" s="5">
        <f>80 / 86400</f>
        <v>9.2592592592592596E-4</v>
      </c>
      <c r="L340" s="5">
        <f>20 / 86400</f>
        <v>2.3148148148148149E-4</v>
      </c>
    </row>
    <row r="341" spans="1:12" x14ac:dyDescent="0.25">
      <c r="A341" s="3">
        <v>45705.583587962959</v>
      </c>
      <c r="B341" t="s">
        <v>284</v>
      </c>
      <c r="C341" s="3">
        <v>45705.584976851853</v>
      </c>
      <c r="D341" t="s">
        <v>111</v>
      </c>
      <c r="E341" s="4">
        <v>0.75478144264221192</v>
      </c>
      <c r="F341" s="4">
        <v>348577.67724038084</v>
      </c>
      <c r="G341" s="4">
        <v>348578.43202182348</v>
      </c>
      <c r="H341" s="5">
        <f t="shared" si="2"/>
        <v>0</v>
      </c>
      <c r="I341" t="s">
        <v>160</v>
      </c>
      <c r="J341" t="s">
        <v>141</v>
      </c>
      <c r="K341" s="5">
        <f>120 / 86400</f>
        <v>1.3888888888888889E-3</v>
      </c>
      <c r="L341" s="5">
        <f>20 / 86400</f>
        <v>2.3148148148148149E-4</v>
      </c>
    </row>
    <row r="342" spans="1:12" x14ac:dyDescent="0.25">
      <c r="A342" s="3">
        <v>45705.58520833333</v>
      </c>
      <c r="B342" t="s">
        <v>111</v>
      </c>
      <c r="C342" s="3">
        <v>45705.585902777777</v>
      </c>
      <c r="D342" t="s">
        <v>201</v>
      </c>
      <c r="E342" s="4">
        <v>0.52912399142980571</v>
      </c>
      <c r="F342" s="4">
        <v>348578.54203866824</v>
      </c>
      <c r="G342" s="4">
        <v>348579.07116265962</v>
      </c>
      <c r="H342" s="5">
        <f t="shared" si="2"/>
        <v>0</v>
      </c>
      <c r="I342" t="s">
        <v>240</v>
      </c>
      <c r="J342" t="s">
        <v>265</v>
      </c>
      <c r="K342" s="5">
        <f>60 / 86400</f>
        <v>6.9444444444444447E-4</v>
      </c>
      <c r="L342" s="5">
        <f>20 / 86400</f>
        <v>2.3148148148148149E-4</v>
      </c>
    </row>
    <row r="343" spans="1:12" x14ac:dyDescent="0.25">
      <c r="A343" s="3">
        <v>45705.586134259254</v>
      </c>
      <c r="B343" t="s">
        <v>198</v>
      </c>
      <c r="C343" s="3">
        <v>45705.58798611111</v>
      </c>
      <c r="D343" t="s">
        <v>121</v>
      </c>
      <c r="E343" s="4">
        <v>1.7685943153500556</v>
      </c>
      <c r="F343" s="4">
        <v>348579.20093681122</v>
      </c>
      <c r="G343" s="4">
        <v>348580.96953112655</v>
      </c>
      <c r="H343" s="5">
        <f t="shared" si="2"/>
        <v>0</v>
      </c>
      <c r="I343" t="s">
        <v>179</v>
      </c>
      <c r="J343" t="s">
        <v>202</v>
      </c>
      <c r="K343" s="5">
        <f>160 / 86400</f>
        <v>1.8518518518518519E-3</v>
      </c>
      <c r="L343" s="5">
        <f>20 / 86400</f>
        <v>2.3148148148148149E-4</v>
      </c>
    </row>
    <row r="344" spans="1:12" x14ac:dyDescent="0.25">
      <c r="A344" s="3">
        <v>45705.588217592594</v>
      </c>
      <c r="B344" t="s">
        <v>121</v>
      </c>
      <c r="C344" s="3">
        <v>45705.588449074072</v>
      </c>
      <c r="D344" t="s">
        <v>121</v>
      </c>
      <c r="E344" s="4">
        <v>4.0089331269264217E-3</v>
      </c>
      <c r="F344" s="4">
        <v>348580.99233808782</v>
      </c>
      <c r="G344" s="4">
        <v>348580.9963470209</v>
      </c>
      <c r="H344" s="5">
        <f t="shared" si="2"/>
        <v>0</v>
      </c>
      <c r="I344" t="s">
        <v>107</v>
      </c>
      <c r="J344" t="s">
        <v>144</v>
      </c>
      <c r="K344" s="5">
        <f>20 / 86400</f>
        <v>2.3148148148148149E-4</v>
      </c>
      <c r="L344" s="5">
        <f>49 / 86400</f>
        <v>5.6712962962962967E-4</v>
      </c>
    </row>
    <row r="345" spans="1:12" x14ac:dyDescent="0.25">
      <c r="A345" s="3">
        <v>45705.589016203703</v>
      </c>
      <c r="B345" t="s">
        <v>121</v>
      </c>
      <c r="C345" s="3">
        <v>45705.591562500005</v>
      </c>
      <c r="D345" t="s">
        <v>39</v>
      </c>
      <c r="E345" s="4">
        <v>2.4205715756416319</v>
      </c>
      <c r="F345" s="4">
        <v>348581.00460309978</v>
      </c>
      <c r="G345" s="4">
        <v>348583.42517467542</v>
      </c>
      <c r="H345" s="5">
        <f t="shared" si="2"/>
        <v>0</v>
      </c>
      <c r="I345" t="s">
        <v>167</v>
      </c>
      <c r="J345" t="s">
        <v>202</v>
      </c>
      <c r="K345" s="5">
        <f>220 / 86400</f>
        <v>2.5462962962962965E-3</v>
      </c>
      <c r="L345" s="5">
        <f>20 / 86400</f>
        <v>2.3148148148148149E-4</v>
      </c>
    </row>
    <row r="346" spans="1:12" x14ac:dyDescent="0.25">
      <c r="A346" s="3">
        <v>45705.591793981483</v>
      </c>
      <c r="B346" t="s">
        <v>219</v>
      </c>
      <c r="C346" s="3">
        <v>45705.593182870369</v>
      </c>
      <c r="D346" t="s">
        <v>195</v>
      </c>
      <c r="E346" s="4">
        <v>1.3694560495018959</v>
      </c>
      <c r="F346" s="4">
        <v>348583.50771002477</v>
      </c>
      <c r="G346" s="4">
        <v>348584.87716607429</v>
      </c>
      <c r="H346" s="5">
        <f t="shared" si="2"/>
        <v>0</v>
      </c>
      <c r="I346" t="s">
        <v>285</v>
      </c>
      <c r="J346" t="s">
        <v>227</v>
      </c>
      <c r="K346" s="5">
        <f>120 / 86400</f>
        <v>1.3888888888888889E-3</v>
      </c>
      <c r="L346" s="5">
        <f>40 / 86400</f>
        <v>4.6296296296296298E-4</v>
      </c>
    </row>
    <row r="347" spans="1:12" x14ac:dyDescent="0.25">
      <c r="A347" s="3">
        <v>45705.593645833331</v>
      </c>
      <c r="B347" t="s">
        <v>39</v>
      </c>
      <c r="C347" s="3">
        <v>45705.595729166671</v>
      </c>
      <c r="D347" t="s">
        <v>286</v>
      </c>
      <c r="E347" s="4">
        <v>1.3343021813035012</v>
      </c>
      <c r="F347" s="4">
        <v>348584.8859933546</v>
      </c>
      <c r="G347" s="4">
        <v>348586.22029553592</v>
      </c>
      <c r="H347" s="5">
        <f t="shared" si="2"/>
        <v>0</v>
      </c>
      <c r="I347" t="s">
        <v>251</v>
      </c>
      <c r="J347" t="s">
        <v>232</v>
      </c>
      <c r="K347" s="5">
        <f>180 / 86400</f>
        <v>2.0833333333333333E-3</v>
      </c>
      <c r="L347" s="5">
        <f>20 / 86400</f>
        <v>2.3148148148148149E-4</v>
      </c>
    </row>
    <row r="348" spans="1:12" x14ac:dyDescent="0.25">
      <c r="A348" s="3">
        <v>45705.595960648148</v>
      </c>
      <c r="B348" t="s">
        <v>287</v>
      </c>
      <c r="C348" s="3">
        <v>45705.597581018519</v>
      </c>
      <c r="D348" t="s">
        <v>191</v>
      </c>
      <c r="E348" s="4">
        <v>1.1627150270342828</v>
      </c>
      <c r="F348" s="4">
        <v>348586.38477729168</v>
      </c>
      <c r="G348" s="4">
        <v>348587.54749231867</v>
      </c>
      <c r="H348" s="5">
        <f t="shared" si="2"/>
        <v>0</v>
      </c>
      <c r="I348" t="s">
        <v>240</v>
      </c>
      <c r="J348" t="s">
        <v>152</v>
      </c>
      <c r="K348" s="5">
        <f>140 / 86400</f>
        <v>1.6203703703703703E-3</v>
      </c>
      <c r="L348" s="5">
        <f>20 / 86400</f>
        <v>2.3148148148148149E-4</v>
      </c>
    </row>
    <row r="349" spans="1:12" x14ac:dyDescent="0.25">
      <c r="A349" s="3">
        <v>45705.597812499997</v>
      </c>
      <c r="B349" t="s">
        <v>191</v>
      </c>
      <c r="C349" s="3">
        <v>45705.600439814814</v>
      </c>
      <c r="D349" t="s">
        <v>190</v>
      </c>
      <c r="E349" s="4">
        <v>2.2978830930590628</v>
      </c>
      <c r="F349" s="4">
        <v>348587.6515236753</v>
      </c>
      <c r="G349" s="4">
        <v>348589.94940676837</v>
      </c>
      <c r="H349" s="5">
        <f t="shared" si="2"/>
        <v>0</v>
      </c>
      <c r="I349" t="s">
        <v>160</v>
      </c>
      <c r="J349" t="s">
        <v>157</v>
      </c>
      <c r="K349" s="5">
        <f>227 / 86400</f>
        <v>2.627314814814815E-3</v>
      </c>
      <c r="L349" s="5">
        <f>14 / 86400</f>
        <v>1.6203703703703703E-4</v>
      </c>
    </row>
    <row r="350" spans="1:12" x14ac:dyDescent="0.25">
      <c r="A350" s="3">
        <v>45705.600601851853</v>
      </c>
      <c r="B350" t="s">
        <v>190</v>
      </c>
      <c r="C350" s="3">
        <v>45705.602222222224</v>
      </c>
      <c r="D350" t="s">
        <v>188</v>
      </c>
      <c r="E350" s="4">
        <v>1.7550132355690002</v>
      </c>
      <c r="F350" s="4">
        <v>348589.95251066063</v>
      </c>
      <c r="G350" s="4">
        <v>348591.70752389624</v>
      </c>
      <c r="H350" s="5">
        <f t="shared" si="2"/>
        <v>0</v>
      </c>
      <c r="I350" t="s">
        <v>167</v>
      </c>
      <c r="J350" t="s">
        <v>240</v>
      </c>
      <c r="K350" s="5">
        <f>140 / 86400</f>
        <v>1.6203703703703703E-3</v>
      </c>
      <c r="L350" s="5">
        <f>27 / 86400</f>
        <v>3.1250000000000001E-4</v>
      </c>
    </row>
    <row r="351" spans="1:12" x14ac:dyDescent="0.25">
      <c r="A351" s="3">
        <v>45705.602534722224</v>
      </c>
      <c r="B351" t="s">
        <v>188</v>
      </c>
      <c r="C351" s="3">
        <v>45705.604618055557</v>
      </c>
      <c r="D351" t="s">
        <v>187</v>
      </c>
      <c r="E351" s="4">
        <v>1.564772183060646</v>
      </c>
      <c r="F351" s="4">
        <v>348591.71119533404</v>
      </c>
      <c r="G351" s="4">
        <v>348593.27596751705</v>
      </c>
      <c r="H351" s="5">
        <f t="shared" si="2"/>
        <v>0</v>
      </c>
      <c r="I351" t="s">
        <v>167</v>
      </c>
      <c r="J351" t="s">
        <v>145</v>
      </c>
      <c r="K351" s="5">
        <f>180 / 86400</f>
        <v>2.0833333333333333E-3</v>
      </c>
      <c r="L351" s="5">
        <f>11 / 86400</f>
        <v>1.273148148148148E-4</v>
      </c>
    </row>
    <row r="352" spans="1:12" x14ac:dyDescent="0.25">
      <c r="A352" s="3">
        <v>45705.604745370365</v>
      </c>
      <c r="B352" t="s">
        <v>187</v>
      </c>
      <c r="C352" s="3">
        <v>45705.607118055559</v>
      </c>
      <c r="D352" t="s">
        <v>207</v>
      </c>
      <c r="E352" s="4">
        <v>1.2623739838600159</v>
      </c>
      <c r="F352" s="4">
        <v>348593.27832026785</v>
      </c>
      <c r="G352" s="4">
        <v>348594.54069425171</v>
      </c>
      <c r="H352" s="5">
        <f t="shared" si="2"/>
        <v>0</v>
      </c>
      <c r="I352" t="s">
        <v>240</v>
      </c>
      <c r="J352" t="s">
        <v>135</v>
      </c>
      <c r="K352" s="5">
        <f>205 / 86400</f>
        <v>2.3726851851851851E-3</v>
      </c>
      <c r="L352" s="5">
        <f>30 / 86400</f>
        <v>3.4722222222222224E-4</v>
      </c>
    </row>
    <row r="353" spans="1:12" x14ac:dyDescent="0.25">
      <c r="A353" s="3">
        <v>45705.607465277775</v>
      </c>
      <c r="B353" t="s">
        <v>207</v>
      </c>
      <c r="C353" s="3">
        <v>45705.608391203699</v>
      </c>
      <c r="D353" t="s">
        <v>212</v>
      </c>
      <c r="E353" s="4">
        <v>0.57003348147869115</v>
      </c>
      <c r="F353" s="4">
        <v>348594.54644176707</v>
      </c>
      <c r="G353" s="4">
        <v>348595.11647524859</v>
      </c>
      <c r="H353" s="5">
        <f t="shared" si="2"/>
        <v>0</v>
      </c>
      <c r="I353" t="s">
        <v>196</v>
      </c>
      <c r="J353" t="s">
        <v>288</v>
      </c>
      <c r="K353" s="5">
        <f>80 / 86400</f>
        <v>9.2592592592592596E-4</v>
      </c>
      <c r="L353" s="5">
        <f>3 / 86400</f>
        <v>3.4722222222222222E-5</v>
      </c>
    </row>
    <row r="354" spans="1:12" x14ac:dyDescent="0.25">
      <c r="A354" s="3">
        <v>45705.608425925922</v>
      </c>
      <c r="B354" t="s">
        <v>212</v>
      </c>
      <c r="C354" s="3">
        <v>45705.611180555556</v>
      </c>
      <c r="D354" t="s">
        <v>289</v>
      </c>
      <c r="E354" s="4">
        <v>1.1026557571291924</v>
      </c>
      <c r="F354" s="4">
        <v>348595.11966412247</v>
      </c>
      <c r="G354" s="4">
        <v>348596.22231987957</v>
      </c>
      <c r="H354" s="5">
        <f t="shared" si="2"/>
        <v>0</v>
      </c>
      <c r="I354" t="s">
        <v>202</v>
      </c>
      <c r="J354" t="s">
        <v>32</v>
      </c>
      <c r="K354" s="5">
        <f>238 / 86400</f>
        <v>2.7546296296296294E-3</v>
      </c>
      <c r="L354" s="5">
        <f>38 / 86400</f>
        <v>4.3981481481481481E-4</v>
      </c>
    </row>
    <row r="355" spans="1:12" x14ac:dyDescent="0.25">
      <c r="A355" s="3">
        <v>45705.611620370371</v>
      </c>
      <c r="B355" t="s">
        <v>289</v>
      </c>
      <c r="C355" s="3">
        <v>45705.611851851849</v>
      </c>
      <c r="D355" t="s">
        <v>289</v>
      </c>
      <c r="E355" s="4">
        <v>1.0082345843315124E-2</v>
      </c>
      <c r="F355" s="4">
        <v>348596.23297653976</v>
      </c>
      <c r="G355" s="4">
        <v>348596.24305888556</v>
      </c>
      <c r="H355" s="5">
        <f t="shared" si="2"/>
        <v>0</v>
      </c>
      <c r="I355" t="s">
        <v>142</v>
      </c>
      <c r="J355" t="s">
        <v>143</v>
      </c>
      <c r="K355" s="5">
        <f>20 / 86400</f>
        <v>2.3148148148148149E-4</v>
      </c>
      <c r="L355" s="5">
        <f>66 / 86400</f>
        <v>7.6388888888888893E-4</v>
      </c>
    </row>
    <row r="356" spans="1:12" x14ac:dyDescent="0.25">
      <c r="A356" s="3">
        <v>45705.612615740742</v>
      </c>
      <c r="B356" t="s">
        <v>289</v>
      </c>
      <c r="C356" s="3">
        <v>45705.613611111112</v>
      </c>
      <c r="D356" t="s">
        <v>290</v>
      </c>
      <c r="E356" s="4">
        <v>0.31968383300304415</v>
      </c>
      <c r="F356" s="4">
        <v>348596.25013521878</v>
      </c>
      <c r="G356" s="4">
        <v>348596.56981905183</v>
      </c>
      <c r="H356" s="5">
        <f t="shared" si="2"/>
        <v>0</v>
      </c>
      <c r="I356" t="s">
        <v>27</v>
      </c>
      <c r="J356" t="s">
        <v>66</v>
      </c>
      <c r="K356" s="5">
        <f>86 / 86400</f>
        <v>9.9537037037037042E-4</v>
      </c>
      <c r="L356" s="5">
        <f>14 / 86400</f>
        <v>1.6203703703703703E-4</v>
      </c>
    </row>
    <row r="357" spans="1:12" x14ac:dyDescent="0.25">
      <c r="A357" s="3">
        <v>45705.613773148143</v>
      </c>
      <c r="B357" t="s">
        <v>290</v>
      </c>
      <c r="C357" s="3">
        <v>45705.632650462961</v>
      </c>
      <c r="D357" t="s">
        <v>183</v>
      </c>
      <c r="E357" s="4">
        <v>0.36667390781641007</v>
      </c>
      <c r="F357" s="4">
        <v>348596.5772610564</v>
      </c>
      <c r="G357" s="4">
        <v>348596.94393496425</v>
      </c>
      <c r="H357" s="5">
        <f t="shared" si="2"/>
        <v>0</v>
      </c>
      <c r="I357" t="s">
        <v>45</v>
      </c>
      <c r="J357" t="s">
        <v>144</v>
      </c>
      <c r="K357" s="5">
        <f>1631 / 86400</f>
        <v>1.8877314814814816E-2</v>
      </c>
      <c r="L357" s="5">
        <f>20 / 86400</f>
        <v>2.3148148148148149E-4</v>
      </c>
    </row>
    <row r="358" spans="1:12" x14ac:dyDescent="0.25">
      <c r="A358" s="3">
        <v>45705.632881944446</v>
      </c>
      <c r="B358" t="s">
        <v>183</v>
      </c>
      <c r="C358" s="3">
        <v>45705.63380787037</v>
      </c>
      <c r="D358" t="s">
        <v>291</v>
      </c>
      <c r="E358" s="4">
        <v>0.35449998879432676</v>
      </c>
      <c r="F358" s="4">
        <v>348596.94707415794</v>
      </c>
      <c r="G358" s="4">
        <v>348597.30157414672</v>
      </c>
      <c r="H358" s="5">
        <f t="shared" si="2"/>
        <v>0</v>
      </c>
      <c r="I358" t="s">
        <v>117</v>
      </c>
      <c r="J358" t="s">
        <v>62</v>
      </c>
      <c r="K358" s="5">
        <f>80 / 86400</f>
        <v>9.2592592592592596E-4</v>
      </c>
      <c r="L358" s="5">
        <f>20 / 86400</f>
        <v>2.3148148148148149E-4</v>
      </c>
    </row>
    <row r="359" spans="1:12" x14ac:dyDescent="0.25">
      <c r="A359" s="3">
        <v>45705.634039351848</v>
      </c>
      <c r="B359" t="s">
        <v>291</v>
      </c>
      <c r="C359" s="3">
        <v>45705.634571759263</v>
      </c>
      <c r="D359" t="s">
        <v>35</v>
      </c>
      <c r="E359" s="4">
        <v>0.20012647622823715</v>
      </c>
      <c r="F359" s="4">
        <v>348597.31039242621</v>
      </c>
      <c r="G359" s="4">
        <v>348597.51051890245</v>
      </c>
      <c r="H359" s="5">
        <f t="shared" si="2"/>
        <v>0</v>
      </c>
      <c r="I359" t="s">
        <v>27</v>
      </c>
      <c r="J359" t="s">
        <v>62</v>
      </c>
      <c r="K359" s="5">
        <f>46 / 86400</f>
        <v>5.3240740740740744E-4</v>
      </c>
      <c r="L359" s="5">
        <f>44 / 86400</f>
        <v>5.0925925925925921E-4</v>
      </c>
    </row>
    <row r="360" spans="1:12" x14ac:dyDescent="0.25">
      <c r="A360" s="3">
        <v>45705.635081018518</v>
      </c>
      <c r="B360" t="s">
        <v>35</v>
      </c>
      <c r="C360" s="3">
        <v>45705.635312500002</v>
      </c>
      <c r="D360" t="s">
        <v>35</v>
      </c>
      <c r="E360" s="4">
        <v>1.6916478276252746E-3</v>
      </c>
      <c r="F360" s="4">
        <v>348597.51820904302</v>
      </c>
      <c r="G360" s="4">
        <v>348597.51990069088</v>
      </c>
      <c r="H360" s="5">
        <f t="shared" si="2"/>
        <v>0</v>
      </c>
      <c r="I360" t="s">
        <v>142</v>
      </c>
      <c r="J360" t="s">
        <v>73</v>
      </c>
      <c r="K360" s="5">
        <f>20 / 86400</f>
        <v>2.3148148148148149E-4</v>
      </c>
      <c r="L360" s="5">
        <f>120 / 86400</f>
        <v>1.3888888888888889E-3</v>
      </c>
    </row>
    <row r="361" spans="1:12" x14ac:dyDescent="0.25">
      <c r="A361" s="3">
        <v>45705.636701388888</v>
      </c>
      <c r="B361" t="s">
        <v>210</v>
      </c>
      <c r="C361" s="3">
        <v>45705.636932870373</v>
      </c>
      <c r="D361" t="s">
        <v>210</v>
      </c>
      <c r="E361" s="4">
        <v>9.2345088720321652E-4</v>
      </c>
      <c r="F361" s="4">
        <v>348597.53505497845</v>
      </c>
      <c r="G361" s="4">
        <v>348597.53597842931</v>
      </c>
      <c r="H361" s="5">
        <f t="shared" si="2"/>
        <v>0</v>
      </c>
      <c r="I361" t="s">
        <v>144</v>
      </c>
      <c r="J361" t="s">
        <v>73</v>
      </c>
      <c r="K361" s="5">
        <f>20 / 86400</f>
        <v>2.3148148148148149E-4</v>
      </c>
      <c r="L361" s="5">
        <f>60 / 86400</f>
        <v>6.9444444444444447E-4</v>
      </c>
    </row>
    <row r="362" spans="1:12" x14ac:dyDescent="0.25">
      <c r="A362" s="3">
        <v>45705.63762731482</v>
      </c>
      <c r="B362" t="s">
        <v>210</v>
      </c>
      <c r="C362" s="3">
        <v>45705.637858796297</v>
      </c>
      <c r="D362" t="s">
        <v>210</v>
      </c>
      <c r="E362" s="4">
        <v>3.3101863861083984E-3</v>
      </c>
      <c r="F362" s="4">
        <v>348597.54642873589</v>
      </c>
      <c r="G362" s="4">
        <v>348597.54973892227</v>
      </c>
      <c r="H362" s="5">
        <f t="shared" si="2"/>
        <v>0</v>
      </c>
      <c r="I362" t="s">
        <v>143</v>
      </c>
      <c r="J362" t="s">
        <v>144</v>
      </c>
      <c r="K362" s="5">
        <f>20 / 86400</f>
        <v>2.3148148148148149E-4</v>
      </c>
      <c r="L362" s="5">
        <f>200 / 86400</f>
        <v>2.3148148148148147E-3</v>
      </c>
    </row>
    <row r="363" spans="1:12" x14ac:dyDescent="0.25">
      <c r="A363" s="3">
        <v>45705.640173611115</v>
      </c>
      <c r="B363" t="s">
        <v>210</v>
      </c>
      <c r="C363" s="3">
        <v>45705.640405092592</v>
      </c>
      <c r="D363" t="s">
        <v>210</v>
      </c>
      <c r="E363" s="4">
        <v>1.5524950623512267E-3</v>
      </c>
      <c r="F363" s="4">
        <v>348597.58693744673</v>
      </c>
      <c r="G363" s="4">
        <v>348597.58848994179</v>
      </c>
      <c r="H363" s="5">
        <f t="shared" si="2"/>
        <v>0</v>
      </c>
      <c r="I363" t="s">
        <v>144</v>
      </c>
      <c r="J363" t="s">
        <v>73</v>
      </c>
      <c r="K363" s="5">
        <f>20 / 86400</f>
        <v>2.3148148148148149E-4</v>
      </c>
      <c r="L363" s="5">
        <f>20 / 86400</f>
        <v>2.3148148148148149E-4</v>
      </c>
    </row>
    <row r="364" spans="1:12" x14ac:dyDescent="0.25">
      <c r="A364" s="3">
        <v>45705.64063657407</v>
      </c>
      <c r="B364" t="s">
        <v>210</v>
      </c>
      <c r="C364" s="3">
        <v>45705.640868055554</v>
      </c>
      <c r="D364" t="s">
        <v>210</v>
      </c>
      <c r="E364" s="4">
        <v>1.0598703026771545E-3</v>
      </c>
      <c r="F364" s="4">
        <v>348597.59224219335</v>
      </c>
      <c r="G364" s="4">
        <v>348597.59330206364</v>
      </c>
      <c r="H364" s="5">
        <f t="shared" si="2"/>
        <v>0</v>
      </c>
      <c r="I364" t="s">
        <v>143</v>
      </c>
      <c r="J364" t="s">
        <v>73</v>
      </c>
      <c r="K364" s="5">
        <f>20 / 86400</f>
        <v>2.3148148148148149E-4</v>
      </c>
      <c r="L364" s="5">
        <f>17 / 86400</f>
        <v>1.9675925925925926E-4</v>
      </c>
    </row>
    <row r="365" spans="1:12" x14ac:dyDescent="0.25">
      <c r="A365" s="3">
        <v>45705.641064814816</v>
      </c>
      <c r="B365" t="s">
        <v>35</v>
      </c>
      <c r="C365" s="3">
        <v>45705.64271990741</v>
      </c>
      <c r="D365" t="s">
        <v>186</v>
      </c>
      <c r="E365" s="4">
        <v>0.61946747940778735</v>
      </c>
      <c r="F365" s="4">
        <v>348597.60170519922</v>
      </c>
      <c r="G365" s="4">
        <v>348598.22117267863</v>
      </c>
      <c r="H365" s="5">
        <f t="shared" si="2"/>
        <v>0</v>
      </c>
      <c r="I365" t="s">
        <v>216</v>
      </c>
      <c r="J365" t="s">
        <v>62</v>
      </c>
      <c r="K365" s="5">
        <f>143 / 86400</f>
        <v>1.6550925925925926E-3</v>
      </c>
      <c r="L365" s="5">
        <f>20 / 86400</f>
        <v>2.3148148148148149E-4</v>
      </c>
    </row>
    <row r="366" spans="1:12" x14ac:dyDescent="0.25">
      <c r="A366" s="3">
        <v>45705.642951388887</v>
      </c>
      <c r="B366" t="s">
        <v>212</v>
      </c>
      <c r="C366" s="3">
        <v>45705.643657407403</v>
      </c>
      <c r="D366" t="s">
        <v>207</v>
      </c>
      <c r="E366" s="4">
        <v>0.51341099339723584</v>
      </c>
      <c r="F366" s="4">
        <v>348598.29673867527</v>
      </c>
      <c r="G366" s="4">
        <v>348598.81014966872</v>
      </c>
      <c r="H366" s="5">
        <f t="shared" si="2"/>
        <v>0</v>
      </c>
      <c r="I366" t="s">
        <v>147</v>
      </c>
      <c r="J366" t="s">
        <v>152</v>
      </c>
      <c r="K366" s="5">
        <f>61 / 86400</f>
        <v>7.0601851851851847E-4</v>
      </c>
      <c r="L366" s="5">
        <f>20 / 86400</f>
        <v>2.3148148148148149E-4</v>
      </c>
    </row>
    <row r="367" spans="1:12" x14ac:dyDescent="0.25">
      <c r="A367" s="3">
        <v>45705.643888888888</v>
      </c>
      <c r="B367" t="s">
        <v>207</v>
      </c>
      <c r="C367" s="3">
        <v>45705.64434027778</v>
      </c>
      <c r="D367" t="s">
        <v>186</v>
      </c>
      <c r="E367" s="4">
        <v>0.25612666589021682</v>
      </c>
      <c r="F367" s="4">
        <v>348598.89414262917</v>
      </c>
      <c r="G367" s="4">
        <v>348599.15026929503</v>
      </c>
      <c r="H367" s="5">
        <f t="shared" si="2"/>
        <v>0</v>
      </c>
      <c r="I367" t="s">
        <v>216</v>
      </c>
      <c r="J367" t="s">
        <v>129</v>
      </c>
      <c r="K367" s="5">
        <f>39 / 86400</f>
        <v>4.5138888888888887E-4</v>
      </c>
      <c r="L367" s="5">
        <f>4 / 86400</f>
        <v>4.6296296296296294E-5</v>
      </c>
    </row>
    <row r="368" spans="1:12" x14ac:dyDescent="0.25">
      <c r="A368" s="3">
        <v>45705.644386574073</v>
      </c>
      <c r="B368" t="s">
        <v>186</v>
      </c>
      <c r="C368" s="3">
        <v>45705.645902777775</v>
      </c>
      <c r="D368" t="s">
        <v>213</v>
      </c>
      <c r="E368" s="4">
        <v>1.5110222935080528</v>
      </c>
      <c r="F368" s="4">
        <v>348599.15315725678</v>
      </c>
      <c r="G368" s="4">
        <v>348600.66417955031</v>
      </c>
      <c r="H368" s="5">
        <f t="shared" si="2"/>
        <v>0</v>
      </c>
      <c r="I368" t="s">
        <v>192</v>
      </c>
      <c r="J368" t="s">
        <v>196</v>
      </c>
      <c r="K368" s="5">
        <f>131 / 86400</f>
        <v>1.5162037037037036E-3</v>
      </c>
      <c r="L368" s="5">
        <f>40 / 86400</f>
        <v>4.6296296296296298E-4</v>
      </c>
    </row>
    <row r="369" spans="1:12" x14ac:dyDescent="0.25">
      <c r="A369" s="3">
        <v>45705.646365740744</v>
      </c>
      <c r="B369" t="s">
        <v>187</v>
      </c>
      <c r="C369" s="3">
        <v>45705.648912037039</v>
      </c>
      <c r="D369" t="s">
        <v>190</v>
      </c>
      <c r="E369" s="4">
        <v>2.630154458463192</v>
      </c>
      <c r="F369" s="4">
        <v>348600.74389118596</v>
      </c>
      <c r="G369" s="4">
        <v>348603.37404564442</v>
      </c>
      <c r="H369" s="5">
        <f t="shared" si="2"/>
        <v>0</v>
      </c>
      <c r="I369" t="s">
        <v>65</v>
      </c>
      <c r="J369" t="s">
        <v>86</v>
      </c>
      <c r="K369" s="5">
        <f>220 / 86400</f>
        <v>2.5462962962962965E-3</v>
      </c>
      <c r="L369" s="5">
        <f>20 / 86400</f>
        <v>2.3148148148148149E-4</v>
      </c>
    </row>
    <row r="370" spans="1:12" x14ac:dyDescent="0.25">
      <c r="A370" s="3">
        <v>45705.649143518516</v>
      </c>
      <c r="B370" t="s">
        <v>190</v>
      </c>
      <c r="C370" s="3">
        <v>45705.650729166664</v>
      </c>
      <c r="D370" t="s">
        <v>191</v>
      </c>
      <c r="E370" s="4">
        <v>1.2723266592025757</v>
      </c>
      <c r="F370" s="4">
        <v>348603.4370276517</v>
      </c>
      <c r="G370" s="4">
        <v>348604.70935431094</v>
      </c>
      <c r="H370" s="5">
        <f t="shared" si="2"/>
        <v>0</v>
      </c>
      <c r="I370" t="s">
        <v>222</v>
      </c>
      <c r="J370" t="s">
        <v>206</v>
      </c>
      <c r="K370" s="5">
        <f>137 / 86400</f>
        <v>1.5856481481481481E-3</v>
      </c>
      <c r="L370" s="5">
        <f>20 / 86400</f>
        <v>2.3148148148148149E-4</v>
      </c>
    </row>
    <row r="371" spans="1:12" x14ac:dyDescent="0.25">
      <c r="A371" s="3">
        <v>45705.650960648149</v>
      </c>
      <c r="B371" t="s">
        <v>292</v>
      </c>
      <c r="C371" s="3">
        <v>45705.652118055557</v>
      </c>
      <c r="D371" t="s">
        <v>191</v>
      </c>
      <c r="E371" s="4">
        <v>0.91738140463829043</v>
      </c>
      <c r="F371" s="4">
        <v>348604.85579120286</v>
      </c>
      <c r="G371" s="4">
        <v>348605.77317260747</v>
      </c>
      <c r="H371" s="5">
        <f t="shared" si="2"/>
        <v>0</v>
      </c>
      <c r="I371" t="s">
        <v>189</v>
      </c>
      <c r="J371" t="s">
        <v>206</v>
      </c>
      <c r="K371" s="5">
        <f>100 / 86400</f>
        <v>1.1574074074074073E-3</v>
      </c>
      <c r="L371" s="5">
        <f>2 / 86400</f>
        <v>2.3148148148148147E-5</v>
      </c>
    </row>
    <row r="372" spans="1:12" x14ac:dyDescent="0.25">
      <c r="A372" s="3">
        <v>45705.652141203704</v>
      </c>
      <c r="B372" t="s">
        <v>191</v>
      </c>
      <c r="C372" s="3">
        <v>45705.65325231482</v>
      </c>
      <c r="D372" t="s">
        <v>217</v>
      </c>
      <c r="E372" s="4">
        <v>1.0565996237397195</v>
      </c>
      <c r="F372" s="4">
        <v>348605.77561567113</v>
      </c>
      <c r="G372" s="4">
        <v>348606.83221529482</v>
      </c>
      <c r="H372" s="5">
        <f t="shared" si="2"/>
        <v>0</v>
      </c>
      <c r="I372" t="s">
        <v>159</v>
      </c>
      <c r="J372" t="s">
        <v>202</v>
      </c>
      <c r="K372" s="5">
        <f>96 / 86400</f>
        <v>1.1111111111111111E-3</v>
      </c>
      <c r="L372" s="5">
        <f>20 / 86400</f>
        <v>2.3148148148148149E-4</v>
      </c>
    </row>
    <row r="373" spans="1:12" x14ac:dyDescent="0.25">
      <c r="A373" s="3">
        <v>45705.653483796297</v>
      </c>
      <c r="B373" t="s">
        <v>217</v>
      </c>
      <c r="C373" s="3">
        <v>45705.656493055554</v>
      </c>
      <c r="D373" t="s">
        <v>220</v>
      </c>
      <c r="E373" s="4">
        <v>2.8751457223296164</v>
      </c>
      <c r="F373" s="4">
        <v>348607.043514308</v>
      </c>
      <c r="G373" s="4">
        <v>348609.91866003029</v>
      </c>
      <c r="H373" s="5">
        <f t="shared" si="2"/>
        <v>0</v>
      </c>
      <c r="I373" t="s">
        <v>47</v>
      </c>
      <c r="J373" t="s">
        <v>202</v>
      </c>
      <c r="K373" s="5">
        <f>260 / 86400</f>
        <v>3.0092592592592593E-3</v>
      </c>
      <c r="L373" s="5">
        <f>15 / 86400</f>
        <v>1.7361111111111112E-4</v>
      </c>
    </row>
    <row r="374" spans="1:12" x14ac:dyDescent="0.25">
      <c r="A374" s="3">
        <v>45705.656666666662</v>
      </c>
      <c r="B374" t="s">
        <v>220</v>
      </c>
      <c r="C374" s="3">
        <v>45705.65898148148</v>
      </c>
      <c r="D374" t="s">
        <v>198</v>
      </c>
      <c r="E374" s="4">
        <v>2.4257313064336778</v>
      </c>
      <c r="F374" s="4">
        <v>348609.92060253263</v>
      </c>
      <c r="G374" s="4">
        <v>348612.34633383906</v>
      </c>
      <c r="H374" s="5">
        <f t="shared" si="2"/>
        <v>0</v>
      </c>
      <c r="I374" t="s">
        <v>29</v>
      </c>
      <c r="J374" t="s">
        <v>215</v>
      </c>
      <c r="K374" s="5">
        <f>200 / 86400</f>
        <v>2.3148148148148147E-3</v>
      </c>
      <c r="L374" s="5">
        <f>80 / 86400</f>
        <v>9.2592592592592596E-4</v>
      </c>
    </row>
    <row r="375" spans="1:12" x14ac:dyDescent="0.25">
      <c r="A375" s="3">
        <v>45705.659907407404</v>
      </c>
      <c r="B375" t="s">
        <v>198</v>
      </c>
      <c r="C375" s="3">
        <v>45705.664305555554</v>
      </c>
      <c r="D375" t="s">
        <v>201</v>
      </c>
      <c r="E375" s="4">
        <v>3.2966355198621748</v>
      </c>
      <c r="F375" s="4">
        <v>348612.36465460982</v>
      </c>
      <c r="G375" s="4">
        <v>348615.66129012965</v>
      </c>
      <c r="H375" s="5">
        <f t="shared" si="2"/>
        <v>0</v>
      </c>
      <c r="I375" t="s">
        <v>251</v>
      </c>
      <c r="J375" t="s">
        <v>145</v>
      </c>
      <c r="K375" s="5">
        <f>380 / 86400</f>
        <v>4.3981481481481484E-3</v>
      </c>
      <c r="L375" s="5">
        <f>20 / 86400</f>
        <v>2.3148148148148149E-4</v>
      </c>
    </row>
    <row r="376" spans="1:12" x14ac:dyDescent="0.25">
      <c r="A376" s="3">
        <v>45705.664537037039</v>
      </c>
      <c r="B376" t="s">
        <v>201</v>
      </c>
      <c r="C376" s="3">
        <v>45705.664768518516</v>
      </c>
      <c r="D376" t="s">
        <v>201</v>
      </c>
      <c r="E376" s="4">
        <v>8.7029123306274422E-3</v>
      </c>
      <c r="F376" s="4">
        <v>348615.70334485319</v>
      </c>
      <c r="G376" s="4">
        <v>348615.7120477655</v>
      </c>
      <c r="H376" s="5">
        <f t="shared" si="2"/>
        <v>0</v>
      </c>
      <c r="I376" t="s">
        <v>153</v>
      </c>
      <c r="J376" t="s">
        <v>143</v>
      </c>
      <c r="K376" s="5">
        <f>20 / 86400</f>
        <v>2.3148148148148149E-4</v>
      </c>
      <c r="L376" s="5">
        <f>120 / 86400</f>
        <v>1.3888888888888889E-3</v>
      </c>
    </row>
    <row r="377" spans="1:12" x14ac:dyDescent="0.25">
      <c r="A377" s="3">
        <v>45705.66615740741</v>
      </c>
      <c r="B377" t="s">
        <v>201</v>
      </c>
      <c r="C377" s="3">
        <v>45705.666388888887</v>
      </c>
      <c r="D377" t="s">
        <v>201</v>
      </c>
      <c r="E377" s="4">
        <v>1.1062232851982118E-3</v>
      </c>
      <c r="F377" s="4">
        <v>348615.73771307612</v>
      </c>
      <c r="G377" s="4">
        <v>348615.73881929938</v>
      </c>
      <c r="H377" s="5">
        <f t="shared" si="2"/>
        <v>0</v>
      </c>
      <c r="I377" t="s">
        <v>144</v>
      </c>
      <c r="J377" t="s">
        <v>73</v>
      </c>
      <c r="K377" s="5">
        <f>20 / 86400</f>
        <v>2.3148148148148149E-4</v>
      </c>
      <c r="L377" s="5">
        <f>37 / 86400</f>
        <v>4.2824074074074075E-4</v>
      </c>
    </row>
    <row r="378" spans="1:12" x14ac:dyDescent="0.25">
      <c r="A378" s="3">
        <v>45705.666817129633</v>
      </c>
      <c r="B378" t="s">
        <v>201</v>
      </c>
      <c r="C378" s="3">
        <v>45705.667766203704</v>
      </c>
      <c r="D378" t="s">
        <v>201</v>
      </c>
      <c r="E378" s="4">
        <v>0.90049273812770847</v>
      </c>
      <c r="F378" s="4">
        <v>348615.74776780629</v>
      </c>
      <c r="G378" s="4">
        <v>348616.6482605444</v>
      </c>
      <c r="H378" s="5">
        <f t="shared" si="2"/>
        <v>0</v>
      </c>
      <c r="I378" t="s">
        <v>167</v>
      </c>
      <c r="J378" t="s">
        <v>202</v>
      </c>
      <c r="K378" s="5">
        <f>82 / 86400</f>
        <v>9.4907407407407408E-4</v>
      </c>
      <c r="L378" s="5">
        <f>20 / 86400</f>
        <v>2.3148148148148149E-4</v>
      </c>
    </row>
    <row r="379" spans="1:12" x14ac:dyDescent="0.25">
      <c r="A379" s="3">
        <v>45705.667997685188</v>
      </c>
      <c r="B379" t="s">
        <v>201</v>
      </c>
      <c r="C379" s="3">
        <v>45705.669386574074</v>
      </c>
      <c r="D379" t="s">
        <v>293</v>
      </c>
      <c r="E379" s="4">
        <v>1.3111943135261535</v>
      </c>
      <c r="F379" s="4">
        <v>348616.67271528934</v>
      </c>
      <c r="G379" s="4">
        <v>348617.98390960286</v>
      </c>
      <c r="H379" s="5">
        <f t="shared" si="2"/>
        <v>0</v>
      </c>
      <c r="I379" t="s">
        <v>159</v>
      </c>
      <c r="J379" t="s">
        <v>294</v>
      </c>
      <c r="K379" s="5">
        <f>120 / 86400</f>
        <v>1.3888888888888889E-3</v>
      </c>
      <c r="L379" s="5">
        <f>20 / 86400</f>
        <v>2.3148148148148149E-4</v>
      </c>
    </row>
    <row r="380" spans="1:12" x14ac:dyDescent="0.25">
      <c r="A380" s="3">
        <v>45705.669618055559</v>
      </c>
      <c r="B380" t="s">
        <v>293</v>
      </c>
      <c r="C380" s="3">
        <v>45705.672395833331</v>
      </c>
      <c r="D380" t="s">
        <v>223</v>
      </c>
      <c r="E380" s="4">
        <v>2.1023515970706939</v>
      </c>
      <c r="F380" s="4">
        <v>348618.12178872799</v>
      </c>
      <c r="G380" s="4">
        <v>348620.2241403251</v>
      </c>
      <c r="H380" s="5">
        <f t="shared" si="2"/>
        <v>0</v>
      </c>
      <c r="I380" t="s">
        <v>180</v>
      </c>
      <c r="J380" t="s">
        <v>265</v>
      </c>
      <c r="K380" s="5">
        <f>240 / 86400</f>
        <v>2.7777777777777779E-3</v>
      </c>
      <c r="L380" s="5">
        <f>40 / 86400</f>
        <v>4.6296296296296298E-4</v>
      </c>
    </row>
    <row r="381" spans="1:12" x14ac:dyDescent="0.25">
      <c r="A381" s="3">
        <v>45705.672858796301</v>
      </c>
      <c r="B381" t="s">
        <v>223</v>
      </c>
      <c r="C381" s="3">
        <v>45705.67355324074</v>
      </c>
      <c r="D381" t="s">
        <v>79</v>
      </c>
      <c r="E381" s="4">
        <v>0.53750936216115952</v>
      </c>
      <c r="F381" s="4">
        <v>348620.30354684975</v>
      </c>
      <c r="G381" s="4">
        <v>348620.84105621191</v>
      </c>
      <c r="H381" s="5">
        <f t="shared" si="2"/>
        <v>0</v>
      </c>
      <c r="I381" t="s">
        <v>167</v>
      </c>
      <c r="J381" t="s">
        <v>265</v>
      </c>
      <c r="K381" s="5">
        <f>60 / 86400</f>
        <v>6.9444444444444447E-4</v>
      </c>
      <c r="L381" s="5">
        <f>20 / 86400</f>
        <v>2.3148148148148149E-4</v>
      </c>
    </row>
    <row r="382" spans="1:12" x14ac:dyDescent="0.25">
      <c r="A382" s="3">
        <v>45705.673784722225</v>
      </c>
      <c r="B382" t="s">
        <v>79</v>
      </c>
      <c r="C382" s="3">
        <v>45705.674710648149</v>
      </c>
      <c r="D382" t="s">
        <v>96</v>
      </c>
      <c r="E382" s="4">
        <v>1.0633182065486908</v>
      </c>
      <c r="F382" s="4">
        <v>348620.99930980086</v>
      </c>
      <c r="G382" s="4">
        <v>348622.06262800744</v>
      </c>
      <c r="H382" s="5">
        <f t="shared" si="2"/>
        <v>0</v>
      </c>
      <c r="I382" t="s">
        <v>47</v>
      </c>
      <c r="J382" t="s">
        <v>194</v>
      </c>
      <c r="K382" s="5">
        <f>80 / 86400</f>
        <v>9.2592592592592596E-4</v>
      </c>
      <c r="L382" s="5">
        <f>40 / 86400</f>
        <v>4.6296296296296298E-4</v>
      </c>
    </row>
    <row r="383" spans="1:12" x14ac:dyDescent="0.25">
      <c r="A383" s="3">
        <v>45705.675173611111</v>
      </c>
      <c r="B383" t="s">
        <v>96</v>
      </c>
      <c r="C383" s="3">
        <v>45705.675405092596</v>
      </c>
      <c r="D383" t="s">
        <v>96</v>
      </c>
      <c r="E383" s="4">
        <v>2.7779914140701294E-3</v>
      </c>
      <c r="F383" s="4">
        <v>348622.06580447551</v>
      </c>
      <c r="G383" s="4">
        <v>348622.06858246692</v>
      </c>
      <c r="H383" s="5">
        <f t="shared" si="2"/>
        <v>0</v>
      </c>
      <c r="I383" t="s">
        <v>144</v>
      </c>
      <c r="J383" t="s">
        <v>144</v>
      </c>
      <c r="K383" s="5">
        <f>20 / 86400</f>
        <v>2.3148148148148149E-4</v>
      </c>
      <c r="L383" s="5">
        <f>40 / 86400</f>
        <v>4.6296296296296298E-4</v>
      </c>
    </row>
    <row r="384" spans="1:12" x14ac:dyDescent="0.25">
      <c r="A384" s="3">
        <v>45705.67586805555</v>
      </c>
      <c r="B384" t="s">
        <v>96</v>
      </c>
      <c r="C384" s="3">
        <v>45705.676099537042</v>
      </c>
      <c r="D384" t="s">
        <v>96</v>
      </c>
      <c r="E384" s="4">
        <v>1.4723392784595489E-2</v>
      </c>
      <c r="F384" s="4">
        <v>348622.08074095077</v>
      </c>
      <c r="G384" s="4">
        <v>348622.09546434355</v>
      </c>
      <c r="H384" s="5">
        <f t="shared" si="2"/>
        <v>0</v>
      </c>
      <c r="I384" t="s">
        <v>84</v>
      </c>
      <c r="J384" t="s">
        <v>84</v>
      </c>
      <c r="K384" s="5">
        <f>20 / 86400</f>
        <v>2.3148148148148149E-4</v>
      </c>
      <c r="L384" s="5">
        <f>45 / 86400</f>
        <v>5.2083333333333333E-4</v>
      </c>
    </row>
    <row r="385" spans="1:12" x14ac:dyDescent="0.25">
      <c r="A385" s="3">
        <v>45705.676620370374</v>
      </c>
      <c r="B385" t="s">
        <v>96</v>
      </c>
      <c r="C385" s="3">
        <v>45705.676851851851</v>
      </c>
      <c r="D385" t="s">
        <v>96</v>
      </c>
      <c r="E385" s="4">
        <v>1.6547438144683839E-2</v>
      </c>
      <c r="F385" s="4">
        <v>348622.10193101759</v>
      </c>
      <c r="G385" s="4">
        <v>348622.1184784557</v>
      </c>
      <c r="H385" s="5">
        <f t="shared" si="2"/>
        <v>0</v>
      </c>
      <c r="I385" t="s">
        <v>151</v>
      </c>
      <c r="J385" t="s">
        <v>84</v>
      </c>
      <c r="K385" s="5">
        <f>20 / 86400</f>
        <v>2.3148148148148149E-4</v>
      </c>
      <c r="L385" s="5">
        <f>4 / 86400</f>
        <v>4.6296296296296294E-5</v>
      </c>
    </row>
    <row r="386" spans="1:12" x14ac:dyDescent="0.25">
      <c r="A386" s="3">
        <v>45705.676898148144</v>
      </c>
      <c r="B386" t="s">
        <v>96</v>
      </c>
      <c r="C386" s="3">
        <v>45705.677129629628</v>
      </c>
      <c r="D386" t="s">
        <v>96</v>
      </c>
      <c r="E386" s="4">
        <v>3.0874539613723754E-3</v>
      </c>
      <c r="F386" s="4">
        <v>348622.12390868249</v>
      </c>
      <c r="G386" s="4">
        <v>348622.12699613645</v>
      </c>
      <c r="H386" s="5">
        <f t="shared" si="2"/>
        <v>0</v>
      </c>
      <c r="I386" t="s">
        <v>162</v>
      </c>
      <c r="J386" t="s">
        <v>144</v>
      </c>
      <c r="K386" s="5">
        <f>20 / 86400</f>
        <v>2.3148148148148149E-4</v>
      </c>
      <c r="L386" s="5">
        <f>120 / 86400</f>
        <v>1.3888888888888889E-3</v>
      </c>
    </row>
    <row r="387" spans="1:12" x14ac:dyDescent="0.25">
      <c r="A387" s="3">
        <v>45705.678518518514</v>
      </c>
      <c r="B387" t="s">
        <v>96</v>
      </c>
      <c r="C387" s="3">
        <v>45705.679212962961</v>
      </c>
      <c r="D387" t="s">
        <v>96</v>
      </c>
      <c r="E387" s="4">
        <v>0.14256585931777954</v>
      </c>
      <c r="F387" s="4">
        <v>348622.15653800272</v>
      </c>
      <c r="G387" s="4">
        <v>348622.29910386202</v>
      </c>
      <c r="H387" s="5">
        <f t="shared" si="2"/>
        <v>0</v>
      </c>
      <c r="I387" t="s">
        <v>66</v>
      </c>
      <c r="J387" t="s">
        <v>133</v>
      </c>
      <c r="K387" s="5">
        <f>60 / 86400</f>
        <v>6.9444444444444447E-4</v>
      </c>
      <c r="L387" s="5">
        <f>20 / 86400</f>
        <v>2.3148148148148149E-4</v>
      </c>
    </row>
    <row r="388" spans="1:12" x14ac:dyDescent="0.25">
      <c r="A388" s="3">
        <v>45705.679444444446</v>
      </c>
      <c r="B388" t="s">
        <v>96</v>
      </c>
      <c r="C388" s="3">
        <v>45705.67967592593</v>
      </c>
      <c r="D388" t="s">
        <v>96</v>
      </c>
      <c r="E388" s="4">
        <v>1.2083699345588684E-2</v>
      </c>
      <c r="F388" s="4">
        <v>348622.32203906123</v>
      </c>
      <c r="G388" s="4">
        <v>348622.33412276057</v>
      </c>
      <c r="H388" s="5">
        <f t="shared" si="2"/>
        <v>0</v>
      </c>
      <c r="I388" t="s">
        <v>107</v>
      </c>
      <c r="J388" t="s">
        <v>143</v>
      </c>
      <c r="K388" s="5">
        <f>20 / 86400</f>
        <v>2.3148148148148149E-4</v>
      </c>
      <c r="L388" s="5">
        <f>20 / 86400</f>
        <v>2.3148148148148149E-4</v>
      </c>
    </row>
    <row r="389" spans="1:12" x14ac:dyDescent="0.25">
      <c r="A389" s="3">
        <v>45705.679907407408</v>
      </c>
      <c r="B389" t="s">
        <v>96</v>
      </c>
      <c r="C389" s="3">
        <v>45705.68037037037</v>
      </c>
      <c r="D389" t="s">
        <v>96</v>
      </c>
      <c r="E389" s="4">
        <v>4.1884180307388302E-2</v>
      </c>
      <c r="F389" s="4">
        <v>348622.36075547175</v>
      </c>
      <c r="G389" s="4">
        <v>348622.40263965208</v>
      </c>
      <c r="H389" s="5">
        <f t="shared" si="2"/>
        <v>0</v>
      </c>
      <c r="I389" t="s">
        <v>133</v>
      </c>
      <c r="J389" t="s">
        <v>148</v>
      </c>
      <c r="K389" s="5">
        <f>40 / 86400</f>
        <v>4.6296296296296298E-4</v>
      </c>
      <c r="L389" s="5">
        <f>40 / 86400</f>
        <v>4.6296296296296298E-4</v>
      </c>
    </row>
    <row r="390" spans="1:12" x14ac:dyDescent="0.25">
      <c r="A390" s="3">
        <v>45705.680833333332</v>
      </c>
      <c r="B390" t="s">
        <v>96</v>
      </c>
      <c r="C390" s="3">
        <v>45705.681296296301</v>
      </c>
      <c r="D390" t="s">
        <v>96</v>
      </c>
      <c r="E390" s="4">
        <v>5.9842911839485168E-2</v>
      </c>
      <c r="F390" s="4">
        <v>348622.43256729946</v>
      </c>
      <c r="G390" s="4">
        <v>348622.4924102113</v>
      </c>
      <c r="H390" s="5">
        <f t="shared" si="2"/>
        <v>0</v>
      </c>
      <c r="I390" t="s">
        <v>32</v>
      </c>
      <c r="J390" t="s">
        <v>142</v>
      </c>
      <c r="K390" s="5">
        <f>40 / 86400</f>
        <v>4.6296296296296298E-4</v>
      </c>
      <c r="L390" s="5">
        <f>20 / 86400</f>
        <v>2.3148148148148149E-4</v>
      </c>
    </row>
    <row r="391" spans="1:12" x14ac:dyDescent="0.25">
      <c r="A391" s="3">
        <v>45705.681527777779</v>
      </c>
      <c r="B391" t="s">
        <v>96</v>
      </c>
      <c r="C391" s="3">
        <v>45705.681759259256</v>
      </c>
      <c r="D391" t="s">
        <v>96</v>
      </c>
      <c r="E391" s="4">
        <v>2.5792642652988435E-2</v>
      </c>
      <c r="F391" s="4">
        <v>348622.50366378401</v>
      </c>
      <c r="G391" s="4">
        <v>348622.52945642668</v>
      </c>
      <c r="H391" s="5">
        <f t="shared" si="2"/>
        <v>0</v>
      </c>
      <c r="I391" t="s">
        <v>75</v>
      </c>
      <c r="J391" t="s">
        <v>142</v>
      </c>
      <c r="K391" s="5">
        <f>20 / 86400</f>
        <v>2.3148148148148149E-4</v>
      </c>
      <c r="L391" s="5">
        <f>60 / 86400</f>
        <v>6.9444444444444447E-4</v>
      </c>
    </row>
    <row r="392" spans="1:12" x14ac:dyDescent="0.25">
      <c r="A392" s="3">
        <v>45705.682453703703</v>
      </c>
      <c r="B392" t="s">
        <v>96</v>
      </c>
      <c r="C392" s="3">
        <v>45705.68268518518</v>
      </c>
      <c r="D392" t="s">
        <v>96</v>
      </c>
      <c r="E392" s="4">
        <v>4.1711333453655242E-2</v>
      </c>
      <c r="F392" s="4">
        <v>348622.5561346006</v>
      </c>
      <c r="G392" s="4">
        <v>348622.59784593404</v>
      </c>
      <c r="H392" s="5">
        <f t="shared" ref="H392:H455" si="3">0 / 86400</f>
        <v>0</v>
      </c>
      <c r="I392" t="s">
        <v>133</v>
      </c>
      <c r="J392" t="s">
        <v>107</v>
      </c>
      <c r="K392" s="5">
        <f>20 / 86400</f>
        <v>2.3148148148148149E-4</v>
      </c>
      <c r="L392" s="5">
        <f>18 / 86400</f>
        <v>2.0833333333333335E-4</v>
      </c>
    </row>
    <row r="393" spans="1:12" x14ac:dyDescent="0.25">
      <c r="A393" s="3">
        <v>45705.682893518519</v>
      </c>
      <c r="B393" t="s">
        <v>96</v>
      </c>
      <c r="C393" s="3">
        <v>45705.683124999996</v>
      </c>
      <c r="D393" t="s">
        <v>96</v>
      </c>
      <c r="E393" s="4">
        <v>2.1584836721420288E-2</v>
      </c>
      <c r="F393" s="4">
        <v>348622.6034018863</v>
      </c>
      <c r="G393" s="4">
        <v>348622.62498672301</v>
      </c>
      <c r="H393" s="5">
        <f t="shared" si="3"/>
        <v>0</v>
      </c>
      <c r="I393" t="s">
        <v>142</v>
      </c>
      <c r="J393" t="s">
        <v>148</v>
      </c>
      <c r="K393" s="5">
        <f>20 / 86400</f>
        <v>2.3148148148148149E-4</v>
      </c>
      <c r="L393" s="5">
        <f>100 / 86400</f>
        <v>1.1574074074074073E-3</v>
      </c>
    </row>
    <row r="394" spans="1:12" x14ac:dyDescent="0.25">
      <c r="A394" s="3">
        <v>45705.684282407412</v>
      </c>
      <c r="B394" t="s">
        <v>96</v>
      </c>
      <c r="C394" s="3">
        <v>45705.685208333336</v>
      </c>
      <c r="D394" t="s">
        <v>96</v>
      </c>
      <c r="E394" s="4">
        <v>0.14498759245872497</v>
      </c>
      <c r="F394" s="4">
        <v>348622.67337118118</v>
      </c>
      <c r="G394" s="4">
        <v>348622.81835877366</v>
      </c>
      <c r="H394" s="5">
        <f t="shared" si="3"/>
        <v>0</v>
      </c>
      <c r="I394" t="s">
        <v>75</v>
      </c>
      <c r="J394" t="s">
        <v>151</v>
      </c>
      <c r="K394" s="5">
        <f>80 / 86400</f>
        <v>9.2592592592592596E-4</v>
      </c>
      <c r="L394" s="5">
        <f>60 / 86400</f>
        <v>6.9444444444444447E-4</v>
      </c>
    </row>
    <row r="395" spans="1:12" x14ac:dyDescent="0.25">
      <c r="A395" s="3">
        <v>45705.685902777783</v>
      </c>
      <c r="B395" t="s">
        <v>96</v>
      </c>
      <c r="C395" s="3">
        <v>45705.68613425926</v>
      </c>
      <c r="D395" t="s">
        <v>96</v>
      </c>
      <c r="E395" s="4">
        <v>6.6634706258773806E-3</v>
      </c>
      <c r="F395" s="4">
        <v>348622.82731049974</v>
      </c>
      <c r="G395" s="4">
        <v>348622.83397397038</v>
      </c>
      <c r="H395" s="5">
        <f t="shared" si="3"/>
        <v>0</v>
      </c>
      <c r="I395" t="s">
        <v>153</v>
      </c>
      <c r="J395" t="s">
        <v>144</v>
      </c>
      <c r="K395" s="5">
        <f>20 / 86400</f>
        <v>2.3148148148148149E-4</v>
      </c>
      <c r="L395" s="5">
        <f>20 / 86400</f>
        <v>2.3148148148148149E-4</v>
      </c>
    </row>
    <row r="396" spans="1:12" x14ac:dyDescent="0.25">
      <c r="A396" s="3">
        <v>45705.686365740738</v>
      </c>
      <c r="B396" t="s">
        <v>96</v>
      </c>
      <c r="C396" s="3">
        <v>45705.686597222222</v>
      </c>
      <c r="D396" t="s">
        <v>96</v>
      </c>
      <c r="E396" s="4">
        <v>7.0422109305858613E-2</v>
      </c>
      <c r="F396" s="4">
        <v>348622.90198885906</v>
      </c>
      <c r="G396" s="4">
        <v>348622.97241096839</v>
      </c>
      <c r="H396" s="5">
        <f t="shared" si="3"/>
        <v>0</v>
      </c>
      <c r="I396" t="s">
        <v>199</v>
      </c>
      <c r="J396" t="s">
        <v>66</v>
      </c>
      <c r="K396" s="5">
        <f>20 / 86400</f>
        <v>2.3148148148148149E-4</v>
      </c>
      <c r="L396" s="5">
        <f>60 / 86400</f>
        <v>6.9444444444444447E-4</v>
      </c>
    </row>
    <row r="397" spans="1:12" x14ac:dyDescent="0.25">
      <c r="A397" s="3">
        <v>45705.687291666662</v>
      </c>
      <c r="B397" t="s">
        <v>96</v>
      </c>
      <c r="C397" s="3">
        <v>45705.687523148154</v>
      </c>
      <c r="D397" t="s">
        <v>96</v>
      </c>
      <c r="E397" s="4">
        <v>4.9038272500038149E-3</v>
      </c>
      <c r="F397" s="4">
        <v>348622.99953075824</v>
      </c>
      <c r="G397" s="4">
        <v>348623.00443458551</v>
      </c>
      <c r="H397" s="5">
        <f t="shared" si="3"/>
        <v>0</v>
      </c>
      <c r="I397" t="s">
        <v>153</v>
      </c>
      <c r="J397" t="s">
        <v>144</v>
      </c>
      <c r="K397" s="5">
        <f>20 / 86400</f>
        <v>2.3148148148148149E-4</v>
      </c>
      <c r="L397" s="5">
        <f>61 / 86400</f>
        <v>7.0601851851851847E-4</v>
      </c>
    </row>
    <row r="398" spans="1:12" x14ac:dyDescent="0.25">
      <c r="A398" s="3">
        <v>45705.68822916667</v>
      </c>
      <c r="B398" t="s">
        <v>96</v>
      </c>
      <c r="C398" s="3">
        <v>45705.688460648147</v>
      </c>
      <c r="D398" t="s">
        <v>96</v>
      </c>
      <c r="E398" s="4">
        <v>4.1273990690708161E-2</v>
      </c>
      <c r="F398" s="4">
        <v>348623.04114990711</v>
      </c>
      <c r="G398" s="4">
        <v>348623.08242389781</v>
      </c>
      <c r="H398" s="5">
        <f t="shared" si="3"/>
        <v>0</v>
      </c>
      <c r="I398" t="s">
        <v>142</v>
      </c>
      <c r="J398" t="s">
        <v>151</v>
      </c>
      <c r="K398" s="5">
        <f>20 / 86400</f>
        <v>2.3148148148148149E-4</v>
      </c>
      <c r="L398" s="5">
        <f>59 / 86400</f>
        <v>6.8287037037037036E-4</v>
      </c>
    </row>
    <row r="399" spans="1:12" x14ac:dyDescent="0.25">
      <c r="A399" s="3">
        <v>45705.689143518517</v>
      </c>
      <c r="B399" t="s">
        <v>96</v>
      </c>
      <c r="C399" s="3">
        <v>45705.689375000002</v>
      </c>
      <c r="D399" t="s">
        <v>96</v>
      </c>
      <c r="E399" s="4">
        <v>5.7868022918701172E-3</v>
      </c>
      <c r="F399" s="4">
        <v>348623.17835056916</v>
      </c>
      <c r="G399" s="4">
        <v>348623.18413737143</v>
      </c>
      <c r="H399" s="5">
        <f t="shared" si="3"/>
        <v>0</v>
      </c>
      <c r="I399" t="s">
        <v>107</v>
      </c>
      <c r="J399" t="s">
        <v>144</v>
      </c>
      <c r="K399" s="5">
        <f>20 / 86400</f>
        <v>2.3148148148148149E-4</v>
      </c>
      <c r="L399" s="5">
        <f>20 / 86400</f>
        <v>2.3148148148148149E-4</v>
      </c>
    </row>
    <row r="400" spans="1:12" x14ac:dyDescent="0.25">
      <c r="A400" s="3">
        <v>45705.689606481479</v>
      </c>
      <c r="B400" t="s">
        <v>96</v>
      </c>
      <c r="C400" s="3">
        <v>45705.690300925926</v>
      </c>
      <c r="D400" t="s">
        <v>96</v>
      </c>
      <c r="E400" s="4">
        <v>0.1233602026104927</v>
      </c>
      <c r="F400" s="4">
        <v>348623.20426975522</v>
      </c>
      <c r="G400" s="4">
        <v>348623.32762995787</v>
      </c>
      <c r="H400" s="5">
        <f t="shared" si="3"/>
        <v>0</v>
      </c>
      <c r="I400" t="s">
        <v>62</v>
      </c>
      <c r="J400" t="s">
        <v>151</v>
      </c>
      <c r="K400" s="5">
        <f>60 / 86400</f>
        <v>6.9444444444444447E-4</v>
      </c>
      <c r="L400" s="5">
        <f>20 / 86400</f>
        <v>2.3148148148148149E-4</v>
      </c>
    </row>
    <row r="401" spans="1:12" x14ac:dyDescent="0.25">
      <c r="A401" s="3">
        <v>45705.690532407403</v>
      </c>
      <c r="B401" t="s">
        <v>96</v>
      </c>
      <c r="C401" s="3">
        <v>45705.690995370373</v>
      </c>
      <c r="D401" t="s">
        <v>96</v>
      </c>
      <c r="E401" s="4">
        <v>0.13621079361438751</v>
      </c>
      <c r="F401" s="4">
        <v>348623.33783204813</v>
      </c>
      <c r="G401" s="4">
        <v>348623.47404284176</v>
      </c>
      <c r="H401" s="5">
        <f t="shared" si="3"/>
        <v>0</v>
      </c>
      <c r="I401" t="s">
        <v>152</v>
      </c>
      <c r="J401" t="s">
        <v>162</v>
      </c>
      <c r="K401" s="5">
        <f>40 / 86400</f>
        <v>4.6296296296296298E-4</v>
      </c>
      <c r="L401" s="5">
        <f>40 / 86400</f>
        <v>4.6296296296296298E-4</v>
      </c>
    </row>
    <row r="402" spans="1:12" x14ac:dyDescent="0.25">
      <c r="A402" s="3">
        <v>45705.691458333335</v>
      </c>
      <c r="B402" t="s">
        <v>96</v>
      </c>
      <c r="C402" s="3">
        <v>45705.691689814819</v>
      </c>
      <c r="D402" t="s">
        <v>295</v>
      </c>
      <c r="E402" s="4">
        <v>5.1000177204608914E-2</v>
      </c>
      <c r="F402" s="4">
        <v>348623.49359435443</v>
      </c>
      <c r="G402" s="4">
        <v>348623.54459453165</v>
      </c>
      <c r="H402" s="5">
        <f t="shared" si="3"/>
        <v>0</v>
      </c>
      <c r="I402" t="s">
        <v>27</v>
      </c>
      <c r="J402" t="s">
        <v>133</v>
      </c>
      <c r="K402" s="5">
        <f>20 / 86400</f>
        <v>2.3148148148148149E-4</v>
      </c>
      <c r="L402" s="5">
        <f>32 / 86400</f>
        <v>3.7037037037037035E-4</v>
      </c>
    </row>
    <row r="403" spans="1:12" x14ac:dyDescent="0.25">
      <c r="A403" s="3">
        <v>45705.692060185189</v>
      </c>
      <c r="B403" t="s">
        <v>295</v>
      </c>
      <c r="C403" s="3">
        <v>45705.692291666666</v>
      </c>
      <c r="D403" t="s">
        <v>96</v>
      </c>
      <c r="E403" s="4">
        <v>4.7829444706439975E-2</v>
      </c>
      <c r="F403" s="4">
        <v>348623.54810210166</v>
      </c>
      <c r="G403" s="4">
        <v>348623.59593154641</v>
      </c>
      <c r="H403" s="5">
        <f t="shared" si="3"/>
        <v>0</v>
      </c>
      <c r="I403" t="s">
        <v>153</v>
      </c>
      <c r="J403" t="s">
        <v>133</v>
      </c>
      <c r="K403" s="5">
        <f>20 / 86400</f>
        <v>2.3148148148148149E-4</v>
      </c>
      <c r="L403" s="5">
        <f>20 / 86400</f>
        <v>2.3148148148148149E-4</v>
      </c>
    </row>
    <row r="404" spans="1:12" x14ac:dyDescent="0.25">
      <c r="A404" s="3">
        <v>45705.692523148144</v>
      </c>
      <c r="B404" t="s">
        <v>96</v>
      </c>
      <c r="C404" s="3">
        <v>45705.693564814814</v>
      </c>
      <c r="D404" t="s">
        <v>296</v>
      </c>
      <c r="E404" s="4">
        <v>0.1725175815820694</v>
      </c>
      <c r="F404" s="4">
        <v>348623.59839745465</v>
      </c>
      <c r="G404" s="4">
        <v>348623.77091503626</v>
      </c>
      <c r="H404" s="5">
        <f t="shared" si="3"/>
        <v>0</v>
      </c>
      <c r="I404" t="s">
        <v>151</v>
      </c>
      <c r="J404" t="s">
        <v>151</v>
      </c>
      <c r="K404" s="5">
        <f>90 / 86400</f>
        <v>1.0416666666666667E-3</v>
      </c>
      <c r="L404" s="5">
        <f>20 / 86400</f>
        <v>2.3148148148148149E-4</v>
      </c>
    </row>
    <row r="405" spans="1:12" x14ac:dyDescent="0.25">
      <c r="A405" s="3">
        <v>45705.693796296298</v>
      </c>
      <c r="B405" t="s">
        <v>225</v>
      </c>
      <c r="C405" s="3">
        <v>45705.69425925926</v>
      </c>
      <c r="D405" t="s">
        <v>297</v>
      </c>
      <c r="E405" s="4">
        <v>0.20642481970787049</v>
      </c>
      <c r="F405" s="4">
        <v>348623.83237651479</v>
      </c>
      <c r="G405" s="4">
        <v>348624.03880133451</v>
      </c>
      <c r="H405" s="5">
        <f t="shared" si="3"/>
        <v>0</v>
      </c>
      <c r="I405" t="s">
        <v>163</v>
      </c>
      <c r="J405" t="s">
        <v>27</v>
      </c>
      <c r="K405" s="5">
        <f>40 / 86400</f>
        <v>4.6296296296296298E-4</v>
      </c>
      <c r="L405" s="5">
        <f>5 / 86400</f>
        <v>5.7870370370370373E-5</v>
      </c>
    </row>
    <row r="406" spans="1:12" x14ac:dyDescent="0.25">
      <c r="A406" s="3">
        <v>45705.69431712963</v>
      </c>
      <c r="B406" t="s">
        <v>225</v>
      </c>
      <c r="C406" s="3">
        <v>45705.695011574076</v>
      </c>
      <c r="D406" t="s">
        <v>18</v>
      </c>
      <c r="E406" s="4">
        <v>0.27691405284404752</v>
      </c>
      <c r="F406" s="4">
        <v>348624.04646204924</v>
      </c>
      <c r="G406" s="4">
        <v>348624.32337610208</v>
      </c>
      <c r="H406" s="5">
        <f t="shared" si="3"/>
        <v>0</v>
      </c>
      <c r="I406" t="s">
        <v>133</v>
      </c>
      <c r="J406" t="s">
        <v>32</v>
      </c>
      <c r="K406" s="5">
        <f>60 / 86400</f>
        <v>6.9444444444444447E-4</v>
      </c>
      <c r="L406" s="5">
        <f>12 / 86400</f>
        <v>1.3888888888888889E-4</v>
      </c>
    </row>
    <row r="407" spans="1:12" x14ac:dyDescent="0.25">
      <c r="A407" s="3">
        <v>45705.695150462961</v>
      </c>
      <c r="B407" t="s">
        <v>18</v>
      </c>
      <c r="C407" s="3">
        <v>45705.697233796294</v>
      </c>
      <c r="D407" t="s">
        <v>298</v>
      </c>
      <c r="E407" s="4">
        <v>0.54616842412948607</v>
      </c>
      <c r="F407" s="4">
        <v>348624.3364251685</v>
      </c>
      <c r="G407" s="4">
        <v>348624.88259359263</v>
      </c>
      <c r="H407" s="5">
        <f t="shared" si="3"/>
        <v>0</v>
      </c>
      <c r="I407" t="s">
        <v>232</v>
      </c>
      <c r="J407" t="s">
        <v>45</v>
      </c>
      <c r="K407" s="5">
        <f>180 / 86400</f>
        <v>2.0833333333333333E-3</v>
      </c>
      <c r="L407" s="5">
        <f>27 / 86400</f>
        <v>3.1250000000000001E-4</v>
      </c>
    </row>
    <row r="408" spans="1:12" x14ac:dyDescent="0.25">
      <c r="A408" s="3">
        <v>45705.697546296295</v>
      </c>
      <c r="B408" t="s">
        <v>298</v>
      </c>
      <c r="C408" s="3">
        <v>45705.698472222226</v>
      </c>
      <c r="D408" t="s">
        <v>229</v>
      </c>
      <c r="E408" s="4">
        <v>0.42445196920633316</v>
      </c>
      <c r="F408" s="4">
        <v>348624.89299696038</v>
      </c>
      <c r="G408" s="4">
        <v>348625.31744892959</v>
      </c>
      <c r="H408" s="5">
        <f t="shared" si="3"/>
        <v>0</v>
      </c>
      <c r="I408" t="s">
        <v>179</v>
      </c>
      <c r="J408" t="s">
        <v>27</v>
      </c>
      <c r="K408" s="5">
        <f>80 / 86400</f>
        <v>9.2592592592592596E-4</v>
      </c>
      <c r="L408" s="5">
        <f>20 / 86400</f>
        <v>2.3148148148148149E-4</v>
      </c>
    </row>
    <row r="409" spans="1:12" x14ac:dyDescent="0.25">
      <c r="A409" s="3">
        <v>45705.698703703703</v>
      </c>
      <c r="B409" t="s">
        <v>225</v>
      </c>
      <c r="C409" s="3">
        <v>45705.699166666665</v>
      </c>
      <c r="D409" t="s">
        <v>225</v>
      </c>
      <c r="E409" s="4">
        <v>0.17032235205173493</v>
      </c>
      <c r="F409" s="4">
        <v>348625.81775005121</v>
      </c>
      <c r="G409" s="4">
        <v>348625.98807240324</v>
      </c>
      <c r="H409" s="5">
        <f t="shared" si="3"/>
        <v>0</v>
      </c>
      <c r="I409" t="s">
        <v>133</v>
      </c>
      <c r="J409" t="s">
        <v>30</v>
      </c>
      <c r="K409" s="5">
        <f>40 / 86400</f>
        <v>4.6296296296296298E-4</v>
      </c>
      <c r="L409" s="5">
        <f>20 / 86400</f>
        <v>2.3148148148148149E-4</v>
      </c>
    </row>
    <row r="410" spans="1:12" x14ac:dyDescent="0.25">
      <c r="A410" s="3">
        <v>45705.69939814815</v>
      </c>
      <c r="B410" t="s">
        <v>225</v>
      </c>
      <c r="C410" s="3">
        <v>45705.700092592597</v>
      </c>
      <c r="D410" t="s">
        <v>225</v>
      </c>
      <c r="E410" s="4">
        <v>0.17360003852844239</v>
      </c>
      <c r="F410" s="4">
        <v>348625.99306588282</v>
      </c>
      <c r="G410" s="4">
        <v>348626.16666592134</v>
      </c>
      <c r="H410" s="5">
        <f t="shared" si="3"/>
        <v>0</v>
      </c>
      <c r="I410" t="s">
        <v>133</v>
      </c>
      <c r="J410" t="s">
        <v>118</v>
      </c>
      <c r="K410" s="5">
        <f>60 / 86400</f>
        <v>6.9444444444444447E-4</v>
      </c>
      <c r="L410" s="5">
        <f>80 / 86400</f>
        <v>9.2592592592592596E-4</v>
      </c>
    </row>
    <row r="411" spans="1:12" x14ac:dyDescent="0.25">
      <c r="A411" s="3">
        <v>45705.701018518521</v>
      </c>
      <c r="B411" t="s">
        <v>225</v>
      </c>
      <c r="C411" s="3">
        <v>45705.701944444445</v>
      </c>
      <c r="D411" t="s">
        <v>225</v>
      </c>
      <c r="E411" s="4">
        <v>0.58546054202318187</v>
      </c>
      <c r="F411" s="4">
        <v>348626.19709390844</v>
      </c>
      <c r="G411" s="4">
        <v>348626.78255445044</v>
      </c>
      <c r="H411" s="5">
        <f t="shared" si="3"/>
        <v>0</v>
      </c>
      <c r="I411" t="s">
        <v>202</v>
      </c>
      <c r="J411" t="s">
        <v>288</v>
      </c>
      <c r="K411" s="5">
        <f>80 / 86400</f>
        <v>9.2592592592592596E-4</v>
      </c>
      <c r="L411" s="5">
        <f>20 / 86400</f>
        <v>2.3148148148148149E-4</v>
      </c>
    </row>
    <row r="412" spans="1:12" x14ac:dyDescent="0.25">
      <c r="A412" s="3">
        <v>45705.702175925922</v>
      </c>
      <c r="B412" t="s">
        <v>225</v>
      </c>
      <c r="C412" s="3">
        <v>45705.702638888892</v>
      </c>
      <c r="D412" t="s">
        <v>225</v>
      </c>
      <c r="E412" s="4">
        <v>0.31213335597515107</v>
      </c>
      <c r="F412" s="4">
        <v>348626.8023976945</v>
      </c>
      <c r="G412" s="4">
        <v>348627.11453105044</v>
      </c>
      <c r="H412" s="5">
        <f t="shared" si="3"/>
        <v>0</v>
      </c>
      <c r="I412" t="s">
        <v>38</v>
      </c>
      <c r="J412" t="s">
        <v>117</v>
      </c>
      <c r="K412" s="5">
        <f>40 / 86400</f>
        <v>4.6296296296296298E-4</v>
      </c>
      <c r="L412" s="5">
        <f>20 / 86400</f>
        <v>2.3148148148148149E-4</v>
      </c>
    </row>
    <row r="413" spans="1:12" x14ac:dyDescent="0.25">
      <c r="A413" s="3">
        <v>45705.702870370369</v>
      </c>
      <c r="B413" t="s">
        <v>299</v>
      </c>
      <c r="C413" s="3">
        <v>45705.703796296293</v>
      </c>
      <c r="D413" t="s">
        <v>230</v>
      </c>
      <c r="E413" s="4">
        <v>0.70935747909545899</v>
      </c>
      <c r="F413" s="4">
        <v>348627.22691997536</v>
      </c>
      <c r="G413" s="4">
        <v>348627.93627745443</v>
      </c>
      <c r="H413" s="5">
        <f t="shared" si="3"/>
        <v>0</v>
      </c>
      <c r="I413" t="s">
        <v>214</v>
      </c>
      <c r="J413" t="s">
        <v>265</v>
      </c>
      <c r="K413" s="5">
        <f>80 / 86400</f>
        <v>9.2592592592592596E-4</v>
      </c>
      <c r="L413" s="5">
        <f>79 / 86400</f>
        <v>9.1435185185185185E-4</v>
      </c>
    </row>
    <row r="414" spans="1:12" x14ac:dyDescent="0.25">
      <c r="A414" s="3">
        <v>45705.704710648148</v>
      </c>
      <c r="B414" t="s">
        <v>230</v>
      </c>
      <c r="C414" s="3">
        <v>45705.705405092594</v>
      </c>
      <c r="D414" t="s">
        <v>231</v>
      </c>
      <c r="E414" s="4">
        <v>0.4267694762945175</v>
      </c>
      <c r="F414" s="4">
        <v>348627.94881520129</v>
      </c>
      <c r="G414" s="4">
        <v>348628.37558467756</v>
      </c>
      <c r="H414" s="5">
        <f t="shared" si="3"/>
        <v>0</v>
      </c>
      <c r="I414" t="s">
        <v>227</v>
      </c>
      <c r="J414" t="s">
        <v>288</v>
      </c>
      <c r="K414" s="5">
        <f>60 / 86400</f>
        <v>6.9444444444444447E-4</v>
      </c>
      <c r="L414" s="5">
        <f>20 / 86400</f>
        <v>2.3148148148148149E-4</v>
      </c>
    </row>
    <row r="415" spans="1:12" x14ac:dyDescent="0.25">
      <c r="A415" s="3">
        <v>45705.705636574072</v>
      </c>
      <c r="B415" t="s">
        <v>231</v>
      </c>
      <c r="C415" s="3">
        <v>45705.706608796296</v>
      </c>
      <c r="D415" t="s">
        <v>231</v>
      </c>
      <c r="E415" s="4">
        <v>0.59796609145402912</v>
      </c>
      <c r="F415" s="4">
        <v>348628.37758813309</v>
      </c>
      <c r="G415" s="4">
        <v>348628.97555422457</v>
      </c>
      <c r="H415" s="5">
        <f t="shared" si="3"/>
        <v>0</v>
      </c>
      <c r="I415" t="s">
        <v>193</v>
      </c>
      <c r="J415" t="s">
        <v>288</v>
      </c>
      <c r="K415" s="5">
        <f>84 / 86400</f>
        <v>9.7222222222222219E-4</v>
      </c>
      <c r="L415" s="5">
        <f>20 / 86400</f>
        <v>2.3148148148148149E-4</v>
      </c>
    </row>
    <row r="416" spans="1:12" x14ac:dyDescent="0.25">
      <c r="A416" s="3">
        <v>45705.70684027778</v>
      </c>
      <c r="B416" t="s">
        <v>300</v>
      </c>
      <c r="C416" s="3">
        <v>45705.710069444445</v>
      </c>
      <c r="D416" t="s">
        <v>301</v>
      </c>
      <c r="E416" s="4">
        <v>1.0803236408233643</v>
      </c>
      <c r="F416" s="4">
        <v>348629.06333127338</v>
      </c>
      <c r="G416" s="4">
        <v>348630.14365491422</v>
      </c>
      <c r="H416" s="5">
        <f t="shared" si="3"/>
        <v>0</v>
      </c>
      <c r="I416" t="s">
        <v>202</v>
      </c>
      <c r="J416" t="s">
        <v>75</v>
      </c>
      <c r="K416" s="5">
        <f>279 / 86400</f>
        <v>3.2291666666666666E-3</v>
      </c>
      <c r="L416" s="5">
        <f>13 / 86400</f>
        <v>1.5046296296296297E-4</v>
      </c>
    </row>
    <row r="417" spans="1:12" x14ac:dyDescent="0.25">
      <c r="A417" s="3">
        <v>45705.710219907407</v>
      </c>
      <c r="B417" t="s">
        <v>301</v>
      </c>
      <c r="C417" s="3">
        <v>45705.710451388892</v>
      </c>
      <c r="D417" t="s">
        <v>301</v>
      </c>
      <c r="E417" s="4">
        <v>2.9188351929187773E-2</v>
      </c>
      <c r="F417" s="4">
        <v>348630.15583639021</v>
      </c>
      <c r="G417" s="4">
        <v>348630.18502474215</v>
      </c>
      <c r="H417" s="5">
        <f t="shared" si="3"/>
        <v>0</v>
      </c>
      <c r="I417" t="s">
        <v>142</v>
      </c>
      <c r="J417" t="s">
        <v>142</v>
      </c>
      <c r="K417" s="5">
        <f t="shared" ref="K417:K425" si="4">20 / 86400</f>
        <v>2.3148148148148149E-4</v>
      </c>
      <c r="L417" s="5">
        <f>60 / 86400</f>
        <v>6.9444444444444447E-4</v>
      </c>
    </row>
    <row r="418" spans="1:12" x14ac:dyDescent="0.25">
      <c r="A418" s="3">
        <v>45705.711145833338</v>
      </c>
      <c r="B418" t="s">
        <v>301</v>
      </c>
      <c r="C418" s="3">
        <v>45705.711377314816</v>
      </c>
      <c r="D418" t="s">
        <v>301</v>
      </c>
      <c r="E418" s="4">
        <v>0</v>
      </c>
      <c r="F418" s="4">
        <v>348630.21371957764</v>
      </c>
      <c r="G418" s="4">
        <v>348630.21371957764</v>
      </c>
      <c r="H418" s="5">
        <f t="shared" si="3"/>
        <v>0</v>
      </c>
      <c r="I418" t="s">
        <v>143</v>
      </c>
      <c r="J418" t="s">
        <v>73</v>
      </c>
      <c r="K418" s="5">
        <f t="shared" si="4"/>
        <v>2.3148148148148149E-4</v>
      </c>
      <c r="L418" s="5">
        <f>7 / 86400</f>
        <v>8.1018518518518516E-5</v>
      </c>
    </row>
    <row r="419" spans="1:12" x14ac:dyDescent="0.25">
      <c r="A419" s="3">
        <v>45705.711458333331</v>
      </c>
      <c r="B419" t="s">
        <v>233</v>
      </c>
      <c r="C419" s="3">
        <v>45705.711689814816</v>
      </c>
      <c r="D419" t="s">
        <v>233</v>
      </c>
      <c r="E419" s="4">
        <v>2.0091876864433287E-2</v>
      </c>
      <c r="F419" s="4">
        <v>348630.25632461905</v>
      </c>
      <c r="G419" s="4">
        <v>348630.27641649591</v>
      </c>
      <c r="H419" s="5">
        <f t="shared" si="3"/>
        <v>0</v>
      </c>
      <c r="I419" t="s">
        <v>153</v>
      </c>
      <c r="J419" t="s">
        <v>148</v>
      </c>
      <c r="K419" s="5">
        <f t="shared" si="4"/>
        <v>2.3148148148148149E-4</v>
      </c>
      <c r="L419" s="5">
        <f>80 / 86400</f>
        <v>9.2592592592592596E-4</v>
      </c>
    </row>
    <row r="420" spans="1:12" x14ac:dyDescent="0.25">
      <c r="A420" s="3">
        <v>45705.71261574074</v>
      </c>
      <c r="B420" t="s">
        <v>301</v>
      </c>
      <c r="C420" s="3">
        <v>45705.712847222225</v>
      </c>
      <c r="D420" t="s">
        <v>301</v>
      </c>
      <c r="E420" s="4">
        <v>1.1432497918605804E-2</v>
      </c>
      <c r="F420" s="4">
        <v>348630.32837456668</v>
      </c>
      <c r="G420" s="4">
        <v>348630.33980706462</v>
      </c>
      <c r="H420" s="5">
        <f t="shared" si="3"/>
        <v>0</v>
      </c>
      <c r="I420" t="s">
        <v>143</v>
      </c>
      <c r="J420" t="s">
        <v>143</v>
      </c>
      <c r="K420" s="5">
        <f t="shared" si="4"/>
        <v>2.3148148148148149E-4</v>
      </c>
      <c r="L420" s="5">
        <f>40 / 86400</f>
        <v>4.6296296296296298E-4</v>
      </c>
    </row>
    <row r="421" spans="1:12" x14ac:dyDescent="0.25">
      <c r="A421" s="3">
        <v>45705.713310185187</v>
      </c>
      <c r="B421" t="s">
        <v>301</v>
      </c>
      <c r="C421" s="3">
        <v>45705.713541666672</v>
      </c>
      <c r="D421" t="s">
        <v>301</v>
      </c>
      <c r="E421" s="4">
        <v>7.8118228316307065E-3</v>
      </c>
      <c r="F421" s="4">
        <v>348630.34757822414</v>
      </c>
      <c r="G421" s="4">
        <v>348630.35539004696</v>
      </c>
      <c r="H421" s="5">
        <f t="shared" si="3"/>
        <v>0</v>
      </c>
      <c r="I421" t="s">
        <v>143</v>
      </c>
      <c r="J421" t="s">
        <v>144</v>
      </c>
      <c r="K421" s="5">
        <f t="shared" si="4"/>
        <v>2.3148148148148149E-4</v>
      </c>
      <c r="L421" s="5">
        <f>53 / 86400</f>
        <v>6.134259259259259E-4</v>
      </c>
    </row>
    <row r="422" spans="1:12" x14ac:dyDescent="0.25">
      <c r="A422" s="3">
        <v>45705.714155092588</v>
      </c>
      <c r="B422" t="s">
        <v>233</v>
      </c>
      <c r="C422" s="3">
        <v>45705.714386574073</v>
      </c>
      <c r="D422" t="s">
        <v>233</v>
      </c>
      <c r="E422" s="4">
        <v>1.0941047191619873E-2</v>
      </c>
      <c r="F422" s="4">
        <v>348630.37399274809</v>
      </c>
      <c r="G422" s="4">
        <v>348630.38493379526</v>
      </c>
      <c r="H422" s="5">
        <f t="shared" si="3"/>
        <v>0</v>
      </c>
      <c r="I422" t="s">
        <v>142</v>
      </c>
      <c r="J422" t="s">
        <v>143</v>
      </c>
      <c r="K422" s="5">
        <f t="shared" si="4"/>
        <v>2.3148148148148149E-4</v>
      </c>
      <c r="L422" s="5">
        <f>26 / 86400</f>
        <v>3.0092592592592595E-4</v>
      </c>
    </row>
    <row r="423" spans="1:12" x14ac:dyDescent="0.25">
      <c r="A423" s="3">
        <v>45705.714687500003</v>
      </c>
      <c r="B423" t="s">
        <v>233</v>
      </c>
      <c r="C423" s="3">
        <v>45705.714918981481</v>
      </c>
      <c r="D423" t="s">
        <v>233</v>
      </c>
      <c r="E423" s="4">
        <v>0</v>
      </c>
      <c r="F423" s="4">
        <v>348630.40223390341</v>
      </c>
      <c r="G423" s="4">
        <v>348630.40223390341</v>
      </c>
      <c r="H423" s="5">
        <f t="shared" si="3"/>
        <v>0</v>
      </c>
      <c r="I423" t="s">
        <v>153</v>
      </c>
      <c r="J423" t="s">
        <v>73</v>
      </c>
      <c r="K423" s="5">
        <f t="shared" si="4"/>
        <v>2.3148148148148149E-4</v>
      </c>
      <c r="L423" s="5">
        <f>20 / 86400</f>
        <v>2.3148148148148149E-4</v>
      </c>
    </row>
    <row r="424" spans="1:12" x14ac:dyDescent="0.25">
      <c r="A424" s="3">
        <v>45705.715150462958</v>
      </c>
      <c r="B424" t="s">
        <v>302</v>
      </c>
      <c r="C424" s="3">
        <v>45705.715381944443</v>
      </c>
      <c r="D424" t="s">
        <v>233</v>
      </c>
      <c r="E424" s="4">
        <v>9.3871820569038384E-3</v>
      </c>
      <c r="F424" s="4">
        <v>348630.43525800452</v>
      </c>
      <c r="G424" s="4">
        <v>348630.4446451866</v>
      </c>
      <c r="H424" s="5">
        <f t="shared" si="3"/>
        <v>0</v>
      </c>
      <c r="I424" t="s">
        <v>144</v>
      </c>
      <c r="J424" t="s">
        <v>143</v>
      </c>
      <c r="K424" s="5">
        <f t="shared" si="4"/>
        <v>2.3148148148148149E-4</v>
      </c>
      <c r="L424" s="5">
        <f>13 / 86400</f>
        <v>1.5046296296296297E-4</v>
      </c>
    </row>
    <row r="425" spans="1:12" x14ac:dyDescent="0.25">
      <c r="A425" s="3">
        <v>45705.715532407412</v>
      </c>
      <c r="B425" t="s">
        <v>303</v>
      </c>
      <c r="C425" s="3">
        <v>45705.715763888889</v>
      </c>
      <c r="D425" t="s">
        <v>303</v>
      </c>
      <c r="E425" s="4">
        <v>3.8327233016490936E-2</v>
      </c>
      <c r="F425" s="4">
        <v>348630.44878948934</v>
      </c>
      <c r="G425" s="4">
        <v>348630.48711672233</v>
      </c>
      <c r="H425" s="5">
        <f t="shared" si="3"/>
        <v>0</v>
      </c>
      <c r="I425" t="s">
        <v>142</v>
      </c>
      <c r="J425" t="s">
        <v>151</v>
      </c>
      <c r="K425" s="5">
        <f t="shared" si="4"/>
        <v>2.3148148148148149E-4</v>
      </c>
      <c r="L425" s="5">
        <f>20 / 86400</f>
        <v>2.3148148148148149E-4</v>
      </c>
    </row>
    <row r="426" spans="1:12" x14ac:dyDescent="0.25">
      <c r="A426" s="3">
        <v>45705.715995370367</v>
      </c>
      <c r="B426" t="s">
        <v>303</v>
      </c>
      <c r="C426" s="3">
        <v>45705.71711805556</v>
      </c>
      <c r="D426" t="s">
        <v>234</v>
      </c>
      <c r="E426" s="4">
        <v>0.54840979009866719</v>
      </c>
      <c r="F426" s="4">
        <v>348630.49860260054</v>
      </c>
      <c r="G426" s="4">
        <v>348631.04701239063</v>
      </c>
      <c r="H426" s="5">
        <f t="shared" si="3"/>
        <v>0</v>
      </c>
      <c r="I426" t="s">
        <v>86</v>
      </c>
      <c r="J426" t="s">
        <v>20</v>
      </c>
      <c r="K426" s="5">
        <f>97 / 86400</f>
        <v>1.1226851851851851E-3</v>
      </c>
      <c r="L426" s="5">
        <f>40 / 86400</f>
        <v>4.6296296296296298E-4</v>
      </c>
    </row>
    <row r="427" spans="1:12" x14ac:dyDescent="0.25">
      <c r="A427" s="3">
        <v>45705.717581018514</v>
      </c>
      <c r="B427" t="s">
        <v>304</v>
      </c>
      <c r="C427" s="3">
        <v>45705.718645833331</v>
      </c>
      <c r="D427" t="s">
        <v>305</v>
      </c>
      <c r="E427" s="4">
        <v>0.50742735129594807</v>
      </c>
      <c r="F427" s="4">
        <v>348631.06993149203</v>
      </c>
      <c r="G427" s="4">
        <v>348631.57735884335</v>
      </c>
      <c r="H427" s="5">
        <f t="shared" si="3"/>
        <v>0</v>
      </c>
      <c r="I427" t="s">
        <v>294</v>
      </c>
      <c r="J427" t="s">
        <v>20</v>
      </c>
      <c r="K427" s="5">
        <f>92 / 86400</f>
        <v>1.0648148148148149E-3</v>
      </c>
      <c r="L427" s="5">
        <f>77 / 86400</f>
        <v>8.9120370370370373E-4</v>
      </c>
    </row>
    <row r="428" spans="1:12" x14ac:dyDescent="0.25">
      <c r="A428" s="3">
        <v>45705.719537037032</v>
      </c>
      <c r="B428" t="s">
        <v>132</v>
      </c>
      <c r="C428" s="3">
        <v>45705.720925925925</v>
      </c>
      <c r="D428" t="s">
        <v>306</v>
      </c>
      <c r="E428" s="4">
        <v>0.95724517655372621</v>
      </c>
      <c r="F428" s="4">
        <v>348631.68868999818</v>
      </c>
      <c r="G428" s="4">
        <v>348632.64593517472</v>
      </c>
      <c r="H428" s="5">
        <f t="shared" si="3"/>
        <v>0</v>
      </c>
      <c r="I428" t="s">
        <v>160</v>
      </c>
      <c r="J428" t="s">
        <v>150</v>
      </c>
      <c r="K428" s="5">
        <f>120 / 86400</f>
        <v>1.3888888888888889E-3</v>
      </c>
      <c r="L428" s="5">
        <f>20 / 86400</f>
        <v>2.3148148148148149E-4</v>
      </c>
    </row>
    <row r="429" spans="1:12" x14ac:dyDescent="0.25">
      <c r="A429" s="3">
        <v>45705.721157407403</v>
      </c>
      <c r="B429" t="s">
        <v>238</v>
      </c>
      <c r="C429" s="3">
        <v>45705.72451388889</v>
      </c>
      <c r="D429" t="s">
        <v>241</v>
      </c>
      <c r="E429" s="4">
        <v>1.7752801536917686</v>
      </c>
      <c r="F429" s="4">
        <v>348632.69030097121</v>
      </c>
      <c r="G429" s="4">
        <v>348634.46558112488</v>
      </c>
      <c r="H429" s="5">
        <f t="shared" si="3"/>
        <v>0</v>
      </c>
      <c r="I429" t="s">
        <v>215</v>
      </c>
      <c r="J429" t="s">
        <v>135</v>
      </c>
      <c r="K429" s="5">
        <f>290 / 86400</f>
        <v>3.3564814814814816E-3</v>
      </c>
      <c r="L429" s="5">
        <f>20 / 86400</f>
        <v>2.3148148148148149E-4</v>
      </c>
    </row>
    <row r="430" spans="1:12" x14ac:dyDescent="0.25">
      <c r="A430" s="3">
        <v>45705.724745370375</v>
      </c>
      <c r="B430" t="s">
        <v>307</v>
      </c>
      <c r="C430" s="3">
        <v>45705.725462962961</v>
      </c>
      <c r="D430" t="s">
        <v>308</v>
      </c>
      <c r="E430" s="4">
        <v>0.18580445611476898</v>
      </c>
      <c r="F430" s="4">
        <v>348634.56936560723</v>
      </c>
      <c r="G430" s="4">
        <v>348634.75517006329</v>
      </c>
      <c r="H430" s="5">
        <f t="shared" si="3"/>
        <v>0</v>
      </c>
      <c r="I430" t="s">
        <v>20</v>
      </c>
      <c r="J430" t="s">
        <v>45</v>
      </c>
      <c r="K430" s="5">
        <f>62 / 86400</f>
        <v>7.1759259259259259E-4</v>
      </c>
      <c r="L430" s="5">
        <f>20 / 86400</f>
        <v>2.3148148148148149E-4</v>
      </c>
    </row>
    <row r="431" spans="1:12" x14ac:dyDescent="0.25">
      <c r="A431" s="3">
        <v>45705.725694444445</v>
      </c>
      <c r="B431" t="s">
        <v>308</v>
      </c>
      <c r="C431" s="3">
        <v>45705.727372685185</v>
      </c>
      <c r="D431" t="s">
        <v>242</v>
      </c>
      <c r="E431" s="4">
        <v>0.46755096572637556</v>
      </c>
      <c r="F431" s="4">
        <v>348634.77415795519</v>
      </c>
      <c r="G431" s="4">
        <v>348635.24170892092</v>
      </c>
      <c r="H431" s="5">
        <f t="shared" si="3"/>
        <v>0</v>
      </c>
      <c r="I431" t="s">
        <v>62</v>
      </c>
      <c r="J431" t="s">
        <v>162</v>
      </c>
      <c r="K431" s="5">
        <f>145 / 86400</f>
        <v>1.6782407407407408E-3</v>
      </c>
      <c r="L431" s="5">
        <f>20 / 86400</f>
        <v>2.3148148148148149E-4</v>
      </c>
    </row>
    <row r="432" spans="1:12" x14ac:dyDescent="0.25">
      <c r="A432" s="3">
        <v>45705.727604166663</v>
      </c>
      <c r="B432" t="s">
        <v>242</v>
      </c>
      <c r="C432" s="3">
        <v>45705.729432870372</v>
      </c>
      <c r="D432" t="s">
        <v>309</v>
      </c>
      <c r="E432" s="4">
        <v>0.41018637287616727</v>
      </c>
      <c r="F432" s="4">
        <v>348635.29843301908</v>
      </c>
      <c r="G432" s="4">
        <v>348635.70861939195</v>
      </c>
      <c r="H432" s="5">
        <f t="shared" si="3"/>
        <v>0</v>
      </c>
      <c r="I432" t="s">
        <v>288</v>
      </c>
      <c r="J432" t="s">
        <v>133</v>
      </c>
      <c r="K432" s="5">
        <f>158 / 86400</f>
        <v>1.8287037037037037E-3</v>
      </c>
      <c r="L432" s="5">
        <f>8 / 86400</f>
        <v>9.2592592592592588E-5</v>
      </c>
    </row>
    <row r="433" spans="1:12" x14ac:dyDescent="0.25">
      <c r="A433" s="3">
        <v>45705.729525462964</v>
      </c>
      <c r="B433" t="s">
        <v>243</v>
      </c>
      <c r="C433" s="3">
        <v>45705.729756944449</v>
      </c>
      <c r="D433" t="s">
        <v>309</v>
      </c>
      <c r="E433" s="4">
        <v>1.366825532913208E-2</v>
      </c>
      <c r="F433" s="4">
        <v>348635.7113869618</v>
      </c>
      <c r="G433" s="4">
        <v>348635.72505521716</v>
      </c>
      <c r="H433" s="5">
        <f t="shared" si="3"/>
        <v>0</v>
      </c>
      <c r="I433" t="s">
        <v>153</v>
      </c>
      <c r="J433" t="s">
        <v>143</v>
      </c>
      <c r="K433" s="5">
        <f>20 / 86400</f>
        <v>2.3148148148148149E-4</v>
      </c>
      <c r="L433" s="5">
        <f>62 / 86400</f>
        <v>7.1759259259259259E-4</v>
      </c>
    </row>
    <row r="434" spans="1:12" x14ac:dyDescent="0.25">
      <c r="A434" s="3">
        <v>45705.730474537035</v>
      </c>
      <c r="B434" t="s">
        <v>309</v>
      </c>
      <c r="C434" s="3">
        <v>45705.730706018519</v>
      </c>
      <c r="D434" t="s">
        <v>309</v>
      </c>
      <c r="E434" s="4">
        <v>7.8165918588638302E-3</v>
      </c>
      <c r="F434" s="4">
        <v>348635.74091142952</v>
      </c>
      <c r="G434" s="4">
        <v>348635.7487280214</v>
      </c>
      <c r="H434" s="5">
        <f t="shared" si="3"/>
        <v>0</v>
      </c>
      <c r="I434" t="s">
        <v>142</v>
      </c>
      <c r="J434" t="s">
        <v>144</v>
      </c>
      <c r="K434" s="5">
        <f>20 / 86400</f>
        <v>2.3148148148148149E-4</v>
      </c>
      <c r="L434" s="5">
        <f>17 / 86400</f>
        <v>1.9675925925925926E-4</v>
      </c>
    </row>
    <row r="435" spans="1:12" x14ac:dyDescent="0.25">
      <c r="A435" s="3">
        <v>45705.730902777781</v>
      </c>
      <c r="B435" t="s">
        <v>309</v>
      </c>
      <c r="C435" s="3">
        <v>45705.731134259258</v>
      </c>
      <c r="D435" t="s">
        <v>309</v>
      </c>
      <c r="E435" s="4">
        <v>1.9174350857734682E-2</v>
      </c>
      <c r="F435" s="4">
        <v>348635.75143583381</v>
      </c>
      <c r="G435" s="4">
        <v>348635.77061018464</v>
      </c>
      <c r="H435" s="5">
        <f t="shared" si="3"/>
        <v>0</v>
      </c>
      <c r="I435" t="s">
        <v>142</v>
      </c>
      <c r="J435" t="s">
        <v>84</v>
      </c>
      <c r="K435" s="5">
        <f>20 / 86400</f>
        <v>2.3148148148148149E-4</v>
      </c>
      <c r="L435" s="5">
        <f>34 / 86400</f>
        <v>3.9351851851851852E-4</v>
      </c>
    </row>
    <row r="436" spans="1:12" x14ac:dyDescent="0.25">
      <c r="A436" s="3">
        <v>45705.731527777782</v>
      </c>
      <c r="B436" t="s">
        <v>309</v>
      </c>
      <c r="C436" s="3">
        <v>45705.731990740736</v>
      </c>
      <c r="D436" t="s">
        <v>309</v>
      </c>
      <c r="E436" s="4">
        <v>1.2230955600738525E-2</v>
      </c>
      <c r="F436" s="4">
        <v>348635.77375279495</v>
      </c>
      <c r="G436" s="4">
        <v>348635.78598375054</v>
      </c>
      <c r="H436" s="5">
        <f t="shared" si="3"/>
        <v>0</v>
      </c>
      <c r="I436" t="s">
        <v>142</v>
      </c>
      <c r="J436" t="s">
        <v>144</v>
      </c>
      <c r="K436" s="5">
        <f>40 / 86400</f>
        <v>4.6296296296296298E-4</v>
      </c>
      <c r="L436" s="5">
        <f>80 / 86400</f>
        <v>9.2592592592592596E-4</v>
      </c>
    </row>
    <row r="437" spans="1:12" x14ac:dyDescent="0.25">
      <c r="A437" s="3">
        <v>45705.732916666668</v>
      </c>
      <c r="B437" t="s">
        <v>309</v>
      </c>
      <c r="C437" s="3">
        <v>45705.733287037037</v>
      </c>
      <c r="D437" t="s">
        <v>309</v>
      </c>
      <c r="E437" s="4">
        <v>3.0190195918083192E-2</v>
      </c>
      <c r="F437" s="4">
        <v>348635.7959191064</v>
      </c>
      <c r="G437" s="4">
        <v>348635.82610930235</v>
      </c>
      <c r="H437" s="5">
        <f t="shared" si="3"/>
        <v>0</v>
      </c>
      <c r="I437" t="s">
        <v>153</v>
      </c>
      <c r="J437" t="s">
        <v>84</v>
      </c>
      <c r="K437" s="5">
        <f>32 / 86400</f>
        <v>3.7037037037037035E-4</v>
      </c>
      <c r="L437" s="5">
        <f>40 / 86400</f>
        <v>4.6296296296296298E-4</v>
      </c>
    </row>
    <row r="438" spans="1:12" x14ac:dyDescent="0.25">
      <c r="A438" s="3">
        <v>45705.733749999999</v>
      </c>
      <c r="B438" t="s">
        <v>309</v>
      </c>
      <c r="C438" s="3">
        <v>45705.734212962961</v>
      </c>
      <c r="D438" t="s">
        <v>242</v>
      </c>
      <c r="E438" s="4">
        <v>3.0176620483398437E-2</v>
      </c>
      <c r="F438" s="4">
        <v>348635.83582173497</v>
      </c>
      <c r="G438" s="4">
        <v>348635.86599835544</v>
      </c>
      <c r="H438" s="5">
        <f t="shared" si="3"/>
        <v>0</v>
      </c>
      <c r="I438" t="s">
        <v>148</v>
      </c>
      <c r="J438" t="s">
        <v>84</v>
      </c>
      <c r="K438" s="5">
        <f>40 / 86400</f>
        <v>4.6296296296296298E-4</v>
      </c>
      <c r="L438" s="5">
        <f>25 / 86400</f>
        <v>2.8935185185185184E-4</v>
      </c>
    </row>
    <row r="439" spans="1:12" x14ac:dyDescent="0.25">
      <c r="A439" s="3">
        <v>45705.734502314815</v>
      </c>
      <c r="B439" t="s">
        <v>242</v>
      </c>
      <c r="C439" s="3">
        <v>45705.7347337963</v>
      </c>
      <c r="D439" t="s">
        <v>242</v>
      </c>
      <c r="E439" s="4">
        <v>1.577778685092926E-2</v>
      </c>
      <c r="F439" s="4">
        <v>348635.87113565265</v>
      </c>
      <c r="G439" s="4">
        <v>348635.88691343949</v>
      </c>
      <c r="H439" s="5">
        <f t="shared" si="3"/>
        <v>0</v>
      </c>
      <c r="I439" t="s">
        <v>153</v>
      </c>
      <c r="J439" t="s">
        <v>84</v>
      </c>
      <c r="K439" s="5">
        <f>20 / 86400</f>
        <v>2.3148148148148149E-4</v>
      </c>
      <c r="L439" s="5">
        <f>20 / 86400</f>
        <v>2.3148148148148149E-4</v>
      </c>
    </row>
    <row r="440" spans="1:12" x14ac:dyDescent="0.25">
      <c r="A440" s="3">
        <v>45705.734965277778</v>
      </c>
      <c r="B440" t="s">
        <v>310</v>
      </c>
      <c r="C440" s="3">
        <v>45705.73542824074</v>
      </c>
      <c r="D440" t="s">
        <v>310</v>
      </c>
      <c r="E440" s="4">
        <v>7.0206365585327151E-3</v>
      </c>
      <c r="F440" s="4">
        <v>348635.90443717595</v>
      </c>
      <c r="G440" s="4">
        <v>348635.91145781247</v>
      </c>
      <c r="H440" s="5">
        <f t="shared" si="3"/>
        <v>0</v>
      </c>
      <c r="I440" t="s">
        <v>148</v>
      </c>
      <c r="J440" t="s">
        <v>144</v>
      </c>
      <c r="K440" s="5">
        <f>40 / 86400</f>
        <v>4.6296296296296298E-4</v>
      </c>
      <c r="L440" s="5">
        <f>19 / 86400</f>
        <v>2.199074074074074E-4</v>
      </c>
    </row>
    <row r="441" spans="1:12" x14ac:dyDescent="0.25">
      <c r="A441" s="3">
        <v>45705.735648148147</v>
      </c>
      <c r="B441" t="s">
        <v>310</v>
      </c>
      <c r="C441" s="3">
        <v>45705.735879629632</v>
      </c>
      <c r="D441" t="s">
        <v>310</v>
      </c>
      <c r="E441" s="4">
        <v>8.6639195084571834E-3</v>
      </c>
      <c r="F441" s="4">
        <v>348635.91928870365</v>
      </c>
      <c r="G441" s="4">
        <v>348635.92795262311</v>
      </c>
      <c r="H441" s="5">
        <f t="shared" si="3"/>
        <v>0</v>
      </c>
      <c r="I441" t="s">
        <v>107</v>
      </c>
      <c r="J441" t="s">
        <v>143</v>
      </c>
      <c r="K441" s="5">
        <f>20 / 86400</f>
        <v>2.3148148148148149E-4</v>
      </c>
      <c r="L441" s="5">
        <f>60 / 86400</f>
        <v>6.9444444444444447E-4</v>
      </c>
    </row>
    <row r="442" spans="1:12" x14ac:dyDescent="0.25">
      <c r="A442" s="3">
        <v>45705.736574074079</v>
      </c>
      <c r="B442" t="s">
        <v>310</v>
      </c>
      <c r="C442" s="3">
        <v>45705.736805555556</v>
      </c>
      <c r="D442" t="s">
        <v>310</v>
      </c>
      <c r="E442" s="4">
        <v>4.0535951852798463E-3</v>
      </c>
      <c r="F442" s="4">
        <v>348635.9346339989</v>
      </c>
      <c r="G442" s="4">
        <v>348635.93868759408</v>
      </c>
      <c r="H442" s="5">
        <f t="shared" si="3"/>
        <v>0</v>
      </c>
      <c r="I442" t="s">
        <v>143</v>
      </c>
      <c r="J442" t="s">
        <v>144</v>
      </c>
      <c r="K442" s="5">
        <f>20 / 86400</f>
        <v>2.3148148148148149E-4</v>
      </c>
      <c r="L442" s="5">
        <f>120 / 86400</f>
        <v>1.3888888888888889E-3</v>
      </c>
    </row>
    <row r="443" spans="1:12" x14ac:dyDescent="0.25">
      <c r="A443" s="3">
        <v>45705.73819444445</v>
      </c>
      <c r="B443" t="s">
        <v>310</v>
      </c>
      <c r="C443" s="3">
        <v>45705.738425925927</v>
      </c>
      <c r="D443" t="s">
        <v>310</v>
      </c>
      <c r="E443" s="4">
        <v>1.6171695888042448E-2</v>
      </c>
      <c r="F443" s="4">
        <v>348635.94645489514</v>
      </c>
      <c r="G443" s="4">
        <v>348635.96262659103</v>
      </c>
      <c r="H443" s="5">
        <f t="shared" si="3"/>
        <v>0</v>
      </c>
      <c r="I443" t="s">
        <v>144</v>
      </c>
      <c r="J443" t="s">
        <v>84</v>
      </c>
      <c r="K443" s="5">
        <f>20 / 86400</f>
        <v>2.3148148148148149E-4</v>
      </c>
      <c r="L443" s="5">
        <f>27 / 86400</f>
        <v>3.1250000000000001E-4</v>
      </c>
    </row>
    <row r="444" spans="1:12" x14ac:dyDescent="0.25">
      <c r="A444" s="3">
        <v>45705.738738425927</v>
      </c>
      <c r="B444" t="s">
        <v>269</v>
      </c>
      <c r="C444" s="3">
        <v>45705.739895833336</v>
      </c>
      <c r="D444" t="s">
        <v>311</v>
      </c>
      <c r="E444" s="4">
        <v>0.51595091611146926</v>
      </c>
      <c r="F444" s="4">
        <v>348636.00064733595</v>
      </c>
      <c r="G444" s="4">
        <v>348636.51659825206</v>
      </c>
      <c r="H444" s="5">
        <f t="shared" si="3"/>
        <v>0</v>
      </c>
      <c r="I444" t="s">
        <v>199</v>
      </c>
      <c r="J444" t="s">
        <v>27</v>
      </c>
      <c r="K444" s="5">
        <f>100 / 86400</f>
        <v>1.1574074074074073E-3</v>
      </c>
      <c r="L444" s="5">
        <f>20 / 86400</f>
        <v>2.3148148148148149E-4</v>
      </c>
    </row>
    <row r="445" spans="1:12" x14ac:dyDescent="0.25">
      <c r="A445" s="3">
        <v>45705.740127314813</v>
      </c>
      <c r="B445" t="s">
        <v>268</v>
      </c>
      <c r="C445" s="3">
        <v>45705.740358796298</v>
      </c>
      <c r="D445" t="s">
        <v>268</v>
      </c>
      <c r="E445" s="4">
        <v>3.8518871068954469E-3</v>
      </c>
      <c r="F445" s="4">
        <v>348636.69853992027</v>
      </c>
      <c r="G445" s="4">
        <v>348636.7023918074</v>
      </c>
      <c r="H445" s="5">
        <f t="shared" si="3"/>
        <v>0</v>
      </c>
      <c r="I445" t="s">
        <v>144</v>
      </c>
      <c r="J445" t="s">
        <v>144</v>
      </c>
      <c r="K445" s="5">
        <f>20 / 86400</f>
        <v>2.3148148148148149E-4</v>
      </c>
      <c r="L445" s="5">
        <f>80 / 86400</f>
        <v>9.2592592592592596E-4</v>
      </c>
    </row>
    <row r="446" spans="1:12" x14ac:dyDescent="0.25">
      <c r="A446" s="3">
        <v>45705.741284722222</v>
      </c>
      <c r="B446" t="s">
        <v>244</v>
      </c>
      <c r="C446" s="3">
        <v>45705.7421875</v>
      </c>
      <c r="D446" t="s">
        <v>246</v>
      </c>
      <c r="E446" s="4">
        <v>0.2617793308496475</v>
      </c>
      <c r="F446" s="4">
        <v>348636.71714138013</v>
      </c>
      <c r="G446" s="4">
        <v>348636.97892071097</v>
      </c>
      <c r="H446" s="5">
        <f t="shared" si="3"/>
        <v>0</v>
      </c>
      <c r="I446" t="s">
        <v>27</v>
      </c>
      <c r="J446" t="s">
        <v>162</v>
      </c>
      <c r="K446" s="5">
        <f>78 / 86400</f>
        <v>9.0277777777777774E-4</v>
      </c>
      <c r="L446" s="5">
        <f>33 / 86400</f>
        <v>3.8194444444444446E-4</v>
      </c>
    </row>
    <row r="447" spans="1:12" x14ac:dyDescent="0.25">
      <c r="A447" s="3">
        <v>45705.742569444439</v>
      </c>
      <c r="B447" t="s">
        <v>246</v>
      </c>
      <c r="C447" s="3">
        <v>45705.743032407408</v>
      </c>
      <c r="D447" t="s">
        <v>246</v>
      </c>
      <c r="E447" s="4">
        <v>1.1814618229866028E-2</v>
      </c>
      <c r="F447" s="4">
        <v>348636.98399649345</v>
      </c>
      <c r="G447" s="4">
        <v>348636.9958111117</v>
      </c>
      <c r="H447" s="5">
        <f t="shared" si="3"/>
        <v>0</v>
      </c>
      <c r="I447" t="s">
        <v>153</v>
      </c>
      <c r="J447" t="s">
        <v>144</v>
      </c>
      <c r="K447" s="5">
        <f>40 / 86400</f>
        <v>4.6296296296296298E-4</v>
      </c>
      <c r="L447" s="5">
        <f>6 / 86400</f>
        <v>6.9444444444444444E-5</v>
      </c>
    </row>
    <row r="448" spans="1:12" x14ac:dyDescent="0.25">
      <c r="A448" s="3">
        <v>45705.743101851855</v>
      </c>
      <c r="B448" t="s">
        <v>246</v>
      </c>
      <c r="C448" s="3">
        <v>45705.743946759263</v>
      </c>
      <c r="D448" t="s">
        <v>312</v>
      </c>
      <c r="E448" s="4">
        <v>0.43286844581365586</v>
      </c>
      <c r="F448" s="4">
        <v>348636.99966090336</v>
      </c>
      <c r="G448" s="4">
        <v>348637.43252934917</v>
      </c>
      <c r="H448" s="5">
        <f t="shared" si="3"/>
        <v>0</v>
      </c>
      <c r="I448" t="s">
        <v>196</v>
      </c>
      <c r="J448" t="s">
        <v>38</v>
      </c>
      <c r="K448" s="5">
        <f>73 / 86400</f>
        <v>8.4490740740740739E-4</v>
      </c>
      <c r="L448" s="5">
        <f>75 / 86400</f>
        <v>8.6805555555555551E-4</v>
      </c>
    </row>
    <row r="449" spans="1:12" x14ac:dyDescent="0.25">
      <c r="A449" s="3">
        <v>45705.744814814811</v>
      </c>
      <c r="B449" t="s">
        <v>313</v>
      </c>
      <c r="C449" s="3">
        <v>45705.745972222227</v>
      </c>
      <c r="D449" t="s">
        <v>262</v>
      </c>
      <c r="E449" s="4">
        <v>0.85704413473606111</v>
      </c>
      <c r="F449" s="4">
        <v>348637.45577868971</v>
      </c>
      <c r="G449" s="4">
        <v>348638.3128228244</v>
      </c>
      <c r="H449" s="5">
        <f t="shared" si="3"/>
        <v>0</v>
      </c>
      <c r="I449" t="s">
        <v>194</v>
      </c>
      <c r="J449" t="s">
        <v>145</v>
      </c>
      <c r="K449" s="5">
        <f>100 / 86400</f>
        <v>1.1574074074074073E-3</v>
      </c>
      <c r="L449" s="5">
        <f>20 / 86400</f>
        <v>2.3148148148148149E-4</v>
      </c>
    </row>
    <row r="450" spans="1:12" x14ac:dyDescent="0.25">
      <c r="A450" s="3">
        <v>45705.746203703704</v>
      </c>
      <c r="B450" t="s">
        <v>250</v>
      </c>
      <c r="C450" s="3">
        <v>45705.746666666666</v>
      </c>
      <c r="D450" t="s">
        <v>314</v>
      </c>
      <c r="E450" s="4">
        <v>0.41439633566141126</v>
      </c>
      <c r="F450" s="4">
        <v>348638.33554160537</v>
      </c>
      <c r="G450" s="4">
        <v>348638.74993794103</v>
      </c>
      <c r="H450" s="5">
        <f t="shared" si="3"/>
        <v>0</v>
      </c>
      <c r="I450" t="s">
        <v>167</v>
      </c>
      <c r="J450" t="s">
        <v>193</v>
      </c>
      <c r="K450" s="5">
        <f>40 / 86400</f>
        <v>4.6296296296296298E-4</v>
      </c>
      <c r="L450" s="5">
        <f>40 / 86400</f>
        <v>4.6296296296296298E-4</v>
      </c>
    </row>
    <row r="451" spans="1:12" x14ac:dyDescent="0.25">
      <c r="A451" s="3">
        <v>45705.747129629628</v>
      </c>
      <c r="B451" t="s">
        <v>315</v>
      </c>
      <c r="C451" s="3">
        <v>45705.748912037037</v>
      </c>
      <c r="D451" t="s">
        <v>253</v>
      </c>
      <c r="E451" s="4">
        <v>0.74342904722690584</v>
      </c>
      <c r="F451" s="4">
        <v>348638.92948330322</v>
      </c>
      <c r="G451" s="4">
        <v>348639.67291235039</v>
      </c>
      <c r="H451" s="5">
        <f t="shared" si="3"/>
        <v>0</v>
      </c>
      <c r="I451" t="s">
        <v>106</v>
      </c>
      <c r="J451" t="s">
        <v>32</v>
      </c>
      <c r="K451" s="5">
        <f>154 / 86400</f>
        <v>1.7824074074074075E-3</v>
      </c>
      <c r="L451" s="5">
        <f>100 / 86400</f>
        <v>1.1574074074074073E-3</v>
      </c>
    </row>
    <row r="452" spans="1:12" x14ac:dyDescent="0.25">
      <c r="A452" s="3">
        <v>45705.750069444446</v>
      </c>
      <c r="B452" t="s">
        <v>253</v>
      </c>
      <c r="C452" s="3">
        <v>45705.752013888894</v>
      </c>
      <c r="D452" t="s">
        <v>316</v>
      </c>
      <c r="E452" s="4">
        <v>0.41216892492771151</v>
      </c>
      <c r="F452" s="4">
        <v>348639.68967261404</v>
      </c>
      <c r="G452" s="4">
        <v>348640.10184153897</v>
      </c>
      <c r="H452" s="5">
        <f t="shared" si="3"/>
        <v>0</v>
      </c>
      <c r="I452" t="s">
        <v>23</v>
      </c>
      <c r="J452" t="s">
        <v>133</v>
      </c>
      <c r="K452" s="5">
        <f>168 / 86400</f>
        <v>1.9444444444444444E-3</v>
      </c>
      <c r="L452" s="5">
        <f>60 / 86400</f>
        <v>6.9444444444444447E-4</v>
      </c>
    </row>
    <row r="453" spans="1:12" x14ac:dyDescent="0.25">
      <c r="A453" s="3">
        <v>45705.752708333333</v>
      </c>
      <c r="B453" t="s">
        <v>103</v>
      </c>
      <c r="C453" s="3">
        <v>45705.753171296295</v>
      </c>
      <c r="D453" t="s">
        <v>317</v>
      </c>
      <c r="E453" s="4">
        <v>0.24528576815128325</v>
      </c>
      <c r="F453" s="4">
        <v>348640.16344318213</v>
      </c>
      <c r="G453" s="4">
        <v>348640.40872895025</v>
      </c>
      <c r="H453" s="5">
        <f t="shared" si="3"/>
        <v>0</v>
      </c>
      <c r="I453" t="s">
        <v>215</v>
      </c>
      <c r="J453" t="s">
        <v>135</v>
      </c>
      <c r="K453" s="5">
        <f>40 / 86400</f>
        <v>4.6296296296296298E-4</v>
      </c>
      <c r="L453" s="5">
        <f>20 / 86400</f>
        <v>2.3148148148148149E-4</v>
      </c>
    </row>
    <row r="454" spans="1:12" x14ac:dyDescent="0.25">
      <c r="A454" s="3">
        <v>45705.753402777773</v>
      </c>
      <c r="B454" t="s">
        <v>317</v>
      </c>
      <c r="C454" s="3">
        <v>45705.753634259258</v>
      </c>
      <c r="D454" t="s">
        <v>317</v>
      </c>
      <c r="E454" s="4">
        <v>5.8770592808723449E-3</v>
      </c>
      <c r="F454" s="4">
        <v>348640.40954466985</v>
      </c>
      <c r="G454" s="4">
        <v>348640.41542172915</v>
      </c>
      <c r="H454" s="5">
        <f t="shared" si="3"/>
        <v>0</v>
      </c>
      <c r="I454" t="s">
        <v>84</v>
      </c>
      <c r="J454" t="s">
        <v>144</v>
      </c>
      <c r="K454" s="5">
        <f>20 / 86400</f>
        <v>2.3148148148148149E-4</v>
      </c>
      <c r="L454" s="5">
        <f>20 / 86400</f>
        <v>2.3148148148148149E-4</v>
      </c>
    </row>
    <row r="455" spans="1:12" x14ac:dyDescent="0.25">
      <c r="A455" s="3">
        <v>45705.753865740742</v>
      </c>
      <c r="B455" t="s">
        <v>317</v>
      </c>
      <c r="C455" s="3">
        <v>45705.754351851851</v>
      </c>
      <c r="D455" t="s">
        <v>318</v>
      </c>
      <c r="E455" s="4">
        <v>0.21344633764028551</v>
      </c>
      <c r="F455" s="4">
        <v>348640.45313171664</v>
      </c>
      <c r="G455" s="4">
        <v>348640.66657805431</v>
      </c>
      <c r="H455" s="5">
        <f t="shared" si="3"/>
        <v>0</v>
      </c>
      <c r="I455" t="s">
        <v>199</v>
      </c>
      <c r="J455" t="s">
        <v>23</v>
      </c>
      <c r="K455" s="5">
        <f>42 / 86400</f>
        <v>4.861111111111111E-4</v>
      </c>
      <c r="L455" s="5">
        <f>4 / 86400</f>
        <v>4.6296296296296294E-5</v>
      </c>
    </row>
    <row r="456" spans="1:12" x14ac:dyDescent="0.25">
      <c r="A456" s="3">
        <v>45705.754398148143</v>
      </c>
      <c r="B456" t="s">
        <v>318</v>
      </c>
      <c r="C456" s="3">
        <v>45705.755949074075</v>
      </c>
      <c r="D456" t="s">
        <v>319</v>
      </c>
      <c r="E456" s="4">
        <v>0.40558546984195709</v>
      </c>
      <c r="F456" s="4">
        <v>348640.669609693</v>
      </c>
      <c r="G456" s="4">
        <v>348641.07519516285</v>
      </c>
      <c r="H456" s="5">
        <f t="shared" ref="H456:H519" si="5">0 / 86400</f>
        <v>0</v>
      </c>
      <c r="I456" t="s">
        <v>216</v>
      </c>
      <c r="J456" t="s">
        <v>45</v>
      </c>
      <c r="K456" s="5">
        <f>134 / 86400</f>
        <v>1.5509259259259259E-3</v>
      </c>
      <c r="L456" s="5">
        <f>76 / 86400</f>
        <v>8.7962962962962962E-4</v>
      </c>
    </row>
    <row r="457" spans="1:12" x14ac:dyDescent="0.25">
      <c r="A457" s="3">
        <v>45705.756828703699</v>
      </c>
      <c r="B457" t="s">
        <v>320</v>
      </c>
      <c r="C457" s="3">
        <v>45705.757060185184</v>
      </c>
      <c r="D457" t="s">
        <v>321</v>
      </c>
      <c r="E457" s="4">
        <v>5.6407311201095579E-2</v>
      </c>
      <c r="F457" s="4">
        <v>348641.12396892818</v>
      </c>
      <c r="G457" s="4">
        <v>348641.18037623935</v>
      </c>
      <c r="H457" s="5">
        <f t="shared" si="5"/>
        <v>0</v>
      </c>
      <c r="I457" t="s">
        <v>66</v>
      </c>
      <c r="J457" t="s">
        <v>118</v>
      </c>
      <c r="K457" s="5">
        <f>20 / 86400</f>
        <v>2.3148148148148149E-4</v>
      </c>
      <c r="L457" s="5">
        <f>20 / 86400</f>
        <v>2.3148148148148149E-4</v>
      </c>
    </row>
    <row r="458" spans="1:12" x14ac:dyDescent="0.25">
      <c r="A458" s="3">
        <v>45705.757291666669</v>
      </c>
      <c r="B458" t="s">
        <v>321</v>
      </c>
      <c r="C458" s="3">
        <v>45705.757523148146</v>
      </c>
      <c r="D458" t="s">
        <v>321</v>
      </c>
      <c r="E458" s="4">
        <v>2.5921068191528322E-3</v>
      </c>
      <c r="F458" s="4">
        <v>348641.18687265727</v>
      </c>
      <c r="G458" s="4">
        <v>348641.18946476415</v>
      </c>
      <c r="H458" s="5">
        <f t="shared" si="5"/>
        <v>0</v>
      </c>
      <c r="I458" t="s">
        <v>144</v>
      </c>
      <c r="J458" t="s">
        <v>73</v>
      </c>
      <c r="K458" s="5">
        <f>20 / 86400</f>
        <v>2.3148148148148149E-4</v>
      </c>
      <c r="L458" s="5">
        <f>47 / 86400</f>
        <v>5.4398148148148144E-4</v>
      </c>
    </row>
    <row r="459" spans="1:12" x14ac:dyDescent="0.25">
      <c r="A459" s="3">
        <v>45705.758067129631</v>
      </c>
      <c r="B459" t="s">
        <v>322</v>
      </c>
      <c r="C459" s="3">
        <v>45705.758298611108</v>
      </c>
      <c r="D459" t="s">
        <v>323</v>
      </c>
      <c r="E459" s="4">
        <v>7.2502470970153804E-2</v>
      </c>
      <c r="F459" s="4">
        <v>348641.20002003317</v>
      </c>
      <c r="G459" s="4">
        <v>348641.27252250415</v>
      </c>
      <c r="H459" s="5">
        <f t="shared" si="5"/>
        <v>0</v>
      </c>
      <c r="I459" t="s">
        <v>153</v>
      </c>
      <c r="J459" t="s">
        <v>66</v>
      </c>
      <c r="K459" s="5">
        <f>20 / 86400</f>
        <v>2.3148148148148149E-4</v>
      </c>
      <c r="L459" s="5">
        <f>60 / 86400</f>
        <v>6.9444444444444447E-4</v>
      </c>
    </row>
    <row r="460" spans="1:12" x14ac:dyDescent="0.25">
      <c r="A460" s="3">
        <v>45705.758993055555</v>
      </c>
      <c r="B460" t="s">
        <v>323</v>
      </c>
      <c r="C460" s="3">
        <v>45705.759456018517</v>
      </c>
      <c r="D460" t="s">
        <v>324</v>
      </c>
      <c r="E460" s="4">
        <v>0.20141431027650833</v>
      </c>
      <c r="F460" s="4">
        <v>348641.28149386292</v>
      </c>
      <c r="G460" s="4">
        <v>348641.48290817323</v>
      </c>
      <c r="H460" s="5">
        <f t="shared" si="5"/>
        <v>0</v>
      </c>
      <c r="I460" t="s">
        <v>141</v>
      </c>
      <c r="J460" t="s">
        <v>23</v>
      </c>
      <c r="K460" s="5">
        <f>40 / 86400</f>
        <v>4.6296296296296298E-4</v>
      </c>
      <c r="L460" s="5">
        <f>39 / 86400</f>
        <v>4.5138888888888887E-4</v>
      </c>
    </row>
    <row r="461" spans="1:12" x14ac:dyDescent="0.25">
      <c r="A461" s="3">
        <v>45705.75990740741</v>
      </c>
      <c r="B461" t="s">
        <v>324</v>
      </c>
      <c r="C461" s="3">
        <v>45705.760370370372</v>
      </c>
      <c r="D461" t="s">
        <v>325</v>
      </c>
      <c r="E461" s="4">
        <v>0.12550606507062911</v>
      </c>
      <c r="F461" s="4">
        <v>348641.49293192587</v>
      </c>
      <c r="G461" s="4">
        <v>348641.61843799095</v>
      </c>
      <c r="H461" s="5">
        <f t="shared" si="5"/>
        <v>0</v>
      </c>
      <c r="I461" t="s">
        <v>162</v>
      </c>
      <c r="J461" t="s">
        <v>45</v>
      </c>
      <c r="K461" s="5">
        <f>40 / 86400</f>
        <v>4.6296296296296298E-4</v>
      </c>
      <c r="L461" s="5">
        <f>40 / 86400</f>
        <v>4.6296296296296298E-4</v>
      </c>
    </row>
    <row r="462" spans="1:12" x14ac:dyDescent="0.25">
      <c r="A462" s="3">
        <v>45705.760833333334</v>
      </c>
      <c r="B462" t="s">
        <v>325</v>
      </c>
      <c r="C462" s="3">
        <v>45705.763541666667</v>
      </c>
      <c r="D462" t="s">
        <v>326</v>
      </c>
      <c r="E462" s="4">
        <v>0.71038898140192031</v>
      </c>
      <c r="F462" s="4">
        <v>348641.69801073434</v>
      </c>
      <c r="G462" s="4">
        <v>348642.40839971573</v>
      </c>
      <c r="H462" s="5">
        <f t="shared" si="5"/>
        <v>0</v>
      </c>
      <c r="I462" t="s">
        <v>145</v>
      </c>
      <c r="J462" t="s">
        <v>45</v>
      </c>
      <c r="K462" s="5">
        <f>234 / 86400</f>
        <v>2.7083333333333334E-3</v>
      </c>
      <c r="L462" s="5">
        <f>38 / 86400</f>
        <v>4.3981481481481481E-4</v>
      </c>
    </row>
    <row r="463" spans="1:12" x14ac:dyDescent="0.25">
      <c r="A463" s="3">
        <v>45705.763981481483</v>
      </c>
      <c r="B463" t="s">
        <v>327</v>
      </c>
      <c r="C463" s="3">
        <v>45705.764212962968</v>
      </c>
      <c r="D463" t="s">
        <v>327</v>
      </c>
      <c r="E463" s="4">
        <v>0</v>
      </c>
      <c r="F463" s="4">
        <v>348642.42456227896</v>
      </c>
      <c r="G463" s="4">
        <v>348642.42456227896</v>
      </c>
      <c r="H463" s="5">
        <f t="shared" si="5"/>
        <v>0</v>
      </c>
      <c r="I463" t="s">
        <v>142</v>
      </c>
      <c r="J463" t="s">
        <v>73</v>
      </c>
      <c r="K463" s="5">
        <f>20 / 86400</f>
        <v>2.3148148148148149E-4</v>
      </c>
      <c r="L463" s="5">
        <f>20 / 86400</f>
        <v>2.3148148148148149E-4</v>
      </c>
    </row>
    <row r="464" spans="1:12" x14ac:dyDescent="0.25">
      <c r="A464" s="3">
        <v>45705.764444444445</v>
      </c>
      <c r="B464" t="s">
        <v>328</v>
      </c>
      <c r="C464" s="3">
        <v>45705.765069444446</v>
      </c>
      <c r="D464" t="s">
        <v>329</v>
      </c>
      <c r="E464" s="4">
        <v>0.23038511109352111</v>
      </c>
      <c r="F464" s="4">
        <v>348642.47386604419</v>
      </c>
      <c r="G464" s="4">
        <v>348642.70425115532</v>
      </c>
      <c r="H464" s="5">
        <f t="shared" si="5"/>
        <v>0</v>
      </c>
      <c r="I464" t="s">
        <v>23</v>
      </c>
      <c r="J464" t="s">
        <v>30</v>
      </c>
      <c r="K464" s="5">
        <f>54 / 86400</f>
        <v>6.2500000000000001E-4</v>
      </c>
      <c r="L464" s="5">
        <f>99 / 86400</f>
        <v>1.1458333333333333E-3</v>
      </c>
    </row>
    <row r="465" spans="1:12" x14ac:dyDescent="0.25">
      <c r="A465" s="3">
        <v>45705.766215277778</v>
      </c>
      <c r="B465" t="s">
        <v>329</v>
      </c>
      <c r="C465" s="3">
        <v>45705.766446759255</v>
      </c>
      <c r="D465" t="s">
        <v>329</v>
      </c>
      <c r="E465" s="4">
        <v>2.6235657155513764E-2</v>
      </c>
      <c r="F465" s="4">
        <v>348642.73374742526</v>
      </c>
      <c r="G465" s="4">
        <v>348642.75998308242</v>
      </c>
      <c r="H465" s="5">
        <f t="shared" si="5"/>
        <v>0</v>
      </c>
      <c r="I465" t="s">
        <v>118</v>
      </c>
      <c r="J465" t="s">
        <v>142</v>
      </c>
      <c r="K465" s="5">
        <f>20 / 86400</f>
        <v>2.3148148148148149E-4</v>
      </c>
      <c r="L465" s="5">
        <f>137 / 86400</f>
        <v>1.5856481481481481E-3</v>
      </c>
    </row>
    <row r="466" spans="1:12" x14ac:dyDescent="0.25">
      <c r="A466" s="3">
        <v>45705.768032407403</v>
      </c>
      <c r="B466" t="s">
        <v>330</v>
      </c>
      <c r="C466" s="3">
        <v>45705.768263888887</v>
      </c>
      <c r="D466" t="s">
        <v>330</v>
      </c>
      <c r="E466" s="4">
        <v>4.3144381046295163E-3</v>
      </c>
      <c r="F466" s="4">
        <v>348642.77826942247</v>
      </c>
      <c r="G466" s="4">
        <v>348642.78258386056</v>
      </c>
      <c r="H466" s="5">
        <f t="shared" si="5"/>
        <v>0</v>
      </c>
      <c r="I466" t="s">
        <v>142</v>
      </c>
      <c r="J466" t="s">
        <v>144</v>
      </c>
      <c r="K466" s="5">
        <f>20 / 86400</f>
        <v>2.3148148148148149E-4</v>
      </c>
      <c r="L466" s="5">
        <f>80 / 86400</f>
        <v>9.2592592592592596E-4</v>
      </c>
    </row>
    <row r="467" spans="1:12" x14ac:dyDescent="0.25">
      <c r="A467" s="3">
        <v>45705.769189814819</v>
      </c>
      <c r="B467" t="s">
        <v>330</v>
      </c>
      <c r="C467" s="3">
        <v>45705.769687499997</v>
      </c>
      <c r="D467" t="s">
        <v>330</v>
      </c>
      <c r="E467" s="4">
        <v>4.560643136501312E-2</v>
      </c>
      <c r="F467" s="4">
        <v>348642.79295172542</v>
      </c>
      <c r="G467" s="4">
        <v>348642.8385581568</v>
      </c>
      <c r="H467" s="5">
        <f t="shared" si="5"/>
        <v>0</v>
      </c>
      <c r="I467" t="s">
        <v>107</v>
      </c>
      <c r="J467" t="s">
        <v>148</v>
      </c>
      <c r="K467" s="5">
        <f>43 / 86400</f>
        <v>4.9768518518518521E-4</v>
      </c>
      <c r="L467" s="5">
        <f>160 / 86400</f>
        <v>1.8518518518518519E-3</v>
      </c>
    </row>
    <row r="468" spans="1:12" x14ac:dyDescent="0.25">
      <c r="A468" s="3">
        <v>45705.771539351852</v>
      </c>
      <c r="B468" t="s">
        <v>331</v>
      </c>
      <c r="C468" s="3">
        <v>45705.773611111115</v>
      </c>
      <c r="D468" t="s">
        <v>332</v>
      </c>
      <c r="E468" s="4">
        <v>0.71719109642505641</v>
      </c>
      <c r="F468" s="4">
        <v>348642.90794770862</v>
      </c>
      <c r="G468" s="4">
        <v>348643.62513880502</v>
      </c>
      <c r="H468" s="5">
        <f t="shared" si="5"/>
        <v>0</v>
      </c>
      <c r="I468" t="s">
        <v>333</v>
      </c>
      <c r="J468" t="s">
        <v>75</v>
      </c>
      <c r="K468" s="5">
        <f>179 / 86400</f>
        <v>2.0717592592592593E-3</v>
      </c>
      <c r="L468" s="5">
        <f>28 / 86400</f>
        <v>3.2407407407407406E-4</v>
      </c>
    </row>
    <row r="469" spans="1:12" x14ac:dyDescent="0.25">
      <c r="A469" s="3">
        <v>45705.773935185185</v>
      </c>
      <c r="B469" t="s">
        <v>332</v>
      </c>
      <c r="C469" s="3">
        <v>45705.774918981479</v>
      </c>
      <c r="D469" t="s">
        <v>334</v>
      </c>
      <c r="E469" s="4">
        <v>0.3392970733642578</v>
      </c>
      <c r="F469" s="4">
        <v>348643.63513046782</v>
      </c>
      <c r="G469" s="4">
        <v>348643.97442754119</v>
      </c>
      <c r="H469" s="5">
        <f t="shared" si="5"/>
        <v>0</v>
      </c>
      <c r="I469" t="s">
        <v>288</v>
      </c>
      <c r="J469" t="s">
        <v>75</v>
      </c>
      <c r="K469" s="5">
        <f>85 / 86400</f>
        <v>9.837962962962962E-4</v>
      </c>
      <c r="L469" s="5">
        <f>20 / 86400</f>
        <v>2.3148148148148149E-4</v>
      </c>
    </row>
    <row r="470" spans="1:12" x14ac:dyDescent="0.25">
      <c r="A470" s="3">
        <v>45705.775150462963</v>
      </c>
      <c r="B470" t="s">
        <v>334</v>
      </c>
      <c r="C470" s="3">
        <v>45705.776076388887</v>
      </c>
      <c r="D470" t="s">
        <v>335</v>
      </c>
      <c r="E470" s="4">
        <v>0.21349333399534226</v>
      </c>
      <c r="F470" s="4">
        <v>348643.98140715848</v>
      </c>
      <c r="G470" s="4">
        <v>348644.1949004925</v>
      </c>
      <c r="H470" s="5">
        <f t="shared" si="5"/>
        <v>0</v>
      </c>
      <c r="I470" t="s">
        <v>117</v>
      </c>
      <c r="J470" t="s">
        <v>118</v>
      </c>
      <c r="K470" s="5">
        <f>80 / 86400</f>
        <v>9.2592592592592596E-4</v>
      </c>
      <c r="L470" s="5">
        <f>40 / 86400</f>
        <v>4.6296296296296298E-4</v>
      </c>
    </row>
    <row r="471" spans="1:12" x14ac:dyDescent="0.25">
      <c r="A471" s="3">
        <v>45705.776539351849</v>
      </c>
      <c r="B471" t="s">
        <v>336</v>
      </c>
      <c r="C471" s="3">
        <v>45705.777002314819</v>
      </c>
      <c r="D471" t="s">
        <v>337</v>
      </c>
      <c r="E471" s="4">
        <v>0.19665464317798614</v>
      </c>
      <c r="F471" s="4">
        <v>348644.21251290257</v>
      </c>
      <c r="G471" s="4">
        <v>348644.40916754573</v>
      </c>
      <c r="H471" s="5">
        <f t="shared" si="5"/>
        <v>0</v>
      </c>
      <c r="I471" t="s">
        <v>157</v>
      </c>
      <c r="J471" t="s">
        <v>23</v>
      </c>
      <c r="K471" s="5">
        <f>40 / 86400</f>
        <v>4.6296296296296298E-4</v>
      </c>
      <c r="L471" s="5">
        <f>20 / 86400</f>
        <v>2.3148148148148149E-4</v>
      </c>
    </row>
    <row r="472" spans="1:12" x14ac:dyDescent="0.25">
      <c r="A472" s="3">
        <v>45705.777233796296</v>
      </c>
      <c r="B472" t="s">
        <v>337</v>
      </c>
      <c r="C472" s="3">
        <v>45705.778842592597</v>
      </c>
      <c r="D472" t="s">
        <v>103</v>
      </c>
      <c r="E472" s="4">
        <v>0.66985874986648564</v>
      </c>
      <c r="F472" s="4">
        <v>348644.41027062602</v>
      </c>
      <c r="G472" s="4">
        <v>348645.08012937586</v>
      </c>
      <c r="H472" s="5">
        <f t="shared" si="5"/>
        <v>0</v>
      </c>
      <c r="I472" t="s">
        <v>157</v>
      </c>
      <c r="J472" t="s">
        <v>32</v>
      </c>
      <c r="K472" s="5">
        <f>139 / 86400</f>
        <v>1.6087962962962963E-3</v>
      </c>
      <c r="L472" s="5">
        <f>36 / 86400</f>
        <v>4.1666666666666669E-4</v>
      </c>
    </row>
    <row r="473" spans="1:12" x14ac:dyDescent="0.25">
      <c r="A473" s="3">
        <v>45705.77925925926</v>
      </c>
      <c r="B473" t="s">
        <v>103</v>
      </c>
      <c r="C473" s="3">
        <v>45705.779722222222</v>
      </c>
      <c r="D473" t="s">
        <v>338</v>
      </c>
      <c r="E473" s="4">
        <v>6.6756083071231848E-2</v>
      </c>
      <c r="F473" s="4">
        <v>348645.08386675833</v>
      </c>
      <c r="G473" s="4">
        <v>348645.15062284144</v>
      </c>
      <c r="H473" s="5">
        <f t="shared" si="5"/>
        <v>0</v>
      </c>
      <c r="I473" t="s">
        <v>151</v>
      </c>
      <c r="J473" t="s">
        <v>153</v>
      </c>
      <c r="K473" s="5">
        <f>40 / 86400</f>
        <v>4.6296296296296298E-4</v>
      </c>
      <c r="L473" s="5">
        <f>40 / 86400</f>
        <v>4.6296296296296298E-4</v>
      </c>
    </row>
    <row r="474" spans="1:12" x14ac:dyDescent="0.25">
      <c r="A474" s="3">
        <v>45705.780185185184</v>
      </c>
      <c r="B474" t="s">
        <v>338</v>
      </c>
      <c r="C474" s="3">
        <v>45705.781354166669</v>
      </c>
      <c r="D474" t="s">
        <v>339</v>
      </c>
      <c r="E474" s="4">
        <v>0.14289402002096177</v>
      </c>
      <c r="F474" s="4">
        <v>348645.15927256114</v>
      </c>
      <c r="G474" s="4">
        <v>348645.30216658115</v>
      </c>
      <c r="H474" s="5">
        <f t="shared" si="5"/>
        <v>0</v>
      </c>
      <c r="I474" t="s">
        <v>133</v>
      </c>
      <c r="J474" t="s">
        <v>142</v>
      </c>
      <c r="K474" s="5">
        <f>101 / 86400</f>
        <v>1.1689814814814816E-3</v>
      </c>
      <c r="L474" s="5">
        <f>17 / 86400</f>
        <v>1.9675925925925926E-4</v>
      </c>
    </row>
    <row r="475" spans="1:12" x14ac:dyDescent="0.25">
      <c r="A475" s="3">
        <v>45705.781550925924</v>
      </c>
      <c r="B475" t="s">
        <v>339</v>
      </c>
      <c r="C475" s="3">
        <v>45705.78224537037</v>
      </c>
      <c r="D475" t="s">
        <v>103</v>
      </c>
      <c r="E475" s="4">
        <v>0.1453484212756157</v>
      </c>
      <c r="F475" s="4">
        <v>348645.30986780842</v>
      </c>
      <c r="G475" s="4">
        <v>348645.45521622966</v>
      </c>
      <c r="H475" s="5">
        <f t="shared" si="5"/>
        <v>0</v>
      </c>
      <c r="I475" t="s">
        <v>32</v>
      </c>
      <c r="J475" t="s">
        <v>133</v>
      </c>
      <c r="K475" s="5">
        <f>60 / 86400</f>
        <v>6.9444444444444447E-4</v>
      </c>
      <c r="L475" s="5">
        <f>20 / 86400</f>
        <v>2.3148148148148149E-4</v>
      </c>
    </row>
    <row r="476" spans="1:12" x14ac:dyDescent="0.25">
      <c r="A476" s="3">
        <v>45705.782476851848</v>
      </c>
      <c r="B476" t="s">
        <v>103</v>
      </c>
      <c r="C476" s="3">
        <v>45705.782708333332</v>
      </c>
      <c r="D476" t="s">
        <v>103</v>
      </c>
      <c r="E476" s="4">
        <v>3.4456371068954466E-3</v>
      </c>
      <c r="F476" s="4">
        <v>348645.46233271941</v>
      </c>
      <c r="G476" s="4">
        <v>348645.46577835648</v>
      </c>
      <c r="H476" s="5">
        <f t="shared" si="5"/>
        <v>0</v>
      </c>
      <c r="I476" t="s">
        <v>144</v>
      </c>
      <c r="J476" t="s">
        <v>144</v>
      </c>
      <c r="K476" s="5">
        <f>20 / 86400</f>
        <v>2.3148148148148149E-4</v>
      </c>
      <c r="L476" s="5">
        <f>18 / 86400</f>
        <v>2.0833333333333335E-4</v>
      </c>
    </row>
    <row r="477" spans="1:12" x14ac:dyDescent="0.25">
      <c r="A477" s="3">
        <v>45705.782916666663</v>
      </c>
      <c r="B477" t="s">
        <v>103</v>
      </c>
      <c r="C477" s="3">
        <v>45705.783460648148</v>
      </c>
      <c r="D477" t="s">
        <v>122</v>
      </c>
      <c r="E477" s="4">
        <v>6.2572761237621302E-2</v>
      </c>
      <c r="F477" s="4">
        <v>348645.46993757127</v>
      </c>
      <c r="G477" s="4">
        <v>348645.53251033253</v>
      </c>
      <c r="H477" s="5">
        <f t="shared" si="5"/>
        <v>0</v>
      </c>
      <c r="I477" t="s">
        <v>75</v>
      </c>
      <c r="J477" t="s">
        <v>142</v>
      </c>
      <c r="K477" s="5">
        <f>47 / 86400</f>
        <v>5.4398148148148144E-4</v>
      </c>
      <c r="L477" s="5">
        <f>20 / 86400</f>
        <v>2.3148148148148149E-4</v>
      </c>
    </row>
    <row r="478" spans="1:12" x14ac:dyDescent="0.25">
      <c r="A478" s="3">
        <v>45705.783692129626</v>
      </c>
      <c r="B478" t="s">
        <v>122</v>
      </c>
      <c r="C478" s="3">
        <v>45705.787233796298</v>
      </c>
      <c r="D478" t="s">
        <v>340</v>
      </c>
      <c r="E478" s="4">
        <v>0.74256206941604619</v>
      </c>
      <c r="F478" s="4">
        <v>348645.53720761277</v>
      </c>
      <c r="G478" s="4">
        <v>348646.27976968215</v>
      </c>
      <c r="H478" s="5">
        <f t="shared" si="5"/>
        <v>0</v>
      </c>
      <c r="I478" t="s">
        <v>333</v>
      </c>
      <c r="J478" t="s">
        <v>133</v>
      </c>
      <c r="K478" s="5">
        <f>306 / 86400</f>
        <v>3.5416666666666665E-3</v>
      </c>
      <c r="L478" s="5">
        <f>6 / 86400</f>
        <v>6.9444444444444444E-5</v>
      </c>
    </row>
    <row r="479" spans="1:12" x14ac:dyDescent="0.25">
      <c r="A479" s="3">
        <v>45705.787303240737</v>
      </c>
      <c r="B479" t="s">
        <v>341</v>
      </c>
      <c r="C479" s="3">
        <v>45705.790532407409</v>
      </c>
      <c r="D479" t="s">
        <v>247</v>
      </c>
      <c r="E479" s="4">
        <v>1.7809363299012184</v>
      </c>
      <c r="F479" s="4">
        <v>348646.28583238792</v>
      </c>
      <c r="G479" s="4">
        <v>348648.06676871784</v>
      </c>
      <c r="H479" s="5">
        <f t="shared" si="5"/>
        <v>0</v>
      </c>
      <c r="I479" t="s">
        <v>189</v>
      </c>
      <c r="J479" t="s">
        <v>141</v>
      </c>
      <c r="K479" s="5">
        <f>279 / 86400</f>
        <v>3.2291666666666666E-3</v>
      </c>
      <c r="L479" s="5">
        <f>32 / 86400</f>
        <v>3.7037037037037035E-4</v>
      </c>
    </row>
    <row r="480" spans="1:12" x14ac:dyDescent="0.25">
      <c r="A480" s="3">
        <v>45705.790902777779</v>
      </c>
      <c r="B480" t="s">
        <v>264</v>
      </c>
      <c r="C480" s="3">
        <v>45705.79206018518</v>
      </c>
      <c r="D480" t="s">
        <v>342</v>
      </c>
      <c r="E480" s="4">
        <v>0.49755341482162474</v>
      </c>
      <c r="F480" s="4">
        <v>348648.08677714685</v>
      </c>
      <c r="G480" s="4">
        <v>348648.58433056169</v>
      </c>
      <c r="H480" s="5">
        <f t="shared" si="5"/>
        <v>0</v>
      </c>
      <c r="I480" t="s">
        <v>199</v>
      </c>
      <c r="J480" t="s">
        <v>23</v>
      </c>
      <c r="K480" s="5">
        <f>100 / 86400</f>
        <v>1.1574074074074073E-3</v>
      </c>
      <c r="L480" s="5">
        <f>80 / 86400</f>
        <v>9.2592592592592596E-4</v>
      </c>
    </row>
    <row r="481" spans="1:12" x14ac:dyDescent="0.25">
      <c r="A481" s="3">
        <v>45705.792986111112</v>
      </c>
      <c r="B481" t="s">
        <v>343</v>
      </c>
      <c r="C481" s="3">
        <v>45705.793217592596</v>
      </c>
      <c r="D481" t="s">
        <v>342</v>
      </c>
      <c r="E481" s="4">
        <v>9.5947830080986025E-3</v>
      </c>
      <c r="F481" s="4">
        <v>348648.61472811172</v>
      </c>
      <c r="G481" s="4">
        <v>348648.62432289473</v>
      </c>
      <c r="H481" s="5">
        <f t="shared" si="5"/>
        <v>0</v>
      </c>
      <c r="I481" t="s">
        <v>144</v>
      </c>
      <c r="J481" t="s">
        <v>143</v>
      </c>
      <c r="K481" s="5">
        <f>20 / 86400</f>
        <v>2.3148148148148149E-4</v>
      </c>
      <c r="L481" s="5">
        <f>17 / 86400</f>
        <v>1.9675925925925926E-4</v>
      </c>
    </row>
    <row r="482" spans="1:12" x14ac:dyDescent="0.25">
      <c r="A482" s="3">
        <v>45705.793414351851</v>
      </c>
      <c r="B482" t="s">
        <v>266</v>
      </c>
      <c r="C482" s="3">
        <v>45705.793645833328</v>
      </c>
      <c r="D482" t="s">
        <v>267</v>
      </c>
      <c r="E482" s="4">
        <v>4.308531868457794E-2</v>
      </c>
      <c r="F482" s="4">
        <v>348648.66862319113</v>
      </c>
      <c r="G482" s="4">
        <v>348648.71170850983</v>
      </c>
      <c r="H482" s="5">
        <f t="shared" si="5"/>
        <v>0</v>
      </c>
      <c r="I482" t="s">
        <v>66</v>
      </c>
      <c r="J482" t="s">
        <v>107</v>
      </c>
      <c r="K482" s="5">
        <f>20 / 86400</f>
        <v>2.3148148148148149E-4</v>
      </c>
      <c r="L482" s="5">
        <f>147 / 86400</f>
        <v>1.7013888888888888E-3</v>
      </c>
    </row>
    <row r="483" spans="1:12" x14ac:dyDescent="0.25">
      <c r="A483" s="3">
        <v>45705.795347222222</v>
      </c>
      <c r="B483" t="s">
        <v>267</v>
      </c>
      <c r="C483" s="3">
        <v>45705.79619212963</v>
      </c>
      <c r="D483" t="s">
        <v>344</v>
      </c>
      <c r="E483" s="4">
        <v>6.0628834962844852E-2</v>
      </c>
      <c r="F483" s="4">
        <v>348648.74983768171</v>
      </c>
      <c r="G483" s="4">
        <v>348648.81046651665</v>
      </c>
      <c r="H483" s="5">
        <f t="shared" si="5"/>
        <v>0</v>
      </c>
      <c r="I483" t="s">
        <v>162</v>
      </c>
      <c r="J483" t="s">
        <v>84</v>
      </c>
      <c r="K483" s="5">
        <f>73 / 86400</f>
        <v>8.4490740740740739E-4</v>
      </c>
      <c r="L483" s="5">
        <f>10 / 86400</f>
        <v>1.1574074074074075E-4</v>
      </c>
    </row>
    <row r="484" spans="1:12" x14ac:dyDescent="0.25">
      <c r="A484" s="3">
        <v>45705.796307870369</v>
      </c>
      <c r="B484" t="s">
        <v>267</v>
      </c>
      <c r="C484" s="3">
        <v>45705.796550925923</v>
      </c>
      <c r="D484" t="s">
        <v>267</v>
      </c>
      <c r="E484" s="4">
        <v>5.3201289772987362E-3</v>
      </c>
      <c r="F484" s="4">
        <v>348648.85496862791</v>
      </c>
      <c r="G484" s="4">
        <v>348648.8602887569</v>
      </c>
      <c r="H484" s="5">
        <f t="shared" si="5"/>
        <v>0</v>
      </c>
      <c r="I484" t="s">
        <v>151</v>
      </c>
      <c r="J484" t="s">
        <v>144</v>
      </c>
      <c r="K484" s="5">
        <f>21 / 86400</f>
        <v>2.4305555555555555E-4</v>
      </c>
      <c r="L484" s="5">
        <f>80 / 86400</f>
        <v>9.2592592592592596E-4</v>
      </c>
    </row>
    <row r="485" spans="1:12" x14ac:dyDescent="0.25">
      <c r="A485" s="3">
        <v>45705.797476851847</v>
      </c>
      <c r="B485" t="s">
        <v>267</v>
      </c>
      <c r="C485" s="3">
        <v>45705.798159722224</v>
      </c>
      <c r="D485" t="s">
        <v>345</v>
      </c>
      <c r="E485" s="4">
        <v>1.1912594616413117E-2</v>
      </c>
      <c r="F485" s="4">
        <v>348648.94540992967</v>
      </c>
      <c r="G485" s="4">
        <v>348648.95732252434</v>
      </c>
      <c r="H485" s="5">
        <f t="shared" si="5"/>
        <v>0</v>
      </c>
      <c r="I485" t="s">
        <v>153</v>
      </c>
      <c r="J485" t="s">
        <v>144</v>
      </c>
      <c r="K485" s="5">
        <f>59 / 86400</f>
        <v>6.8287037037037036E-4</v>
      </c>
      <c r="L485" s="5">
        <f>11 / 86400</f>
        <v>1.273148148148148E-4</v>
      </c>
    </row>
    <row r="486" spans="1:12" x14ac:dyDescent="0.25">
      <c r="A486" s="3">
        <v>45705.798287037032</v>
      </c>
      <c r="B486" t="s">
        <v>345</v>
      </c>
      <c r="C486" s="3">
        <v>45705.801412037035</v>
      </c>
      <c r="D486" t="s">
        <v>243</v>
      </c>
      <c r="E486" s="4">
        <v>1.0829319155216217</v>
      </c>
      <c r="F486" s="4">
        <v>348648.959193683</v>
      </c>
      <c r="G486" s="4">
        <v>348650.04212559847</v>
      </c>
      <c r="H486" s="5">
        <f t="shared" si="5"/>
        <v>0</v>
      </c>
      <c r="I486" t="s">
        <v>157</v>
      </c>
      <c r="J486" t="s">
        <v>75</v>
      </c>
      <c r="K486" s="5">
        <f>270 / 86400</f>
        <v>3.1250000000000002E-3</v>
      </c>
      <c r="L486" s="5">
        <f>15 / 86400</f>
        <v>1.7361111111111112E-4</v>
      </c>
    </row>
    <row r="487" spans="1:12" x14ac:dyDescent="0.25">
      <c r="A487" s="3">
        <v>45705.801585648151</v>
      </c>
      <c r="B487" t="s">
        <v>243</v>
      </c>
      <c r="C487" s="3">
        <v>45705.805659722224</v>
      </c>
      <c r="D487" t="s">
        <v>346</v>
      </c>
      <c r="E487" s="4">
        <v>0.92579536449909205</v>
      </c>
      <c r="F487" s="4">
        <v>348650.05526126805</v>
      </c>
      <c r="G487" s="4">
        <v>348650.98105663253</v>
      </c>
      <c r="H487" s="5">
        <f t="shared" si="5"/>
        <v>0</v>
      </c>
      <c r="I487" t="s">
        <v>135</v>
      </c>
      <c r="J487" t="s">
        <v>133</v>
      </c>
      <c r="K487" s="5">
        <f>352 / 86400</f>
        <v>4.0740740740740737E-3</v>
      </c>
      <c r="L487" s="5">
        <f>20 / 86400</f>
        <v>2.3148148148148149E-4</v>
      </c>
    </row>
    <row r="488" spans="1:12" x14ac:dyDescent="0.25">
      <c r="A488" s="3">
        <v>45705.805891203709</v>
      </c>
      <c r="B488" t="s">
        <v>346</v>
      </c>
      <c r="C488" s="3">
        <v>45705.807395833333</v>
      </c>
      <c r="D488" t="s">
        <v>347</v>
      </c>
      <c r="E488" s="4">
        <v>0.5317020280957222</v>
      </c>
      <c r="F488" s="4">
        <v>348650.9826988295</v>
      </c>
      <c r="G488" s="4">
        <v>348651.51440085756</v>
      </c>
      <c r="H488" s="5">
        <f t="shared" si="5"/>
        <v>0</v>
      </c>
      <c r="I488" t="s">
        <v>333</v>
      </c>
      <c r="J488" t="s">
        <v>30</v>
      </c>
      <c r="K488" s="5">
        <f>130 / 86400</f>
        <v>1.5046296296296296E-3</v>
      </c>
      <c r="L488" s="5">
        <f>40 / 86400</f>
        <v>4.6296296296296298E-4</v>
      </c>
    </row>
    <row r="489" spans="1:12" x14ac:dyDescent="0.25">
      <c r="A489" s="3">
        <v>45705.807858796295</v>
      </c>
      <c r="B489" t="s">
        <v>347</v>
      </c>
      <c r="C489" s="3">
        <v>45705.808090277773</v>
      </c>
      <c r="D489" t="s">
        <v>347</v>
      </c>
      <c r="E489" s="4">
        <v>5.4437869787216184E-4</v>
      </c>
      <c r="F489" s="4">
        <v>348651.51712116494</v>
      </c>
      <c r="G489" s="4">
        <v>348651.51766554359</v>
      </c>
      <c r="H489" s="5">
        <f t="shared" si="5"/>
        <v>0</v>
      </c>
      <c r="I489" t="s">
        <v>144</v>
      </c>
      <c r="J489" t="s">
        <v>73</v>
      </c>
      <c r="K489" s="5">
        <f>20 / 86400</f>
        <v>2.3148148148148149E-4</v>
      </c>
      <c r="L489" s="5">
        <f>23 / 86400</f>
        <v>2.6620370370370372E-4</v>
      </c>
    </row>
    <row r="490" spans="1:12" x14ac:dyDescent="0.25">
      <c r="A490" s="3">
        <v>45705.808356481481</v>
      </c>
      <c r="B490" t="s">
        <v>271</v>
      </c>
      <c r="C490" s="3">
        <v>45705.809664351851</v>
      </c>
      <c r="D490" t="s">
        <v>348</v>
      </c>
      <c r="E490" s="4">
        <v>1.006285109937191</v>
      </c>
      <c r="F490" s="4">
        <v>348651.52188487787</v>
      </c>
      <c r="G490" s="4">
        <v>348652.52816998778</v>
      </c>
      <c r="H490" s="5">
        <f t="shared" si="5"/>
        <v>0</v>
      </c>
      <c r="I490" t="s">
        <v>181</v>
      </c>
      <c r="J490" t="s">
        <v>265</v>
      </c>
      <c r="K490" s="5">
        <f>113 / 86400</f>
        <v>1.3078703703703703E-3</v>
      </c>
      <c r="L490" s="5">
        <f>20 / 86400</f>
        <v>2.3148148148148149E-4</v>
      </c>
    </row>
    <row r="491" spans="1:12" x14ac:dyDescent="0.25">
      <c r="A491" s="3">
        <v>45705.809895833328</v>
      </c>
      <c r="B491" t="s">
        <v>348</v>
      </c>
      <c r="C491" s="3">
        <v>45705.810590277775</v>
      </c>
      <c r="D491" t="s">
        <v>272</v>
      </c>
      <c r="E491" s="4">
        <v>0.12519082039594651</v>
      </c>
      <c r="F491" s="4">
        <v>348652.55839637195</v>
      </c>
      <c r="G491" s="4">
        <v>348652.68358719238</v>
      </c>
      <c r="H491" s="5">
        <f t="shared" si="5"/>
        <v>0</v>
      </c>
      <c r="I491" t="s">
        <v>20</v>
      </c>
      <c r="J491" t="s">
        <v>107</v>
      </c>
      <c r="K491" s="5">
        <f>60 / 86400</f>
        <v>6.9444444444444447E-4</v>
      </c>
      <c r="L491" s="5">
        <f>11 / 86400</f>
        <v>1.273148148148148E-4</v>
      </c>
    </row>
    <row r="492" spans="1:12" x14ac:dyDescent="0.25">
      <c r="A492" s="3">
        <v>45705.810717592598</v>
      </c>
      <c r="B492" t="s">
        <v>272</v>
      </c>
      <c r="C492" s="3">
        <v>45705.811643518522</v>
      </c>
      <c r="D492" t="s">
        <v>349</v>
      </c>
      <c r="E492" s="4">
        <v>0.36082549977302553</v>
      </c>
      <c r="F492" s="4">
        <v>348652.68552936841</v>
      </c>
      <c r="G492" s="4">
        <v>348653.04635486816</v>
      </c>
      <c r="H492" s="5">
        <f t="shared" si="5"/>
        <v>0</v>
      </c>
      <c r="I492" t="s">
        <v>193</v>
      </c>
      <c r="J492" t="s">
        <v>62</v>
      </c>
      <c r="K492" s="5">
        <f>80 / 86400</f>
        <v>9.2592592592592596E-4</v>
      </c>
      <c r="L492" s="5">
        <f>13 / 86400</f>
        <v>1.5046296296296297E-4</v>
      </c>
    </row>
    <row r="493" spans="1:12" x14ac:dyDescent="0.25">
      <c r="A493" s="3">
        <v>45705.811793981484</v>
      </c>
      <c r="B493" t="s">
        <v>349</v>
      </c>
      <c r="C493" s="3">
        <v>45705.813750000001</v>
      </c>
      <c r="D493" t="s">
        <v>238</v>
      </c>
      <c r="E493" s="4">
        <v>1.0455781961679458</v>
      </c>
      <c r="F493" s="4">
        <v>348653.04973065114</v>
      </c>
      <c r="G493" s="4">
        <v>348654.09530884732</v>
      </c>
      <c r="H493" s="5">
        <f t="shared" si="5"/>
        <v>0</v>
      </c>
      <c r="I493" t="s">
        <v>251</v>
      </c>
      <c r="J493" t="s">
        <v>135</v>
      </c>
      <c r="K493" s="5">
        <f>169 / 86400</f>
        <v>1.9560185185185184E-3</v>
      </c>
      <c r="L493" s="5">
        <f>80 / 86400</f>
        <v>9.2592592592592596E-4</v>
      </c>
    </row>
    <row r="494" spans="1:12" x14ac:dyDescent="0.25">
      <c r="A494" s="3">
        <v>45705.814675925925</v>
      </c>
      <c r="B494" t="s">
        <v>238</v>
      </c>
      <c r="C494" s="3">
        <v>45705.816064814819</v>
      </c>
      <c r="D494" t="s">
        <v>132</v>
      </c>
      <c r="E494" s="4">
        <v>0.56822190815210338</v>
      </c>
      <c r="F494" s="4">
        <v>348654.12569131266</v>
      </c>
      <c r="G494" s="4">
        <v>348654.69391322084</v>
      </c>
      <c r="H494" s="5">
        <f t="shared" si="5"/>
        <v>0</v>
      </c>
      <c r="I494" t="s">
        <v>265</v>
      </c>
      <c r="J494" t="s">
        <v>32</v>
      </c>
      <c r="K494" s="5">
        <f>120 / 86400</f>
        <v>1.3888888888888889E-3</v>
      </c>
      <c r="L494" s="5">
        <f>23 / 86400</f>
        <v>2.6620370370370372E-4</v>
      </c>
    </row>
    <row r="495" spans="1:12" x14ac:dyDescent="0.25">
      <c r="A495" s="3">
        <v>45705.816331018519</v>
      </c>
      <c r="B495" t="s">
        <v>350</v>
      </c>
      <c r="C495" s="3">
        <v>45705.818078703705</v>
      </c>
      <c r="D495" t="s">
        <v>351</v>
      </c>
      <c r="E495" s="4">
        <v>0.31753930950164794</v>
      </c>
      <c r="F495" s="4">
        <v>348654.82209644798</v>
      </c>
      <c r="G495" s="4">
        <v>348655.13963575748</v>
      </c>
      <c r="H495" s="5">
        <f t="shared" si="5"/>
        <v>0</v>
      </c>
      <c r="I495" t="s">
        <v>162</v>
      </c>
      <c r="J495" t="s">
        <v>107</v>
      </c>
      <c r="K495" s="5">
        <f>151 / 86400</f>
        <v>1.7476851851851852E-3</v>
      </c>
      <c r="L495" s="5">
        <f>40 / 86400</f>
        <v>4.6296296296296298E-4</v>
      </c>
    </row>
    <row r="496" spans="1:12" x14ac:dyDescent="0.25">
      <c r="A496" s="3">
        <v>45705.818541666667</v>
      </c>
      <c r="B496" t="s">
        <v>351</v>
      </c>
      <c r="C496" s="3">
        <v>45705.820081018523</v>
      </c>
      <c r="D496" t="s">
        <v>235</v>
      </c>
      <c r="E496" s="4">
        <v>0.62138458931446072</v>
      </c>
      <c r="F496" s="4">
        <v>348655.17274426413</v>
      </c>
      <c r="G496" s="4">
        <v>348655.79412885342</v>
      </c>
      <c r="H496" s="5">
        <f t="shared" si="5"/>
        <v>0</v>
      </c>
      <c r="I496" t="s">
        <v>196</v>
      </c>
      <c r="J496" t="s">
        <v>32</v>
      </c>
      <c r="K496" s="5">
        <f>133 / 86400</f>
        <v>1.5393518518518519E-3</v>
      </c>
      <c r="L496" s="5">
        <f>60 / 86400</f>
        <v>6.9444444444444447E-4</v>
      </c>
    </row>
    <row r="497" spans="1:12" x14ac:dyDescent="0.25">
      <c r="A497" s="3">
        <v>45705.820775462962</v>
      </c>
      <c r="B497" t="s">
        <v>352</v>
      </c>
      <c r="C497" s="3">
        <v>45705.821469907409</v>
      </c>
      <c r="D497" t="s">
        <v>235</v>
      </c>
      <c r="E497" s="4">
        <v>0.16655225753784181</v>
      </c>
      <c r="F497" s="4">
        <v>348655.83953324147</v>
      </c>
      <c r="G497" s="4">
        <v>348656.00608549902</v>
      </c>
      <c r="H497" s="5">
        <f t="shared" si="5"/>
        <v>0</v>
      </c>
      <c r="I497" t="s">
        <v>141</v>
      </c>
      <c r="J497" t="s">
        <v>118</v>
      </c>
      <c r="K497" s="5">
        <f>60 / 86400</f>
        <v>6.9444444444444447E-4</v>
      </c>
      <c r="L497" s="5">
        <f>20 / 86400</f>
        <v>2.3148148148148149E-4</v>
      </c>
    </row>
    <row r="498" spans="1:12" x14ac:dyDescent="0.25">
      <c r="A498" s="3">
        <v>45705.821701388893</v>
      </c>
      <c r="B498" t="s">
        <v>235</v>
      </c>
      <c r="C498" s="3">
        <v>45705.823622685188</v>
      </c>
      <c r="D498" t="s">
        <v>353</v>
      </c>
      <c r="E498" s="4">
        <v>0.95578938668966296</v>
      </c>
      <c r="F498" s="4">
        <v>348656.22536239267</v>
      </c>
      <c r="G498" s="4">
        <v>348657.18115177937</v>
      </c>
      <c r="H498" s="5">
        <f t="shared" si="5"/>
        <v>0</v>
      </c>
      <c r="I498" t="s">
        <v>196</v>
      </c>
      <c r="J498" t="s">
        <v>38</v>
      </c>
      <c r="K498" s="5">
        <f>166 / 86400</f>
        <v>1.9212962962962964E-3</v>
      </c>
      <c r="L498" s="5">
        <f>4 / 86400</f>
        <v>4.6296296296296294E-5</v>
      </c>
    </row>
    <row r="499" spans="1:12" x14ac:dyDescent="0.25">
      <c r="A499" s="3">
        <v>45705.82366898148</v>
      </c>
      <c r="B499" t="s">
        <v>353</v>
      </c>
      <c r="C499" s="3">
        <v>45705.82534722222</v>
      </c>
      <c r="D499" t="s">
        <v>354</v>
      </c>
      <c r="E499" s="4">
        <v>0.99821766126155853</v>
      </c>
      <c r="F499" s="4">
        <v>348657.1858826903</v>
      </c>
      <c r="G499" s="4">
        <v>348658.18410035159</v>
      </c>
      <c r="H499" s="5">
        <f t="shared" si="5"/>
        <v>0</v>
      </c>
      <c r="I499" t="s">
        <v>333</v>
      </c>
      <c r="J499" t="s">
        <v>163</v>
      </c>
      <c r="K499" s="5">
        <f>145 / 86400</f>
        <v>1.6782407407407408E-3</v>
      </c>
      <c r="L499" s="5">
        <f>40 / 86400</f>
        <v>4.6296296296296298E-4</v>
      </c>
    </row>
    <row r="500" spans="1:12" x14ac:dyDescent="0.25">
      <c r="A500" s="3">
        <v>45705.825810185182</v>
      </c>
      <c r="B500" t="s">
        <v>354</v>
      </c>
      <c r="C500" s="3">
        <v>45705.826967592591</v>
      </c>
      <c r="D500" t="s">
        <v>225</v>
      </c>
      <c r="E500" s="4">
        <v>0.73012850272655483</v>
      </c>
      <c r="F500" s="4">
        <v>348658.19311900664</v>
      </c>
      <c r="G500" s="4">
        <v>348658.92324750934</v>
      </c>
      <c r="H500" s="5">
        <f t="shared" si="5"/>
        <v>0</v>
      </c>
      <c r="I500" t="s">
        <v>176</v>
      </c>
      <c r="J500" t="s">
        <v>288</v>
      </c>
      <c r="K500" s="5">
        <f>100 / 86400</f>
        <v>1.1574074074074073E-3</v>
      </c>
      <c r="L500" s="5">
        <f>40 / 86400</f>
        <v>4.6296296296296298E-4</v>
      </c>
    </row>
    <row r="501" spans="1:12" x14ac:dyDescent="0.25">
      <c r="A501" s="3">
        <v>45705.827430555553</v>
      </c>
      <c r="B501" t="s">
        <v>225</v>
      </c>
      <c r="C501" s="3">
        <v>45705.829513888893</v>
      </c>
      <c r="D501" t="s">
        <v>229</v>
      </c>
      <c r="E501" s="4">
        <v>0.8258938859701157</v>
      </c>
      <c r="F501" s="4">
        <v>348658.9317703016</v>
      </c>
      <c r="G501" s="4">
        <v>348659.75766418758</v>
      </c>
      <c r="H501" s="5">
        <f t="shared" si="5"/>
        <v>0</v>
      </c>
      <c r="I501" t="s">
        <v>227</v>
      </c>
      <c r="J501" t="s">
        <v>32</v>
      </c>
      <c r="K501" s="5">
        <f>180 / 86400</f>
        <v>2.0833333333333333E-3</v>
      </c>
      <c r="L501" s="5">
        <f>20 / 86400</f>
        <v>2.3148148148148149E-4</v>
      </c>
    </row>
    <row r="502" spans="1:12" x14ac:dyDescent="0.25">
      <c r="A502" s="3">
        <v>45705.829745370371</v>
      </c>
      <c r="B502" t="s">
        <v>229</v>
      </c>
      <c r="C502" s="3">
        <v>45705.830208333333</v>
      </c>
      <c r="D502" t="s">
        <v>355</v>
      </c>
      <c r="E502" s="4">
        <v>6.4826564967632297E-2</v>
      </c>
      <c r="F502" s="4">
        <v>348659.79678672855</v>
      </c>
      <c r="G502" s="4">
        <v>348659.86161329353</v>
      </c>
      <c r="H502" s="5">
        <f t="shared" si="5"/>
        <v>0</v>
      </c>
      <c r="I502" t="s">
        <v>38</v>
      </c>
      <c r="J502" t="s">
        <v>153</v>
      </c>
      <c r="K502" s="5">
        <f>40 / 86400</f>
        <v>4.6296296296296298E-4</v>
      </c>
      <c r="L502" s="5">
        <f>20 / 86400</f>
        <v>2.3148148148148149E-4</v>
      </c>
    </row>
    <row r="503" spans="1:12" x14ac:dyDescent="0.25">
      <c r="A503" s="3">
        <v>45705.830439814818</v>
      </c>
      <c r="B503" t="s">
        <v>229</v>
      </c>
      <c r="C503" s="3">
        <v>45705.830671296295</v>
      </c>
      <c r="D503" t="s">
        <v>229</v>
      </c>
      <c r="E503" s="4">
        <v>5.9589416980743411E-3</v>
      </c>
      <c r="F503" s="4">
        <v>348659.88074976852</v>
      </c>
      <c r="G503" s="4">
        <v>348659.88670871017</v>
      </c>
      <c r="H503" s="5">
        <f t="shared" si="5"/>
        <v>0</v>
      </c>
      <c r="I503" t="s">
        <v>148</v>
      </c>
      <c r="J503" t="s">
        <v>144</v>
      </c>
      <c r="K503" s="5">
        <f>20 / 86400</f>
        <v>2.3148148148148149E-4</v>
      </c>
      <c r="L503" s="5">
        <f>60 / 86400</f>
        <v>6.9444444444444447E-4</v>
      </c>
    </row>
    <row r="504" spans="1:12" x14ac:dyDescent="0.25">
      <c r="A504" s="3">
        <v>45705.831365740742</v>
      </c>
      <c r="B504" t="s">
        <v>229</v>
      </c>
      <c r="C504" s="3">
        <v>45705.833449074074</v>
      </c>
      <c r="D504" t="s">
        <v>229</v>
      </c>
      <c r="E504" s="4">
        <v>1.0395880599021912</v>
      </c>
      <c r="F504" s="4">
        <v>348659.91608724603</v>
      </c>
      <c r="G504" s="4">
        <v>348660.95567530597</v>
      </c>
      <c r="H504" s="5">
        <f t="shared" si="5"/>
        <v>0</v>
      </c>
      <c r="I504" t="s">
        <v>248</v>
      </c>
      <c r="J504" t="s">
        <v>38</v>
      </c>
      <c r="K504" s="5">
        <f>180 / 86400</f>
        <v>2.0833333333333333E-3</v>
      </c>
      <c r="L504" s="5">
        <f>12 / 86400</f>
        <v>1.3888888888888889E-4</v>
      </c>
    </row>
    <row r="505" spans="1:12" x14ac:dyDescent="0.25">
      <c r="A505" s="3">
        <v>45705.833587962959</v>
      </c>
      <c r="B505" t="s">
        <v>229</v>
      </c>
      <c r="C505" s="3">
        <v>45705.834513888884</v>
      </c>
      <c r="D505" t="s">
        <v>225</v>
      </c>
      <c r="E505" s="4">
        <v>9.9643165409564971E-2</v>
      </c>
      <c r="F505" s="4">
        <v>348660.96850207995</v>
      </c>
      <c r="G505" s="4">
        <v>348661.06814524537</v>
      </c>
      <c r="H505" s="5">
        <f t="shared" si="5"/>
        <v>0</v>
      </c>
      <c r="I505" t="s">
        <v>153</v>
      </c>
      <c r="J505" t="s">
        <v>148</v>
      </c>
      <c r="K505" s="5">
        <f>80 / 86400</f>
        <v>9.2592592592592596E-4</v>
      </c>
      <c r="L505" s="5">
        <f>4 / 86400</f>
        <v>4.6296296296296294E-5</v>
      </c>
    </row>
    <row r="506" spans="1:12" x14ac:dyDescent="0.25">
      <c r="A506" s="3">
        <v>45705.834560185191</v>
      </c>
      <c r="B506" t="s">
        <v>229</v>
      </c>
      <c r="C506" s="3">
        <v>45705.834791666668</v>
      </c>
      <c r="D506" t="s">
        <v>229</v>
      </c>
      <c r="E506" s="4">
        <v>0</v>
      </c>
      <c r="F506" s="4">
        <v>348661.07921451877</v>
      </c>
      <c r="G506" s="4">
        <v>348661.07921451877</v>
      </c>
      <c r="H506" s="5">
        <f t="shared" si="5"/>
        <v>0</v>
      </c>
      <c r="I506" t="s">
        <v>142</v>
      </c>
      <c r="J506" t="s">
        <v>73</v>
      </c>
      <c r="K506" s="5">
        <f>20 / 86400</f>
        <v>2.3148148148148149E-4</v>
      </c>
      <c r="L506" s="5">
        <f>186 / 86400</f>
        <v>2.1527777777777778E-3</v>
      </c>
    </row>
    <row r="507" spans="1:12" x14ac:dyDescent="0.25">
      <c r="A507" s="3">
        <v>45705.83694444444</v>
      </c>
      <c r="B507" t="s">
        <v>229</v>
      </c>
      <c r="C507" s="3">
        <v>45705.837407407409</v>
      </c>
      <c r="D507" t="s">
        <v>225</v>
      </c>
      <c r="E507" s="4">
        <v>3.1296741902828218E-2</v>
      </c>
      <c r="F507" s="4">
        <v>348661.20891968947</v>
      </c>
      <c r="G507" s="4">
        <v>348661.24021643138</v>
      </c>
      <c r="H507" s="5">
        <f t="shared" si="5"/>
        <v>0</v>
      </c>
      <c r="I507" t="s">
        <v>45</v>
      </c>
      <c r="J507" t="s">
        <v>84</v>
      </c>
      <c r="K507" s="5">
        <f>40 / 86400</f>
        <v>4.6296296296296298E-4</v>
      </c>
      <c r="L507" s="5">
        <f>278 / 86400</f>
        <v>3.2175925925925926E-3</v>
      </c>
    </row>
    <row r="508" spans="1:12" x14ac:dyDescent="0.25">
      <c r="A508" s="3">
        <v>45705.840624999997</v>
      </c>
      <c r="B508" t="s">
        <v>113</v>
      </c>
      <c r="C508" s="3">
        <v>45705.841087962966</v>
      </c>
      <c r="D508" t="s">
        <v>277</v>
      </c>
      <c r="E508" s="4">
        <v>9.7214689493179324E-2</v>
      </c>
      <c r="F508" s="4">
        <v>348661.45746680553</v>
      </c>
      <c r="G508" s="4">
        <v>348661.55468149501</v>
      </c>
      <c r="H508" s="5">
        <f t="shared" si="5"/>
        <v>0</v>
      </c>
      <c r="I508" t="s">
        <v>27</v>
      </c>
      <c r="J508" t="s">
        <v>133</v>
      </c>
      <c r="K508" s="5">
        <f>40 / 86400</f>
        <v>4.6296296296296298E-4</v>
      </c>
      <c r="L508" s="5">
        <f>4 / 86400</f>
        <v>4.6296296296296294E-5</v>
      </c>
    </row>
    <row r="509" spans="1:12" x14ac:dyDescent="0.25">
      <c r="A509" s="3">
        <v>45705.841134259259</v>
      </c>
      <c r="B509" t="s">
        <v>277</v>
      </c>
      <c r="C509" s="3">
        <v>45705.841365740736</v>
      </c>
      <c r="D509" t="s">
        <v>277</v>
      </c>
      <c r="E509" s="4">
        <v>2.4193667352199553E-2</v>
      </c>
      <c r="F509" s="4">
        <v>348661.56290315988</v>
      </c>
      <c r="G509" s="4">
        <v>348661.58709682722</v>
      </c>
      <c r="H509" s="5">
        <f t="shared" si="5"/>
        <v>0</v>
      </c>
      <c r="I509" t="s">
        <v>153</v>
      </c>
      <c r="J509" t="s">
        <v>148</v>
      </c>
      <c r="K509" s="5">
        <f>20 / 86400</f>
        <v>2.3148148148148149E-4</v>
      </c>
      <c r="L509" s="5">
        <f>19 / 86400</f>
        <v>2.199074074074074E-4</v>
      </c>
    </row>
    <row r="510" spans="1:12" x14ac:dyDescent="0.25">
      <c r="A510" s="3">
        <v>45705.841585648144</v>
      </c>
      <c r="B510" t="s">
        <v>113</v>
      </c>
      <c r="C510" s="3">
        <v>45705.8434375</v>
      </c>
      <c r="D510" t="s">
        <v>356</v>
      </c>
      <c r="E510" s="4">
        <v>0.24913801962137222</v>
      </c>
      <c r="F510" s="4">
        <v>348661.60683242907</v>
      </c>
      <c r="G510" s="4">
        <v>348661.8559704487</v>
      </c>
      <c r="H510" s="5">
        <f t="shared" si="5"/>
        <v>0</v>
      </c>
      <c r="I510" t="s">
        <v>118</v>
      </c>
      <c r="J510" t="s">
        <v>153</v>
      </c>
      <c r="K510" s="5">
        <f>160 / 86400</f>
        <v>1.8518518518518519E-3</v>
      </c>
      <c r="L510" s="5">
        <f>2 / 86400</f>
        <v>2.3148148148148147E-5</v>
      </c>
    </row>
    <row r="511" spans="1:12" x14ac:dyDescent="0.25">
      <c r="A511" s="3">
        <v>45705.843460648146</v>
      </c>
      <c r="B511" t="s">
        <v>357</v>
      </c>
      <c r="C511" s="3">
        <v>45705.845185185186</v>
      </c>
      <c r="D511" t="s">
        <v>358</v>
      </c>
      <c r="E511" s="4">
        <v>0.72204808449745184</v>
      </c>
      <c r="F511" s="4">
        <v>348661.88822345925</v>
      </c>
      <c r="G511" s="4">
        <v>348662.61027154373</v>
      </c>
      <c r="H511" s="5">
        <f t="shared" si="5"/>
        <v>0</v>
      </c>
      <c r="I511" t="s">
        <v>333</v>
      </c>
      <c r="J511" t="s">
        <v>32</v>
      </c>
      <c r="K511" s="5">
        <f>149 / 86400</f>
        <v>1.724537037037037E-3</v>
      </c>
      <c r="L511" s="5">
        <f>28 / 86400</f>
        <v>3.2407407407407406E-4</v>
      </c>
    </row>
    <row r="512" spans="1:12" x14ac:dyDescent="0.25">
      <c r="A512" s="3">
        <v>45705.845509259263</v>
      </c>
      <c r="B512" t="s">
        <v>358</v>
      </c>
      <c r="C512" s="3">
        <v>45705.847361111111</v>
      </c>
      <c r="D512" t="s">
        <v>96</v>
      </c>
      <c r="E512" s="4">
        <v>0.80066342020034786</v>
      </c>
      <c r="F512" s="4">
        <v>348662.62057314219</v>
      </c>
      <c r="G512" s="4">
        <v>348663.42123656237</v>
      </c>
      <c r="H512" s="5">
        <f t="shared" si="5"/>
        <v>0</v>
      </c>
      <c r="I512" t="s">
        <v>216</v>
      </c>
      <c r="J512" t="s">
        <v>23</v>
      </c>
      <c r="K512" s="5">
        <f>160 / 86400</f>
        <v>1.8518518518518519E-3</v>
      </c>
      <c r="L512" s="5">
        <f>20 / 86400</f>
        <v>2.3148148148148149E-4</v>
      </c>
    </row>
    <row r="513" spans="1:12" x14ac:dyDescent="0.25">
      <c r="A513" s="3">
        <v>45705.847592592589</v>
      </c>
      <c r="B513" t="s">
        <v>96</v>
      </c>
      <c r="C513" s="3">
        <v>45705.84851851852</v>
      </c>
      <c r="D513" t="s">
        <v>359</v>
      </c>
      <c r="E513" s="4">
        <v>0.61149265944957731</v>
      </c>
      <c r="F513" s="4">
        <v>348663.46180755226</v>
      </c>
      <c r="G513" s="4">
        <v>348664.07330021175</v>
      </c>
      <c r="H513" s="5">
        <f t="shared" si="5"/>
        <v>0</v>
      </c>
      <c r="I513" t="s">
        <v>202</v>
      </c>
      <c r="J513" t="s">
        <v>117</v>
      </c>
      <c r="K513" s="5">
        <f>80 / 86400</f>
        <v>9.2592592592592596E-4</v>
      </c>
      <c r="L513" s="5">
        <f>20 / 86400</f>
        <v>2.3148148148148149E-4</v>
      </c>
    </row>
    <row r="514" spans="1:12" x14ac:dyDescent="0.25">
      <c r="A514" s="3">
        <v>45705.848750000005</v>
      </c>
      <c r="B514" t="s">
        <v>96</v>
      </c>
      <c r="C514" s="3">
        <v>45705.849675925929</v>
      </c>
      <c r="D514" t="s">
        <v>79</v>
      </c>
      <c r="E514" s="4">
        <v>0.68491803359985348</v>
      </c>
      <c r="F514" s="4">
        <v>348664.08264080505</v>
      </c>
      <c r="G514" s="4">
        <v>348664.76755883865</v>
      </c>
      <c r="H514" s="5">
        <f t="shared" si="5"/>
        <v>0</v>
      </c>
      <c r="I514" t="s">
        <v>106</v>
      </c>
      <c r="J514" t="s">
        <v>145</v>
      </c>
      <c r="K514" s="5">
        <f>80 / 86400</f>
        <v>9.2592592592592596E-4</v>
      </c>
      <c r="L514" s="5">
        <f>8 / 86400</f>
        <v>9.2592592592592588E-5</v>
      </c>
    </row>
    <row r="515" spans="1:12" x14ac:dyDescent="0.25">
      <c r="A515" s="3">
        <v>45705.849768518514</v>
      </c>
      <c r="B515" t="s">
        <v>79</v>
      </c>
      <c r="C515" s="3">
        <v>45705.850462962961</v>
      </c>
      <c r="D515" t="s">
        <v>360</v>
      </c>
      <c r="E515" s="4">
        <v>0.50048041069507598</v>
      </c>
      <c r="F515" s="4">
        <v>348664.77197541844</v>
      </c>
      <c r="G515" s="4">
        <v>348665.27245582914</v>
      </c>
      <c r="H515" s="5">
        <f t="shared" si="5"/>
        <v>0</v>
      </c>
      <c r="I515" t="s">
        <v>240</v>
      </c>
      <c r="J515" t="s">
        <v>152</v>
      </c>
      <c r="K515" s="5">
        <f>60 / 86400</f>
        <v>6.9444444444444447E-4</v>
      </c>
      <c r="L515" s="5">
        <f>40 / 86400</f>
        <v>4.6296296296296298E-4</v>
      </c>
    </row>
    <row r="516" spans="1:12" x14ac:dyDescent="0.25">
      <c r="A516" s="3">
        <v>45705.85092592593</v>
      </c>
      <c r="B516" t="s">
        <v>360</v>
      </c>
      <c r="C516" s="3">
        <v>45705.851388888885</v>
      </c>
      <c r="D516" t="s">
        <v>360</v>
      </c>
      <c r="E516" s="4">
        <v>7.7875495731830599E-2</v>
      </c>
      <c r="F516" s="4">
        <v>348665.34711324575</v>
      </c>
      <c r="G516" s="4">
        <v>348665.42498874146</v>
      </c>
      <c r="H516" s="5">
        <f t="shared" si="5"/>
        <v>0</v>
      </c>
      <c r="I516" t="s">
        <v>118</v>
      </c>
      <c r="J516" t="s">
        <v>151</v>
      </c>
      <c r="K516" s="5">
        <f>40 / 86400</f>
        <v>4.6296296296296298E-4</v>
      </c>
      <c r="L516" s="5">
        <f>29 / 86400</f>
        <v>3.3564814814814812E-4</v>
      </c>
    </row>
    <row r="517" spans="1:12" x14ac:dyDescent="0.25">
      <c r="A517" s="3">
        <v>45705.851724537039</v>
      </c>
      <c r="B517" t="s">
        <v>360</v>
      </c>
      <c r="C517" s="3">
        <v>45705.852418981478</v>
      </c>
      <c r="D517" t="s">
        <v>282</v>
      </c>
      <c r="E517" s="4">
        <v>0.30717786300182343</v>
      </c>
      <c r="F517" s="4">
        <v>348665.43486255902</v>
      </c>
      <c r="G517" s="4">
        <v>348665.74204042205</v>
      </c>
      <c r="H517" s="5">
        <f t="shared" si="5"/>
        <v>0</v>
      </c>
      <c r="I517" t="s">
        <v>265</v>
      </c>
      <c r="J517" t="s">
        <v>23</v>
      </c>
      <c r="K517" s="5">
        <f>60 / 86400</f>
        <v>6.9444444444444447E-4</v>
      </c>
      <c r="L517" s="5">
        <f>20 / 86400</f>
        <v>2.3148148148148149E-4</v>
      </c>
    </row>
    <row r="518" spans="1:12" x14ac:dyDescent="0.25">
      <c r="A518" s="3">
        <v>45705.852650462963</v>
      </c>
      <c r="B518" t="s">
        <v>79</v>
      </c>
      <c r="C518" s="3">
        <v>45705.853807870371</v>
      </c>
      <c r="D518" t="s">
        <v>79</v>
      </c>
      <c r="E518" s="4">
        <v>0.14258750945329665</v>
      </c>
      <c r="F518" s="4">
        <v>348665.764665781</v>
      </c>
      <c r="G518" s="4">
        <v>348665.90725329047</v>
      </c>
      <c r="H518" s="5">
        <f t="shared" si="5"/>
        <v>0</v>
      </c>
      <c r="I518" t="s">
        <v>151</v>
      </c>
      <c r="J518" t="s">
        <v>142</v>
      </c>
      <c r="K518" s="5">
        <f>100 / 86400</f>
        <v>1.1574074074074073E-3</v>
      </c>
      <c r="L518" s="5">
        <f>20 / 86400</f>
        <v>2.3148148148148149E-4</v>
      </c>
    </row>
    <row r="519" spans="1:12" x14ac:dyDescent="0.25">
      <c r="A519" s="3">
        <v>45705.854039351849</v>
      </c>
      <c r="B519" t="s">
        <v>79</v>
      </c>
      <c r="C519" s="3">
        <v>45705.854374999995</v>
      </c>
      <c r="D519" t="s">
        <v>79</v>
      </c>
      <c r="E519" s="4">
        <v>2.3053651809692384E-2</v>
      </c>
      <c r="F519" s="4">
        <v>348665.91016083228</v>
      </c>
      <c r="G519" s="4">
        <v>348665.93321448407</v>
      </c>
      <c r="H519" s="5">
        <f t="shared" si="5"/>
        <v>0</v>
      </c>
      <c r="I519" t="s">
        <v>153</v>
      </c>
      <c r="J519" t="s">
        <v>84</v>
      </c>
      <c r="K519" s="5">
        <f>29 / 86400</f>
        <v>3.3564814814814812E-4</v>
      </c>
      <c r="L519" s="5">
        <f>27 / 86400</f>
        <v>3.1250000000000001E-4</v>
      </c>
    </row>
    <row r="520" spans="1:12" x14ac:dyDescent="0.25">
      <c r="A520" s="3">
        <v>45705.854687500003</v>
      </c>
      <c r="B520" t="s">
        <v>79</v>
      </c>
      <c r="C520" s="3">
        <v>45705.85491898148</v>
      </c>
      <c r="D520" t="s">
        <v>79</v>
      </c>
      <c r="E520" s="4">
        <v>9.1256016492843629E-3</v>
      </c>
      <c r="F520" s="4">
        <v>348665.94146212121</v>
      </c>
      <c r="G520" s="4">
        <v>348665.95058772282</v>
      </c>
      <c r="H520" s="5">
        <f t="shared" ref="H520:H553" si="6">0 / 86400</f>
        <v>0</v>
      </c>
      <c r="I520" t="s">
        <v>142</v>
      </c>
      <c r="J520" t="s">
        <v>143</v>
      </c>
      <c r="K520" s="5">
        <f>20 / 86400</f>
        <v>2.3148148148148149E-4</v>
      </c>
      <c r="L520" s="5">
        <f>56 / 86400</f>
        <v>6.4814814814814813E-4</v>
      </c>
    </row>
    <row r="521" spans="1:12" x14ac:dyDescent="0.25">
      <c r="A521" s="3">
        <v>45705.855567129634</v>
      </c>
      <c r="B521" t="s">
        <v>79</v>
      </c>
      <c r="C521" s="3">
        <v>45705.856261574074</v>
      </c>
      <c r="D521" t="s">
        <v>79</v>
      </c>
      <c r="E521" s="4">
        <v>0.49857579839229582</v>
      </c>
      <c r="F521" s="4">
        <v>348665.98145048501</v>
      </c>
      <c r="G521" s="4">
        <v>348666.48002628336</v>
      </c>
      <c r="H521" s="5">
        <f t="shared" si="6"/>
        <v>0</v>
      </c>
      <c r="I521" t="s">
        <v>215</v>
      </c>
      <c r="J521" t="s">
        <v>152</v>
      </c>
      <c r="K521" s="5">
        <f>60 / 86400</f>
        <v>6.9444444444444447E-4</v>
      </c>
      <c r="L521" s="5">
        <f>29 / 86400</f>
        <v>3.3564814814814812E-4</v>
      </c>
    </row>
    <row r="522" spans="1:12" x14ac:dyDescent="0.25">
      <c r="A522" s="3">
        <v>45705.85659722222</v>
      </c>
      <c r="B522" t="s">
        <v>79</v>
      </c>
      <c r="C522" s="3">
        <v>45705.858449074076</v>
      </c>
      <c r="D522" t="s">
        <v>79</v>
      </c>
      <c r="E522" s="4">
        <v>1.2406676104068757</v>
      </c>
      <c r="F522" s="4">
        <v>348666.49066946504</v>
      </c>
      <c r="G522" s="4">
        <v>348667.73133707547</v>
      </c>
      <c r="H522" s="5">
        <f t="shared" si="6"/>
        <v>0</v>
      </c>
      <c r="I522" t="s">
        <v>196</v>
      </c>
      <c r="J522" t="s">
        <v>117</v>
      </c>
      <c r="K522" s="5">
        <f>160 / 86400</f>
        <v>1.8518518518518519E-3</v>
      </c>
      <c r="L522" s="5">
        <f>7 / 86400</f>
        <v>8.1018518518518516E-5</v>
      </c>
    </row>
    <row r="523" spans="1:12" x14ac:dyDescent="0.25">
      <c r="A523" s="3">
        <v>45705.858530092592</v>
      </c>
      <c r="B523" t="s">
        <v>79</v>
      </c>
      <c r="C523" s="3">
        <v>45705.861307870371</v>
      </c>
      <c r="D523" t="s">
        <v>79</v>
      </c>
      <c r="E523" s="4">
        <v>1.8200607579350472</v>
      </c>
      <c r="F523" s="4">
        <v>348667.73434680473</v>
      </c>
      <c r="G523" s="4">
        <v>348669.55440756265</v>
      </c>
      <c r="H523" s="5">
        <f t="shared" si="6"/>
        <v>0</v>
      </c>
      <c r="I523" t="s">
        <v>167</v>
      </c>
      <c r="J523" t="s">
        <v>232</v>
      </c>
      <c r="K523" s="5">
        <f>240 / 86400</f>
        <v>2.7777777777777779E-3</v>
      </c>
      <c r="L523" s="5">
        <f>16 / 86400</f>
        <v>1.8518518518518518E-4</v>
      </c>
    </row>
    <row r="524" spans="1:12" x14ac:dyDescent="0.25">
      <c r="A524" s="3">
        <v>45705.861493055556</v>
      </c>
      <c r="B524" t="s">
        <v>79</v>
      </c>
      <c r="C524" s="3">
        <v>45705.863784722227</v>
      </c>
      <c r="D524" t="s">
        <v>205</v>
      </c>
      <c r="E524" s="4">
        <v>0.97744564330577854</v>
      </c>
      <c r="F524" s="4">
        <v>348669.55872263265</v>
      </c>
      <c r="G524" s="4">
        <v>348670.53616827592</v>
      </c>
      <c r="H524" s="5">
        <f t="shared" si="6"/>
        <v>0</v>
      </c>
      <c r="I524" t="s">
        <v>294</v>
      </c>
      <c r="J524" t="s">
        <v>23</v>
      </c>
      <c r="K524" s="5">
        <f>198 / 86400</f>
        <v>2.2916666666666667E-3</v>
      </c>
      <c r="L524" s="5">
        <f>19 / 86400</f>
        <v>2.199074074074074E-4</v>
      </c>
    </row>
    <row r="525" spans="1:12" x14ac:dyDescent="0.25">
      <c r="A525" s="3">
        <v>45705.864004629635</v>
      </c>
      <c r="B525" t="s">
        <v>205</v>
      </c>
      <c r="C525" s="3">
        <v>45705.865162037036</v>
      </c>
      <c r="D525" t="s">
        <v>201</v>
      </c>
      <c r="E525" s="4">
        <v>0.78289894491434098</v>
      </c>
      <c r="F525" s="4">
        <v>348670.53861111664</v>
      </c>
      <c r="G525" s="4">
        <v>348671.32151006156</v>
      </c>
      <c r="H525" s="5">
        <f t="shared" si="6"/>
        <v>0</v>
      </c>
      <c r="I525" t="s">
        <v>173</v>
      </c>
      <c r="J525" t="s">
        <v>117</v>
      </c>
      <c r="K525" s="5">
        <f>100 / 86400</f>
        <v>1.1574074074074073E-3</v>
      </c>
      <c r="L525" s="5">
        <f>40 / 86400</f>
        <v>4.6296296296296298E-4</v>
      </c>
    </row>
    <row r="526" spans="1:12" x14ac:dyDescent="0.25">
      <c r="A526" s="3">
        <v>45705.865624999999</v>
      </c>
      <c r="B526" t="s">
        <v>361</v>
      </c>
      <c r="C526" s="3">
        <v>45705.865856481483</v>
      </c>
      <c r="D526" t="s">
        <v>362</v>
      </c>
      <c r="E526" s="4">
        <v>1.0759020149707794E-2</v>
      </c>
      <c r="F526" s="4">
        <v>348671.34958931088</v>
      </c>
      <c r="G526" s="4">
        <v>348671.36034833104</v>
      </c>
      <c r="H526" s="5">
        <f t="shared" si="6"/>
        <v>0</v>
      </c>
      <c r="I526" t="s">
        <v>143</v>
      </c>
      <c r="J526" t="s">
        <v>143</v>
      </c>
      <c r="K526" s="5">
        <f>20 / 86400</f>
        <v>2.3148148148148149E-4</v>
      </c>
      <c r="L526" s="5">
        <f>7 / 86400</f>
        <v>8.1018518518518516E-5</v>
      </c>
    </row>
    <row r="527" spans="1:12" x14ac:dyDescent="0.25">
      <c r="A527" s="3">
        <v>45705.865937499999</v>
      </c>
      <c r="B527" t="s">
        <v>362</v>
      </c>
      <c r="C527" s="3">
        <v>45705.86996527778</v>
      </c>
      <c r="D527" t="s">
        <v>121</v>
      </c>
      <c r="E527" s="4">
        <v>2.5165708861351015</v>
      </c>
      <c r="F527" s="4">
        <v>348671.36824308836</v>
      </c>
      <c r="G527" s="4">
        <v>348673.8848139745</v>
      </c>
      <c r="H527" s="5">
        <f t="shared" si="6"/>
        <v>0</v>
      </c>
      <c r="I527" t="s">
        <v>197</v>
      </c>
      <c r="J527" t="s">
        <v>288</v>
      </c>
      <c r="K527" s="5">
        <f>348 / 86400</f>
        <v>4.0277777777777777E-3</v>
      </c>
      <c r="L527" s="5">
        <f>20 / 86400</f>
        <v>2.3148148148148149E-4</v>
      </c>
    </row>
    <row r="528" spans="1:12" x14ac:dyDescent="0.25">
      <c r="A528" s="3">
        <v>45705.870196759264</v>
      </c>
      <c r="B528" t="s">
        <v>121</v>
      </c>
      <c r="C528" s="3">
        <v>45705.870891203704</v>
      </c>
      <c r="D528" t="s">
        <v>195</v>
      </c>
      <c r="E528" s="4">
        <v>0.55417048716545103</v>
      </c>
      <c r="F528" s="4">
        <v>348673.95170181448</v>
      </c>
      <c r="G528" s="4">
        <v>348674.50587230164</v>
      </c>
      <c r="H528" s="5">
        <f t="shared" si="6"/>
        <v>0</v>
      </c>
      <c r="I528" t="s">
        <v>181</v>
      </c>
      <c r="J528" t="s">
        <v>206</v>
      </c>
      <c r="K528" s="5">
        <f>60 / 86400</f>
        <v>6.9444444444444447E-4</v>
      </c>
      <c r="L528" s="5">
        <f>12 / 86400</f>
        <v>1.3888888888888889E-4</v>
      </c>
    </row>
    <row r="529" spans="1:12" x14ac:dyDescent="0.25">
      <c r="A529" s="3">
        <v>45705.871030092589</v>
      </c>
      <c r="B529" t="s">
        <v>195</v>
      </c>
      <c r="C529" s="3">
        <v>45705.871724537035</v>
      </c>
      <c r="D529" t="s">
        <v>195</v>
      </c>
      <c r="E529" s="4">
        <v>0.28663521498441696</v>
      </c>
      <c r="F529" s="4">
        <v>348674.52473023726</v>
      </c>
      <c r="G529" s="4">
        <v>348674.81136545225</v>
      </c>
      <c r="H529" s="5">
        <f t="shared" si="6"/>
        <v>0</v>
      </c>
      <c r="I529" t="s">
        <v>206</v>
      </c>
      <c r="J529" t="s">
        <v>32</v>
      </c>
      <c r="K529" s="5">
        <f>60 / 86400</f>
        <v>6.9444444444444447E-4</v>
      </c>
      <c r="L529" s="5">
        <f>20 / 86400</f>
        <v>2.3148148148148149E-4</v>
      </c>
    </row>
    <row r="530" spans="1:12" x14ac:dyDescent="0.25">
      <c r="A530" s="3">
        <v>45705.87195601852</v>
      </c>
      <c r="B530" t="s">
        <v>195</v>
      </c>
      <c r="C530" s="3">
        <v>45705.872418981482</v>
      </c>
      <c r="D530" t="s">
        <v>195</v>
      </c>
      <c r="E530" s="4">
        <v>0.27495858490467073</v>
      </c>
      <c r="F530" s="4">
        <v>348674.9402084708</v>
      </c>
      <c r="G530" s="4">
        <v>348675.21516705572</v>
      </c>
      <c r="H530" s="5">
        <f t="shared" si="6"/>
        <v>0</v>
      </c>
      <c r="I530" t="s">
        <v>86</v>
      </c>
      <c r="J530" t="s">
        <v>163</v>
      </c>
      <c r="K530" s="5">
        <f>40 / 86400</f>
        <v>4.6296296296296298E-4</v>
      </c>
      <c r="L530" s="5">
        <f>20 / 86400</f>
        <v>2.3148148148148149E-4</v>
      </c>
    </row>
    <row r="531" spans="1:12" x14ac:dyDescent="0.25">
      <c r="A531" s="3">
        <v>45705.872650462959</v>
      </c>
      <c r="B531" t="s">
        <v>195</v>
      </c>
      <c r="C531" s="3">
        <v>45705.87635416667</v>
      </c>
      <c r="D531" t="s">
        <v>363</v>
      </c>
      <c r="E531" s="4">
        <v>3.1789203513264654</v>
      </c>
      <c r="F531" s="4">
        <v>348675.29890859564</v>
      </c>
      <c r="G531" s="4">
        <v>348678.47782894695</v>
      </c>
      <c r="H531" s="5">
        <f t="shared" si="6"/>
        <v>0</v>
      </c>
      <c r="I531" t="s">
        <v>214</v>
      </c>
      <c r="J531" t="s">
        <v>157</v>
      </c>
      <c r="K531" s="5">
        <f>320 / 86400</f>
        <v>3.7037037037037038E-3</v>
      </c>
      <c r="L531" s="5">
        <f>18 / 86400</f>
        <v>2.0833333333333335E-4</v>
      </c>
    </row>
    <row r="532" spans="1:12" x14ac:dyDescent="0.25">
      <c r="A532" s="3">
        <v>45705.876562500001</v>
      </c>
      <c r="B532" t="s">
        <v>363</v>
      </c>
      <c r="C532" s="3">
        <v>45705.878414351857</v>
      </c>
      <c r="D532" t="s">
        <v>191</v>
      </c>
      <c r="E532" s="4">
        <v>1.1958106816411018</v>
      </c>
      <c r="F532" s="4">
        <v>348678.48499410728</v>
      </c>
      <c r="G532" s="4">
        <v>348679.68080478889</v>
      </c>
      <c r="H532" s="5">
        <f t="shared" si="6"/>
        <v>0</v>
      </c>
      <c r="I532" t="s">
        <v>86</v>
      </c>
      <c r="J532" t="s">
        <v>232</v>
      </c>
      <c r="K532" s="5">
        <f>160 / 86400</f>
        <v>1.8518518518518519E-3</v>
      </c>
      <c r="L532" s="5">
        <f>4 / 86400</f>
        <v>4.6296296296296294E-5</v>
      </c>
    </row>
    <row r="533" spans="1:12" x14ac:dyDescent="0.25">
      <c r="A533" s="3">
        <v>45705.878460648149</v>
      </c>
      <c r="B533" t="s">
        <v>364</v>
      </c>
      <c r="C533" s="3">
        <v>45705.884375000001</v>
      </c>
      <c r="D533" t="s">
        <v>188</v>
      </c>
      <c r="E533" s="4">
        <v>4.9016911563873293</v>
      </c>
      <c r="F533" s="4">
        <v>348679.6852280086</v>
      </c>
      <c r="G533" s="4">
        <v>348684.58691916504</v>
      </c>
      <c r="H533" s="5">
        <f t="shared" si="6"/>
        <v>0</v>
      </c>
      <c r="I533" t="s">
        <v>167</v>
      </c>
      <c r="J533" t="s">
        <v>216</v>
      </c>
      <c r="K533" s="5">
        <f>511 / 86400</f>
        <v>5.9143518518518521E-3</v>
      </c>
      <c r="L533" s="5">
        <f>20 / 86400</f>
        <v>2.3148148148148149E-4</v>
      </c>
    </row>
    <row r="534" spans="1:12" x14ac:dyDescent="0.25">
      <c r="A534" s="3">
        <v>45705.884606481486</v>
      </c>
      <c r="B534" t="s">
        <v>188</v>
      </c>
      <c r="C534" s="3">
        <v>45705.88553240741</v>
      </c>
      <c r="D534" t="s">
        <v>187</v>
      </c>
      <c r="E534" s="4">
        <v>0.8674648655653</v>
      </c>
      <c r="F534" s="4">
        <v>348684.68373137899</v>
      </c>
      <c r="G534" s="4">
        <v>348685.55119624455</v>
      </c>
      <c r="H534" s="5">
        <f t="shared" si="6"/>
        <v>0</v>
      </c>
      <c r="I534" t="s">
        <v>173</v>
      </c>
      <c r="J534" t="s">
        <v>294</v>
      </c>
      <c r="K534" s="5">
        <f>80 / 86400</f>
        <v>9.2592592592592596E-4</v>
      </c>
      <c r="L534" s="5">
        <f>40 / 86400</f>
        <v>4.6296296296296298E-4</v>
      </c>
    </row>
    <row r="535" spans="1:12" x14ac:dyDescent="0.25">
      <c r="A535" s="3">
        <v>45705.885995370365</v>
      </c>
      <c r="B535" t="s">
        <v>187</v>
      </c>
      <c r="C535" s="3">
        <v>45705.887615740736</v>
      </c>
      <c r="D535" t="s">
        <v>186</v>
      </c>
      <c r="E535" s="4">
        <v>1.4527913946509361</v>
      </c>
      <c r="F535" s="4">
        <v>348685.6294165444</v>
      </c>
      <c r="G535" s="4">
        <v>348687.08220793901</v>
      </c>
      <c r="H535" s="5">
        <f t="shared" si="6"/>
        <v>0</v>
      </c>
      <c r="I535" t="s">
        <v>214</v>
      </c>
      <c r="J535" t="s">
        <v>193</v>
      </c>
      <c r="K535" s="5">
        <f>140 / 86400</f>
        <v>1.6203703703703703E-3</v>
      </c>
      <c r="L535" s="5">
        <f>16 / 86400</f>
        <v>1.8518518518518518E-4</v>
      </c>
    </row>
    <row r="536" spans="1:12" x14ac:dyDescent="0.25">
      <c r="A536" s="3">
        <v>45705.887800925921</v>
      </c>
      <c r="B536" t="s">
        <v>186</v>
      </c>
      <c r="C536" s="3">
        <v>45705.889421296291</v>
      </c>
      <c r="D536" t="s">
        <v>212</v>
      </c>
      <c r="E536" s="4">
        <v>0.8849314612150192</v>
      </c>
      <c r="F536" s="4">
        <v>348687.12724352663</v>
      </c>
      <c r="G536" s="4">
        <v>348688.01217498787</v>
      </c>
      <c r="H536" s="5">
        <f t="shared" si="6"/>
        <v>0</v>
      </c>
      <c r="I536" t="s">
        <v>294</v>
      </c>
      <c r="J536" t="s">
        <v>141</v>
      </c>
      <c r="K536" s="5">
        <f>140 / 86400</f>
        <v>1.6203703703703703E-3</v>
      </c>
      <c r="L536" s="5">
        <f>6 / 86400</f>
        <v>6.9444444444444444E-5</v>
      </c>
    </row>
    <row r="537" spans="1:12" x14ac:dyDescent="0.25">
      <c r="A537" s="3">
        <v>45705.889490740738</v>
      </c>
      <c r="B537" t="s">
        <v>212</v>
      </c>
      <c r="C537" s="3">
        <v>45705.892384259263</v>
      </c>
      <c r="D537" t="s">
        <v>183</v>
      </c>
      <c r="E537" s="4">
        <v>1.2550302530527115</v>
      </c>
      <c r="F537" s="4">
        <v>348688.01839460339</v>
      </c>
      <c r="G537" s="4">
        <v>348689.27342485642</v>
      </c>
      <c r="H537" s="5">
        <f t="shared" si="6"/>
        <v>0</v>
      </c>
      <c r="I537" t="s">
        <v>147</v>
      </c>
      <c r="J537" t="s">
        <v>23</v>
      </c>
      <c r="K537" s="5">
        <f>250 / 86400</f>
        <v>2.8935185185185184E-3</v>
      </c>
      <c r="L537" s="5">
        <f>20 / 86400</f>
        <v>2.3148148148148149E-4</v>
      </c>
    </row>
    <row r="538" spans="1:12" x14ac:dyDescent="0.25">
      <c r="A538" s="3">
        <v>45705.89261574074</v>
      </c>
      <c r="B538" t="s">
        <v>365</v>
      </c>
      <c r="C538" s="3">
        <v>45705.893067129626</v>
      </c>
      <c r="D538" t="s">
        <v>146</v>
      </c>
      <c r="E538" s="4">
        <v>5.902278959751129E-2</v>
      </c>
      <c r="F538" s="4">
        <v>348689.36196755653</v>
      </c>
      <c r="G538" s="4">
        <v>348689.42099034612</v>
      </c>
      <c r="H538" s="5">
        <f t="shared" si="6"/>
        <v>0</v>
      </c>
      <c r="I538" t="s">
        <v>129</v>
      </c>
      <c r="J538" t="s">
        <v>142</v>
      </c>
      <c r="K538" s="5">
        <f>39 / 86400</f>
        <v>4.5138888888888887E-4</v>
      </c>
      <c r="L538" s="5">
        <f>109 / 86400</f>
        <v>1.261574074074074E-3</v>
      </c>
    </row>
    <row r="539" spans="1:12" x14ac:dyDescent="0.25">
      <c r="A539" s="3">
        <v>45705.894328703704</v>
      </c>
      <c r="B539" t="s">
        <v>365</v>
      </c>
      <c r="C539" s="3">
        <v>45705.894791666666</v>
      </c>
      <c r="D539" t="s">
        <v>183</v>
      </c>
      <c r="E539" s="4">
        <v>0.12056954753398895</v>
      </c>
      <c r="F539" s="4">
        <v>348689.43027321913</v>
      </c>
      <c r="G539" s="4">
        <v>348689.55084276665</v>
      </c>
      <c r="H539" s="5">
        <f t="shared" si="6"/>
        <v>0</v>
      </c>
      <c r="I539" t="s">
        <v>62</v>
      </c>
      <c r="J539" t="s">
        <v>45</v>
      </c>
      <c r="K539" s="5">
        <f>40 / 86400</f>
        <v>4.6296296296296298E-4</v>
      </c>
      <c r="L539" s="5">
        <f>20 / 86400</f>
        <v>2.3148148148148149E-4</v>
      </c>
    </row>
    <row r="540" spans="1:12" x14ac:dyDescent="0.25">
      <c r="A540" s="3">
        <v>45705.895023148143</v>
      </c>
      <c r="B540" t="s">
        <v>183</v>
      </c>
      <c r="C540" s="3">
        <v>45705.896944444445</v>
      </c>
      <c r="D540" t="s">
        <v>211</v>
      </c>
      <c r="E540" s="4">
        <v>0.83582123309373857</v>
      </c>
      <c r="F540" s="4">
        <v>348689.55364098022</v>
      </c>
      <c r="G540" s="4">
        <v>348690.38946221332</v>
      </c>
      <c r="H540" s="5">
        <f t="shared" si="6"/>
        <v>0</v>
      </c>
      <c r="I540" t="s">
        <v>152</v>
      </c>
      <c r="J540" t="s">
        <v>23</v>
      </c>
      <c r="K540" s="5">
        <f>166 / 86400</f>
        <v>1.9212962962962964E-3</v>
      </c>
      <c r="L540" s="5">
        <f>20 / 86400</f>
        <v>2.3148148148148149E-4</v>
      </c>
    </row>
    <row r="541" spans="1:12" x14ac:dyDescent="0.25">
      <c r="A541" s="3">
        <v>45705.897175925929</v>
      </c>
      <c r="B541" t="s">
        <v>366</v>
      </c>
      <c r="C541" s="3">
        <v>45705.899814814809</v>
      </c>
      <c r="D541" t="s">
        <v>186</v>
      </c>
      <c r="E541" s="4">
        <v>1.6073399605154992</v>
      </c>
      <c r="F541" s="4">
        <v>348690.50810260326</v>
      </c>
      <c r="G541" s="4">
        <v>348692.11544256378</v>
      </c>
      <c r="H541" s="5">
        <f t="shared" si="6"/>
        <v>0</v>
      </c>
      <c r="I541" t="s">
        <v>196</v>
      </c>
      <c r="J541" t="s">
        <v>163</v>
      </c>
      <c r="K541" s="5">
        <f>228 / 86400</f>
        <v>2.638888888888889E-3</v>
      </c>
      <c r="L541" s="5">
        <f>20 / 86400</f>
        <v>2.3148148148148149E-4</v>
      </c>
    </row>
    <row r="542" spans="1:12" x14ac:dyDescent="0.25">
      <c r="A542" s="3">
        <v>45705.900046296301</v>
      </c>
      <c r="B542" t="s">
        <v>186</v>
      </c>
      <c r="C542" s="3">
        <v>45705.906469907408</v>
      </c>
      <c r="D542" t="s">
        <v>191</v>
      </c>
      <c r="E542" s="4">
        <v>6.0855894012451168</v>
      </c>
      <c r="F542" s="4">
        <v>348692.27621483977</v>
      </c>
      <c r="G542" s="4">
        <v>348698.36180424102</v>
      </c>
      <c r="H542" s="5">
        <f t="shared" si="6"/>
        <v>0</v>
      </c>
      <c r="I542" t="s">
        <v>33</v>
      </c>
      <c r="J542" t="s">
        <v>294</v>
      </c>
      <c r="K542" s="5">
        <f>555 / 86400</f>
        <v>6.4236111111111108E-3</v>
      </c>
      <c r="L542" s="5">
        <f>6 / 86400</f>
        <v>6.9444444444444444E-5</v>
      </c>
    </row>
    <row r="543" spans="1:12" x14ac:dyDescent="0.25">
      <c r="A543" s="3">
        <v>45705.906539351854</v>
      </c>
      <c r="B543" t="s">
        <v>191</v>
      </c>
      <c r="C543" s="3">
        <v>45705.908564814818</v>
      </c>
      <c r="D543" t="s">
        <v>191</v>
      </c>
      <c r="E543" s="4">
        <v>1.9927881581783295</v>
      </c>
      <c r="F543" s="4">
        <v>348698.36611980479</v>
      </c>
      <c r="G543" s="4">
        <v>348700.35890796297</v>
      </c>
      <c r="H543" s="5">
        <f t="shared" si="6"/>
        <v>0</v>
      </c>
      <c r="I543" t="s">
        <v>101</v>
      </c>
      <c r="J543" t="s">
        <v>227</v>
      </c>
      <c r="K543" s="5">
        <f>175 / 86400</f>
        <v>2.0254629629629629E-3</v>
      </c>
      <c r="L543" s="5">
        <f>20 / 86400</f>
        <v>2.3148148148148149E-4</v>
      </c>
    </row>
    <row r="544" spans="1:12" x14ac:dyDescent="0.25">
      <c r="A544" s="3">
        <v>45705.908796296295</v>
      </c>
      <c r="B544" t="s">
        <v>363</v>
      </c>
      <c r="C544" s="3">
        <v>45705.910648148143</v>
      </c>
      <c r="D544" t="s">
        <v>220</v>
      </c>
      <c r="E544" s="4">
        <v>2.0418031375408172</v>
      </c>
      <c r="F544" s="4">
        <v>348700.42042721389</v>
      </c>
      <c r="G544" s="4">
        <v>348702.46223035146</v>
      </c>
      <c r="H544" s="5">
        <f t="shared" si="6"/>
        <v>0</v>
      </c>
      <c r="I544" t="s">
        <v>33</v>
      </c>
      <c r="J544" t="s">
        <v>147</v>
      </c>
      <c r="K544" s="5">
        <f>160 / 86400</f>
        <v>1.8518518518518519E-3</v>
      </c>
      <c r="L544" s="5">
        <f>20 / 86400</f>
        <v>2.3148148148148149E-4</v>
      </c>
    </row>
    <row r="545" spans="1:12" x14ac:dyDescent="0.25">
      <c r="A545" s="3">
        <v>45705.910879629635</v>
      </c>
      <c r="B545" t="s">
        <v>367</v>
      </c>
      <c r="C545" s="3">
        <v>45705.912268518514</v>
      </c>
      <c r="D545" t="s">
        <v>195</v>
      </c>
      <c r="E545" s="4">
        <v>1.4865207479596139</v>
      </c>
      <c r="F545" s="4">
        <v>348702.62805208529</v>
      </c>
      <c r="G545" s="4">
        <v>348704.11457283323</v>
      </c>
      <c r="H545" s="5">
        <f t="shared" si="6"/>
        <v>0</v>
      </c>
      <c r="I545" t="s">
        <v>180</v>
      </c>
      <c r="J545" t="s">
        <v>240</v>
      </c>
      <c r="K545" s="5">
        <f>120 / 86400</f>
        <v>1.3888888888888889E-3</v>
      </c>
      <c r="L545" s="5">
        <f>20 / 86400</f>
        <v>2.3148148148148149E-4</v>
      </c>
    </row>
    <row r="546" spans="1:12" x14ac:dyDescent="0.25">
      <c r="A546" s="3">
        <v>45705.912499999999</v>
      </c>
      <c r="B546" t="s">
        <v>195</v>
      </c>
      <c r="C546" s="3">
        <v>45705.912731481483</v>
      </c>
      <c r="D546" t="s">
        <v>195</v>
      </c>
      <c r="E546" s="4">
        <v>9.6445183277130128E-2</v>
      </c>
      <c r="F546" s="4">
        <v>348704.2456190915</v>
      </c>
      <c r="G546" s="4">
        <v>348704.34206427477</v>
      </c>
      <c r="H546" s="5">
        <f t="shared" si="6"/>
        <v>0</v>
      </c>
      <c r="I546" t="s">
        <v>157</v>
      </c>
      <c r="J546" t="s">
        <v>32</v>
      </c>
      <c r="K546" s="5">
        <f>20 / 86400</f>
        <v>2.3148148148148149E-4</v>
      </c>
      <c r="L546" s="5">
        <f>20 / 86400</f>
        <v>2.3148148148148149E-4</v>
      </c>
    </row>
    <row r="547" spans="1:12" x14ac:dyDescent="0.25">
      <c r="A547" s="3">
        <v>45705.912962962961</v>
      </c>
      <c r="B547" t="s">
        <v>195</v>
      </c>
      <c r="C547" s="3">
        <v>45705.913657407407</v>
      </c>
      <c r="D547" t="s">
        <v>121</v>
      </c>
      <c r="E547" s="4">
        <v>0.52691529017686844</v>
      </c>
      <c r="F547" s="4">
        <v>348704.414372014</v>
      </c>
      <c r="G547" s="4">
        <v>348704.94128730416</v>
      </c>
      <c r="H547" s="5">
        <f t="shared" si="6"/>
        <v>0</v>
      </c>
      <c r="I547" t="s">
        <v>202</v>
      </c>
      <c r="J547" t="s">
        <v>265</v>
      </c>
      <c r="K547" s="5">
        <f>60 / 86400</f>
        <v>6.9444444444444447E-4</v>
      </c>
      <c r="L547" s="5">
        <f>20 / 86400</f>
        <v>2.3148148148148149E-4</v>
      </c>
    </row>
    <row r="548" spans="1:12" x14ac:dyDescent="0.25">
      <c r="A548" s="3">
        <v>45705.913888888885</v>
      </c>
      <c r="B548" t="s">
        <v>121</v>
      </c>
      <c r="C548" s="3">
        <v>45705.916666666672</v>
      </c>
      <c r="D548" t="s">
        <v>89</v>
      </c>
      <c r="E548" s="4">
        <v>2.5147116492390631</v>
      </c>
      <c r="F548" s="4">
        <v>348704.94917784317</v>
      </c>
      <c r="G548" s="4">
        <v>348707.46388949238</v>
      </c>
      <c r="H548" s="5">
        <f t="shared" si="6"/>
        <v>0</v>
      </c>
      <c r="I548" t="s">
        <v>189</v>
      </c>
      <c r="J548" t="s">
        <v>333</v>
      </c>
      <c r="K548" s="5">
        <f>240 / 86400</f>
        <v>2.7777777777777779E-3</v>
      </c>
      <c r="L548" s="5">
        <f>40 / 86400</f>
        <v>4.6296296296296298E-4</v>
      </c>
    </row>
    <row r="549" spans="1:12" x14ac:dyDescent="0.25">
      <c r="A549" s="3">
        <v>45705.917129629626</v>
      </c>
      <c r="B549" t="s">
        <v>89</v>
      </c>
      <c r="C549" s="3">
        <v>45705.918287037042</v>
      </c>
      <c r="D549" t="s">
        <v>201</v>
      </c>
      <c r="E549" s="4">
        <v>0.76145846742391587</v>
      </c>
      <c r="F549" s="4">
        <v>348707.49198848405</v>
      </c>
      <c r="G549" s="4">
        <v>348708.25344695145</v>
      </c>
      <c r="H549" s="5">
        <f t="shared" si="6"/>
        <v>0</v>
      </c>
      <c r="I549" t="s">
        <v>106</v>
      </c>
      <c r="J549" t="s">
        <v>232</v>
      </c>
      <c r="K549" s="5">
        <f>100 / 86400</f>
        <v>1.1574074074074073E-3</v>
      </c>
      <c r="L549" s="5">
        <f>100 / 86400</f>
        <v>1.1574074074074073E-3</v>
      </c>
    </row>
    <row r="550" spans="1:12" x14ac:dyDescent="0.25">
      <c r="A550" s="3">
        <v>45705.919444444444</v>
      </c>
      <c r="B550" t="s">
        <v>201</v>
      </c>
      <c r="C550" s="3">
        <v>45705.920370370368</v>
      </c>
      <c r="D550" t="s">
        <v>201</v>
      </c>
      <c r="E550" s="4">
        <v>0.63151914525032038</v>
      </c>
      <c r="F550" s="4">
        <v>348708.30517037353</v>
      </c>
      <c r="G550" s="4">
        <v>348708.93668951874</v>
      </c>
      <c r="H550" s="5">
        <f t="shared" si="6"/>
        <v>0</v>
      </c>
      <c r="I550" t="s">
        <v>265</v>
      </c>
      <c r="J550" t="s">
        <v>117</v>
      </c>
      <c r="K550" s="5">
        <f>80 / 86400</f>
        <v>9.2592592592592596E-4</v>
      </c>
      <c r="L550" s="5">
        <f>20 / 86400</f>
        <v>2.3148148148148149E-4</v>
      </c>
    </row>
    <row r="551" spans="1:12" x14ac:dyDescent="0.25">
      <c r="A551" s="3">
        <v>45705.920601851853</v>
      </c>
      <c r="B551" t="s">
        <v>368</v>
      </c>
      <c r="C551" s="3">
        <v>45705.921377314815</v>
      </c>
      <c r="D551" t="s">
        <v>369</v>
      </c>
      <c r="E551" s="4">
        <v>0.24909327524900438</v>
      </c>
      <c r="F551" s="4">
        <v>348709.03992959257</v>
      </c>
      <c r="G551" s="4">
        <v>348709.2890228678</v>
      </c>
      <c r="H551" s="5">
        <f t="shared" si="6"/>
        <v>0</v>
      </c>
      <c r="I551" t="s">
        <v>150</v>
      </c>
      <c r="J551" t="s">
        <v>66</v>
      </c>
      <c r="K551" s="5">
        <f>67 / 86400</f>
        <v>7.7546296296296293E-4</v>
      </c>
      <c r="L551" s="5">
        <f>828 / 86400</f>
        <v>9.5833333333333326E-3</v>
      </c>
    </row>
    <row r="552" spans="1:12" x14ac:dyDescent="0.25">
      <c r="A552" s="3">
        <v>45705.930960648147</v>
      </c>
      <c r="B552" t="s">
        <v>369</v>
      </c>
      <c r="C552" s="3">
        <v>45705.932962962965</v>
      </c>
      <c r="D552" t="s">
        <v>36</v>
      </c>
      <c r="E552" s="4">
        <v>0.40971993905305865</v>
      </c>
      <c r="F552" s="4">
        <v>348709.29833300266</v>
      </c>
      <c r="G552" s="4">
        <v>348709.70805294171</v>
      </c>
      <c r="H552" s="5">
        <f t="shared" si="6"/>
        <v>0</v>
      </c>
      <c r="I552" t="s">
        <v>75</v>
      </c>
      <c r="J552" t="s">
        <v>133</v>
      </c>
      <c r="K552" s="5">
        <f>173 / 86400</f>
        <v>2.0023148148148148E-3</v>
      </c>
      <c r="L552" s="5">
        <f>1276 / 86400</f>
        <v>1.4768518518518519E-2</v>
      </c>
    </row>
    <row r="553" spans="1:12" x14ac:dyDescent="0.25">
      <c r="A553" s="3">
        <v>45705.947731481487</v>
      </c>
      <c r="B553" t="s">
        <v>28</v>
      </c>
      <c r="C553" s="3">
        <v>45705.948819444442</v>
      </c>
      <c r="D553" t="s">
        <v>36</v>
      </c>
      <c r="E553" s="4">
        <v>0.13789311629533768</v>
      </c>
      <c r="F553" s="4">
        <v>348709.72380831389</v>
      </c>
      <c r="G553" s="4">
        <v>348709.86170143023</v>
      </c>
      <c r="H553" s="5">
        <f t="shared" si="6"/>
        <v>0</v>
      </c>
      <c r="I553" t="s">
        <v>118</v>
      </c>
      <c r="J553" t="s">
        <v>142</v>
      </c>
      <c r="K553" s="5">
        <f>94 / 86400</f>
        <v>1.0879629629629629E-3</v>
      </c>
      <c r="L553" s="5">
        <f>4421 / 86400</f>
        <v>5.1168981481481482E-2</v>
      </c>
    </row>
    <row r="554" spans="1:12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 spans="1:12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 spans="1:12" s="10" customFormat="1" ht="20.100000000000001" customHeight="1" x14ac:dyDescent="0.35">
      <c r="A556" s="12" t="s">
        <v>449</v>
      </c>
      <c r="B556" s="12"/>
      <c r="C556" s="12"/>
      <c r="D556" s="12"/>
      <c r="E556" s="12"/>
      <c r="F556" s="12"/>
      <c r="G556" s="12"/>
      <c r="H556" s="12"/>
      <c r="I556" s="12"/>
      <c r="J556" s="12"/>
    </row>
    <row r="557" spans="1:12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 spans="1:12" ht="30" x14ac:dyDescent="0.25">
      <c r="A558" s="2" t="s">
        <v>6</v>
      </c>
      <c r="B558" s="2" t="s">
        <v>7</v>
      </c>
      <c r="C558" s="2" t="s">
        <v>8</v>
      </c>
      <c r="D558" s="2" t="s">
        <v>9</v>
      </c>
      <c r="E558" s="2" t="s">
        <v>10</v>
      </c>
      <c r="F558" s="2" t="s">
        <v>11</v>
      </c>
      <c r="G558" s="2" t="s">
        <v>12</v>
      </c>
      <c r="H558" s="2" t="s">
        <v>13</v>
      </c>
      <c r="I558" s="2" t="s">
        <v>14</v>
      </c>
      <c r="J558" s="2" t="s">
        <v>15</v>
      </c>
      <c r="K558" s="2" t="s">
        <v>16</v>
      </c>
      <c r="L558" s="2" t="s">
        <v>17</v>
      </c>
    </row>
    <row r="559" spans="1:12" x14ac:dyDescent="0.25">
      <c r="A559" s="3">
        <v>45705.172685185185</v>
      </c>
      <c r="B559" t="s">
        <v>39</v>
      </c>
      <c r="C559" s="3">
        <v>45705.370358796295</v>
      </c>
      <c r="D559" t="s">
        <v>128</v>
      </c>
      <c r="E559" s="4">
        <v>82.941000000000003</v>
      </c>
      <c r="F559" s="4">
        <v>484524.70199999999</v>
      </c>
      <c r="G559" s="4">
        <v>484607.64299999998</v>
      </c>
      <c r="H559" s="5">
        <f>5761 / 86400</f>
        <v>6.6678240740740746E-2</v>
      </c>
      <c r="I559" t="s">
        <v>192</v>
      </c>
      <c r="J559" t="s">
        <v>32</v>
      </c>
      <c r="K559" s="5">
        <f>17079 / 86400</f>
        <v>0.19767361111111112</v>
      </c>
      <c r="L559" s="5">
        <f>16230 / 86400</f>
        <v>0.18784722222222222</v>
      </c>
    </row>
    <row r="560" spans="1:12" x14ac:dyDescent="0.25">
      <c r="A560" s="3">
        <v>45705.385520833333</v>
      </c>
      <c r="B560" t="s">
        <v>128</v>
      </c>
      <c r="C560" s="3">
        <v>45705.389675925922</v>
      </c>
      <c r="D560" t="s">
        <v>94</v>
      </c>
      <c r="E560" s="4">
        <v>0.95199999999999996</v>
      </c>
      <c r="F560" s="4">
        <v>484607.64299999998</v>
      </c>
      <c r="G560" s="4">
        <v>484608.59499999997</v>
      </c>
      <c r="H560" s="5">
        <f>80 / 86400</f>
        <v>9.2592592592592596E-4</v>
      </c>
      <c r="I560" t="s">
        <v>27</v>
      </c>
      <c r="J560" t="s">
        <v>118</v>
      </c>
      <c r="K560" s="5">
        <f>359 / 86400</f>
        <v>4.1550925925925922E-3</v>
      </c>
      <c r="L560" s="5">
        <f>807 / 86400</f>
        <v>9.3402777777777772E-3</v>
      </c>
    </row>
    <row r="561" spans="1:12" x14ac:dyDescent="0.25">
      <c r="A561" s="3">
        <v>45705.399016203708</v>
      </c>
      <c r="B561" t="s">
        <v>94</v>
      </c>
      <c r="C561" s="3">
        <v>45705.400127314817</v>
      </c>
      <c r="D561" t="s">
        <v>370</v>
      </c>
      <c r="E561" s="4">
        <v>9.5000000000000001E-2</v>
      </c>
      <c r="F561" s="4">
        <v>484608.59499999997</v>
      </c>
      <c r="G561" s="4">
        <v>484608.69</v>
      </c>
      <c r="H561" s="5">
        <f>40 / 86400</f>
        <v>4.6296296296296298E-4</v>
      </c>
      <c r="I561" t="s">
        <v>151</v>
      </c>
      <c r="J561" t="s">
        <v>148</v>
      </c>
      <c r="K561" s="5">
        <f>95 / 86400</f>
        <v>1.0995370370370371E-3</v>
      </c>
      <c r="L561" s="5">
        <f>2026 / 86400</f>
        <v>2.3449074074074074E-2</v>
      </c>
    </row>
    <row r="562" spans="1:12" x14ac:dyDescent="0.25">
      <c r="A562" s="3">
        <v>45705.423576388886</v>
      </c>
      <c r="B562" t="s">
        <v>370</v>
      </c>
      <c r="C562" s="3">
        <v>45705.70244212963</v>
      </c>
      <c r="D562" t="s">
        <v>39</v>
      </c>
      <c r="E562" s="4">
        <v>112.265</v>
      </c>
      <c r="F562" s="4">
        <v>484608.69</v>
      </c>
      <c r="G562" s="4">
        <v>484720.95500000002</v>
      </c>
      <c r="H562" s="5">
        <f>7558 / 86400</f>
        <v>8.7476851851851847E-2</v>
      </c>
      <c r="I562" t="s">
        <v>33</v>
      </c>
      <c r="J562" t="s">
        <v>32</v>
      </c>
      <c r="K562" s="5">
        <f>24093 / 86400</f>
        <v>0.27885416666666668</v>
      </c>
      <c r="L562" s="5">
        <f>25708 / 86400</f>
        <v>0.29754629629629631</v>
      </c>
    </row>
    <row r="563" spans="1:12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 spans="1:12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 spans="1:12" s="10" customFormat="1" ht="20.100000000000001" customHeight="1" x14ac:dyDescent="0.35">
      <c r="A565" s="12" t="s">
        <v>450</v>
      </c>
      <c r="B565" s="12"/>
      <c r="C565" s="12"/>
      <c r="D565" s="12"/>
      <c r="E565" s="12"/>
      <c r="F565" s="12"/>
      <c r="G565" s="12"/>
      <c r="H565" s="12"/>
      <c r="I565" s="12"/>
      <c r="J565" s="12"/>
    </row>
    <row r="566" spans="1:12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 spans="1:12" ht="30" x14ac:dyDescent="0.25">
      <c r="A567" s="2" t="s">
        <v>6</v>
      </c>
      <c r="B567" s="2" t="s">
        <v>7</v>
      </c>
      <c r="C567" s="2" t="s">
        <v>8</v>
      </c>
      <c r="D567" s="2" t="s">
        <v>9</v>
      </c>
      <c r="E567" s="2" t="s">
        <v>10</v>
      </c>
      <c r="F567" s="2" t="s">
        <v>11</v>
      </c>
      <c r="G567" s="2" t="s">
        <v>12</v>
      </c>
      <c r="H567" s="2" t="s">
        <v>13</v>
      </c>
      <c r="I567" s="2" t="s">
        <v>14</v>
      </c>
      <c r="J567" s="2" t="s">
        <v>15</v>
      </c>
      <c r="K567" s="2" t="s">
        <v>16</v>
      </c>
      <c r="L567" s="2" t="s">
        <v>17</v>
      </c>
    </row>
    <row r="568" spans="1:12" x14ac:dyDescent="0.25">
      <c r="A568" s="3">
        <v>45705.284791666665</v>
      </c>
      <c r="B568" t="s">
        <v>40</v>
      </c>
      <c r="C568" s="3">
        <v>45705.299467592587</v>
      </c>
      <c r="D568" t="s">
        <v>94</v>
      </c>
      <c r="E568" s="4">
        <v>3.387</v>
      </c>
      <c r="F568" s="4">
        <v>508739.46799999999</v>
      </c>
      <c r="G568" s="4">
        <v>508742.85499999998</v>
      </c>
      <c r="H568" s="5">
        <f>379 / 86400</f>
        <v>4.386574074074074E-3</v>
      </c>
      <c r="I568" t="s">
        <v>288</v>
      </c>
      <c r="J568" t="s">
        <v>118</v>
      </c>
      <c r="K568" s="5">
        <f>1267 / 86400</f>
        <v>1.4664351851851852E-2</v>
      </c>
      <c r="L568" s="5">
        <f>25003 / 86400</f>
        <v>0.28938657407407409</v>
      </c>
    </row>
    <row r="569" spans="1:12" x14ac:dyDescent="0.25">
      <c r="A569" s="3">
        <v>45705.304062499999</v>
      </c>
      <c r="B569" t="s">
        <v>94</v>
      </c>
      <c r="C569" s="3">
        <v>45705.529768518521</v>
      </c>
      <c r="D569" t="s">
        <v>94</v>
      </c>
      <c r="E569" s="4">
        <v>94.402000000000001</v>
      </c>
      <c r="F569" s="4">
        <v>508742.85499999998</v>
      </c>
      <c r="G569" s="4">
        <v>508837.25699999998</v>
      </c>
      <c r="H569" s="5">
        <f>5740 / 86400</f>
        <v>6.643518518518518E-2</v>
      </c>
      <c r="I569" t="s">
        <v>34</v>
      </c>
      <c r="J569" t="s">
        <v>32</v>
      </c>
      <c r="K569" s="5">
        <f>19500 / 86400</f>
        <v>0.22569444444444445</v>
      </c>
      <c r="L569" s="5">
        <f>79 / 86400</f>
        <v>9.1435185185185185E-4</v>
      </c>
    </row>
    <row r="570" spans="1:12" x14ac:dyDescent="0.25">
      <c r="A570" s="3">
        <v>45705.530682870369</v>
      </c>
      <c r="B570" t="s">
        <v>94</v>
      </c>
      <c r="C570" s="3">
        <v>45705.531481481477</v>
      </c>
      <c r="D570" t="s">
        <v>94</v>
      </c>
      <c r="E570" s="4">
        <v>2.7E-2</v>
      </c>
      <c r="F570" s="4">
        <v>508837.25699999998</v>
      </c>
      <c r="G570" s="4">
        <v>508837.28399999999</v>
      </c>
      <c r="H570" s="5">
        <f>19 / 86400</f>
        <v>2.199074074074074E-4</v>
      </c>
      <c r="I570" t="s">
        <v>151</v>
      </c>
      <c r="J570" t="s">
        <v>144</v>
      </c>
      <c r="K570" s="5">
        <f>69 / 86400</f>
        <v>7.9861111111111116E-4</v>
      </c>
      <c r="L570" s="5">
        <f>752 / 86400</f>
        <v>8.7037037037037031E-3</v>
      </c>
    </row>
    <row r="571" spans="1:12" x14ac:dyDescent="0.25">
      <c r="A571" s="3">
        <v>45705.540185185186</v>
      </c>
      <c r="B571" t="s">
        <v>94</v>
      </c>
      <c r="C571" s="3">
        <v>45705.541192129633</v>
      </c>
      <c r="D571" t="s">
        <v>371</v>
      </c>
      <c r="E571" s="4">
        <v>0.26</v>
      </c>
      <c r="F571" s="4">
        <v>508837.28399999999</v>
      </c>
      <c r="G571" s="4">
        <v>508837.54399999999</v>
      </c>
      <c r="H571" s="5">
        <f>19 / 86400</f>
        <v>2.199074074074074E-4</v>
      </c>
      <c r="I571" t="s">
        <v>38</v>
      </c>
      <c r="J571" t="s">
        <v>45</v>
      </c>
      <c r="K571" s="5">
        <f>87 / 86400</f>
        <v>1.0069444444444444E-3</v>
      </c>
      <c r="L571" s="5">
        <f>2137 / 86400</f>
        <v>2.4733796296296295E-2</v>
      </c>
    </row>
    <row r="572" spans="1:12" x14ac:dyDescent="0.25">
      <c r="A572" s="3">
        <v>45705.565925925926</v>
      </c>
      <c r="B572" t="s">
        <v>371</v>
      </c>
      <c r="C572" s="3">
        <v>45705.57030092593</v>
      </c>
      <c r="D572" t="s">
        <v>80</v>
      </c>
      <c r="E572" s="4">
        <v>1.2290000000000001</v>
      </c>
      <c r="F572" s="4">
        <v>508837.54399999999</v>
      </c>
      <c r="G572" s="4">
        <v>508838.77299999999</v>
      </c>
      <c r="H572" s="5">
        <f>80 / 86400</f>
        <v>9.2592592592592596E-4</v>
      </c>
      <c r="I572" t="s">
        <v>216</v>
      </c>
      <c r="J572" t="s">
        <v>162</v>
      </c>
      <c r="K572" s="5">
        <f>378 / 86400</f>
        <v>4.3750000000000004E-3</v>
      </c>
      <c r="L572" s="5">
        <f>112 / 86400</f>
        <v>1.2962962962962963E-3</v>
      </c>
    </row>
    <row r="573" spans="1:12" x14ac:dyDescent="0.25">
      <c r="A573" s="3">
        <v>45705.571597222224</v>
      </c>
      <c r="B573" t="s">
        <v>80</v>
      </c>
      <c r="C573" s="3">
        <v>45705.572187500002</v>
      </c>
      <c r="D573" t="s">
        <v>80</v>
      </c>
      <c r="E573" s="4">
        <v>5.0000000000000001E-3</v>
      </c>
      <c r="F573" s="4">
        <v>508838.77299999999</v>
      </c>
      <c r="G573" s="4">
        <v>508838.77799999999</v>
      </c>
      <c r="H573" s="5">
        <f>39 / 86400</f>
        <v>4.5138888888888887E-4</v>
      </c>
      <c r="I573" t="s">
        <v>73</v>
      </c>
      <c r="J573" t="s">
        <v>73</v>
      </c>
      <c r="K573" s="5">
        <f>51 / 86400</f>
        <v>5.9027777777777778E-4</v>
      </c>
      <c r="L573" s="5">
        <f>176 / 86400</f>
        <v>2.0370370370370369E-3</v>
      </c>
    </row>
    <row r="574" spans="1:12" x14ac:dyDescent="0.25">
      <c r="A574" s="3">
        <v>45705.574224537035</v>
      </c>
      <c r="B574" t="s">
        <v>80</v>
      </c>
      <c r="C574" s="3">
        <v>45705.580590277779</v>
      </c>
      <c r="D574" t="s">
        <v>80</v>
      </c>
      <c r="E574" s="4">
        <v>0.154</v>
      </c>
      <c r="F574" s="4">
        <v>508838.77799999999</v>
      </c>
      <c r="G574" s="4">
        <v>508838.93199999997</v>
      </c>
      <c r="H574" s="5">
        <f>460 / 86400</f>
        <v>5.324074074074074E-3</v>
      </c>
      <c r="I574" t="s">
        <v>118</v>
      </c>
      <c r="J574" t="s">
        <v>144</v>
      </c>
      <c r="K574" s="5">
        <f>549 / 86400</f>
        <v>6.3541666666666668E-3</v>
      </c>
      <c r="L574" s="5">
        <f>3271 / 86400</f>
        <v>3.7858796296296293E-2</v>
      </c>
    </row>
    <row r="575" spans="1:12" x14ac:dyDescent="0.25">
      <c r="A575" s="3">
        <v>45705.618449074071</v>
      </c>
      <c r="B575" t="s">
        <v>80</v>
      </c>
      <c r="C575" s="3">
        <v>45705.886053240742</v>
      </c>
      <c r="D575" t="s">
        <v>80</v>
      </c>
      <c r="E575" s="4">
        <v>92.718000000000004</v>
      </c>
      <c r="F575" s="4">
        <v>508838.93199999997</v>
      </c>
      <c r="G575" s="4">
        <v>508931.65</v>
      </c>
      <c r="H575" s="5">
        <f>8239 / 86400</f>
        <v>9.5358796296296303E-2</v>
      </c>
      <c r="I575" t="s">
        <v>42</v>
      </c>
      <c r="J575" t="s">
        <v>75</v>
      </c>
      <c r="K575" s="5">
        <f>23120 / 86400</f>
        <v>0.2675925925925926</v>
      </c>
      <c r="L575" s="5">
        <f>337 / 86400</f>
        <v>3.9004629629629628E-3</v>
      </c>
    </row>
    <row r="576" spans="1:12" x14ac:dyDescent="0.25">
      <c r="A576" s="3">
        <v>45705.889953703707</v>
      </c>
      <c r="B576" t="s">
        <v>80</v>
      </c>
      <c r="C576" s="3">
        <v>45705.894907407404</v>
      </c>
      <c r="D576" t="s">
        <v>137</v>
      </c>
      <c r="E576" s="4">
        <v>0.92500000000000004</v>
      </c>
      <c r="F576" s="4">
        <v>508931.65</v>
      </c>
      <c r="G576" s="4">
        <v>508932.57500000001</v>
      </c>
      <c r="H576" s="5">
        <f>180 / 86400</f>
        <v>2.0833333333333333E-3</v>
      </c>
      <c r="I576" t="s">
        <v>129</v>
      </c>
      <c r="J576" t="s">
        <v>107</v>
      </c>
      <c r="K576" s="5">
        <f>427 / 86400</f>
        <v>4.9421296296296297E-3</v>
      </c>
      <c r="L576" s="5">
        <f>864 / 86400</f>
        <v>0.01</v>
      </c>
    </row>
    <row r="577" spans="1:12" x14ac:dyDescent="0.25">
      <c r="A577" s="3">
        <v>45705.904907407406</v>
      </c>
      <c r="B577" t="s">
        <v>137</v>
      </c>
      <c r="C577" s="3">
        <v>45705.907476851848</v>
      </c>
      <c r="D577" t="s">
        <v>371</v>
      </c>
      <c r="E577" s="4">
        <v>0.93700000000000006</v>
      </c>
      <c r="F577" s="4">
        <v>508932.57500000001</v>
      </c>
      <c r="G577" s="4">
        <v>508933.51199999999</v>
      </c>
      <c r="H577" s="5">
        <f>0 / 86400</f>
        <v>0</v>
      </c>
      <c r="I577" t="s">
        <v>265</v>
      </c>
      <c r="J577" t="s">
        <v>30</v>
      </c>
      <c r="K577" s="5">
        <f>221 / 86400</f>
        <v>2.5578703703703705E-3</v>
      </c>
      <c r="L577" s="5">
        <f>252 / 86400</f>
        <v>2.9166666666666668E-3</v>
      </c>
    </row>
    <row r="578" spans="1:12" x14ac:dyDescent="0.25">
      <c r="A578" s="3">
        <v>45705.910393518519</v>
      </c>
      <c r="B578" t="s">
        <v>371</v>
      </c>
      <c r="C578" s="3">
        <v>45705.91138888889</v>
      </c>
      <c r="D578" t="s">
        <v>41</v>
      </c>
      <c r="E578" s="4">
        <v>9.8000000000000004E-2</v>
      </c>
      <c r="F578" s="4">
        <v>508933.51199999999</v>
      </c>
      <c r="G578" s="4">
        <v>508933.61</v>
      </c>
      <c r="H578" s="5">
        <f>20 / 86400</f>
        <v>2.3148148148148149E-4</v>
      </c>
      <c r="I578" t="s">
        <v>133</v>
      </c>
      <c r="J578" t="s">
        <v>148</v>
      </c>
      <c r="K578" s="5">
        <f>86 / 86400</f>
        <v>9.9537037037037042E-4</v>
      </c>
      <c r="L578" s="5">
        <f>7655 / 86400</f>
        <v>8.8599537037037032E-2</v>
      </c>
    </row>
    <row r="579" spans="1:12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 spans="1:12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 spans="1:12" s="10" customFormat="1" ht="20.100000000000001" customHeight="1" x14ac:dyDescent="0.35">
      <c r="A581" s="12" t="s">
        <v>451</v>
      </c>
      <c r="B581" s="12"/>
      <c r="C581" s="12"/>
      <c r="D581" s="12"/>
      <c r="E581" s="12"/>
      <c r="F581" s="12"/>
      <c r="G581" s="12"/>
      <c r="H581" s="12"/>
      <c r="I581" s="12"/>
      <c r="J581" s="12"/>
    </row>
    <row r="582" spans="1:12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 spans="1:12" ht="30" x14ac:dyDescent="0.25">
      <c r="A583" s="2" t="s">
        <v>6</v>
      </c>
      <c r="B583" s="2" t="s">
        <v>7</v>
      </c>
      <c r="C583" s="2" t="s">
        <v>8</v>
      </c>
      <c r="D583" s="2" t="s">
        <v>9</v>
      </c>
      <c r="E583" s="2" t="s">
        <v>10</v>
      </c>
      <c r="F583" s="2" t="s">
        <v>11</v>
      </c>
      <c r="G583" s="2" t="s">
        <v>12</v>
      </c>
      <c r="H583" s="2" t="s">
        <v>13</v>
      </c>
      <c r="I583" s="2" t="s">
        <v>14</v>
      </c>
      <c r="J583" s="2" t="s">
        <v>15</v>
      </c>
      <c r="K583" s="2" t="s">
        <v>16</v>
      </c>
      <c r="L583" s="2" t="s">
        <v>17</v>
      </c>
    </row>
    <row r="584" spans="1:12" x14ac:dyDescent="0.25">
      <c r="A584" s="3">
        <v>45705.235983796301</v>
      </c>
      <c r="B584" t="s">
        <v>43</v>
      </c>
      <c r="C584" s="3">
        <v>45705.24454861111</v>
      </c>
      <c r="D584" t="s">
        <v>372</v>
      </c>
      <c r="E584" s="4">
        <v>0.35699999999999998</v>
      </c>
      <c r="F584" s="4">
        <v>408074.96899999998</v>
      </c>
      <c r="G584" s="4">
        <v>408075.326</v>
      </c>
      <c r="H584" s="5">
        <f>599 / 86400</f>
        <v>6.9328703703703705E-3</v>
      </c>
      <c r="I584" t="s">
        <v>62</v>
      </c>
      <c r="J584" t="s">
        <v>143</v>
      </c>
      <c r="K584" s="5">
        <f>739 / 86400</f>
        <v>8.5532407407407415E-3</v>
      </c>
      <c r="L584" s="5">
        <f>20442 / 86400</f>
        <v>0.23659722222222221</v>
      </c>
    </row>
    <row r="585" spans="1:12" x14ac:dyDescent="0.25">
      <c r="A585" s="3">
        <v>45705.245162037041</v>
      </c>
      <c r="B585" t="s">
        <v>372</v>
      </c>
      <c r="C585" s="3">
        <v>45705.248263888891</v>
      </c>
      <c r="D585" t="s">
        <v>43</v>
      </c>
      <c r="E585" s="4">
        <v>0.56799999999999995</v>
      </c>
      <c r="F585" s="4">
        <v>408075.326</v>
      </c>
      <c r="G585" s="4">
        <v>408075.89399999997</v>
      </c>
      <c r="H585" s="5">
        <f>60 / 86400</f>
        <v>6.9444444444444447E-4</v>
      </c>
      <c r="I585" t="s">
        <v>20</v>
      </c>
      <c r="J585" t="s">
        <v>107</v>
      </c>
      <c r="K585" s="5">
        <f>267 / 86400</f>
        <v>3.0902777777777777E-3</v>
      </c>
      <c r="L585" s="5">
        <f>8087 / 86400</f>
        <v>9.3599537037037037E-2</v>
      </c>
    </row>
    <row r="586" spans="1:12" x14ac:dyDescent="0.25">
      <c r="A586" s="3">
        <v>45705.341863425929</v>
      </c>
      <c r="B586" t="s">
        <v>43</v>
      </c>
      <c r="C586" s="3">
        <v>45705.349594907406</v>
      </c>
      <c r="D586" t="s">
        <v>161</v>
      </c>
      <c r="E586" s="4">
        <v>1.111</v>
      </c>
      <c r="F586" s="4">
        <v>408075.89399999997</v>
      </c>
      <c r="G586" s="4">
        <v>408077.005</v>
      </c>
      <c r="H586" s="5">
        <f>419 / 86400</f>
        <v>4.8495370370370368E-3</v>
      </c>
      <c r="I586" t="s">
        <v>117</v>
      </c>
      <c r="J586" t="s">
        <v>153</v>
      </c>
      <c r="K586" s="5">
        <f>667 / 86400</f>
        <v>7.7199074074074071E-3</v>
      </c>
      <c r="L586" s="5">
        <f>206 / 86400</f>
        <v>2.3842592592592591E-3</v>
      </c>
    </row>
    <row r="587" spans="1:12" x14ac:dyDescent="0.25">
      <c r="A587" s="3">
        <v>45705.351979166662</v>
      </c>
      <c r="B587" t="s">
        <v>161</v>
      </c>
      <c r="C587" s="3">
        <v>45705.352534722224</v>
      </c>
      <c r="D587" t="s">
        <v>161</v>
      </c>
      <c r="E587" s="4">
        <v>6.2E-2</v>
      </c>
      <c r="F587" s="4">
        <v>408077.005</v>
      </c>
      <c r="G587" s="4">
        <v>408077.06699999998</v>
      </c>
      <c r="H587" s="5">
        <f>20 / 86400</f>
        <v>2.3148148148148149E-4</v>
      </c>
      <c r="I587" t="s">
        <v>142</v>
      </c>
      <c r="J587" t="s">
        <v>142</v>
      </c>
      <c r="K587" s="5">
        <f>47 / 86400</f>
        <v>5.4398148148148144E-4</v>
      </c>
      <c r="L587" s="5">
        <f>139 / 86400</f>
        <v>1.6087962962962963E-3</v>
      </c>
    </row>
    <row r="588" spans="1:12" x14ac:dyDescent="0.25">
      <c r="A588" s="3">
        <v>45705.354143518518</v>
      </c>
      <c r="B588" t="s">
        <v>161</v>
      </c>
      <c r="C588" s="3">
        <v>45705.354930555557</v>
      </c>
      <c r="D588" t="s">
        <v>80</v>
      </c>
      <c r="E588" s="4">
        <v>0.112</v>
      </c>
      <c r="F588" s="4">
        <v>408077.06699999998</v>
      </c>
      <c r="G588" s="4">
        <v>408077.179</v>
      </c>
      <c r="H588" s="5">
        <f>20 / 86400</f>
        <v>2.3148148148148149E-4</v>
      </c>
      <c r="I588" t="s">
        <v>75</v>
      </c>
      <c r="J588" t="s">
        <v>153</v>
      </c>
      <c r="K588" s="5">
        <f>68 / 86400</f>
        <v>7.8703703703703705E-4</v>
      </c>
      <c r="L588" s="5">
        <f>10809 / 86400</f>
        <v>0.12510416666666666</v>
      </c>
    </row>
    <row r="589" spans="1:12" x14ac:dyDescent="0.25">
      <c r="A589" s="3">
        <v>45705.480034722219</v>
      </c>
      <c r="B589" t="s">
        <v>80</v>
      </c>
      <c r="C589" s="3">
        <v>45705.487233796295</v>
      </c>
      <c r="D589" t="s">
        <v>130</v>
      </c>
      <c r="E589" s="4">
        <v>1.363</v>
      </c>
      <c r="F589" s="4">
        <v>408077.179</v>
      </c>
      <c r="G589" s="4">
        <v>408078.54200000002</v>
      </c>
      <c r="H589" s="5">
        <f>239 / 86400</f>
        <v>2.7662037037037039E-3</v>
      </c>
      <c r="I589" t="s">
        <v>117</v>
      </c>
      <c r="J589" t="s">
        <v>107</v>
      </c>
      <c r="K589" s="5">
        <f>621 / 86400</f>
        <v>7.1875000000000003E-3</v>
      </c>
      <c r="L589" s="5">
        <f>38 / 86400</f>
        <v>4.3981481481481481E-4</v>
      </c>
    </row>
    <row r="590" spans="1:12" x14ac:dyDescent="0.25">
      <c r="A590" s="3">
        <v>45705.487673611111</v>
      </c>
      <c r="B590" t="s">
        <v>130</v>
      </c>
      <c r="C590" s="3">
        <v>45705.509560185186</v>
      </c>
      <c r="D590" t="s">
        <v>373</v>
      </c>
      <c r="E590" s="4">
        <v>0.30099999999999999</v>
      </c>
      <c r="F590" s="4">
        <v>408078.54200000002</v>
      </c>
      <c r="G590" s="4">
        <v>408078.84299999999</v>
      </c>
      <c r="H590" s="5">
        <f>1779 / 86400</f>
        <v>2.0590277777777777E-2</v>
      </c>
      <c r="I590" t="s">
        <v>27</v>
      </c>
      <c r="J590" t="s">
        <v>144</v>
      </c>
      <c r="K590" s="5">
        <f>1891 / 86400</f>
        <v>2.1886574074074076E-2</v>
      </c>
      <c r="L590" s="5">
        <f>302 / 86400</f>
        <v>3.4953703703703705E-3</v>
      </c>
    </row>
    <row r="591" spans="1:12" x14ac:dyDescent="0.25">
      <c r="A591" s="3">
        <v>45705.513055555552</v>
      </c>
      <c r="B591" t="s">
        <v>373</v>
      </c>
      <c r="C591" s="3">
        <v>45705.530115740738</v>
      </c>
      <c r="D591" t="s">
        <v>373</v>
      </c>
      <c r="E591" s="4">
        <v>2E-3</v>
      </c>
      <c r="F591" s="4">
        <v>408078.84299999999</v>
      </c>
      <c r="G591" s="4">
        <v>408078.84499999997</v>
      </c>
      <c r="H591" s="5">
        <f>1459 / 86400</f>
        <v>1.6886574074074075E-2</v>
      </c>
      <c r="I591" t="s">
        <v>142</v>
      </c>
      <c r="J591" t="s">
        <v>73</v>
      </c>
      <c r="K591" s="5">
        <f>1474 / 86400</f>
        <v>1.7060185185185185E-2</v>
      </c>
      <c r="L591" s="5">
        <f>1312 / 86400</f>
        <v>1.5185185185185185E-2</v>
      </c>
    </row>
    <row r="592" spans="1:12" x14ac:dyDescent="0.25">
      <c r="A592" s="3">
        <v>45705.545300925922</v>
      </c>
      <c r="B592" t="s">
        <v>373</v>
      </c>
      <c r="C592" s="3">
        <v>45705.551886574074</v>
      </c>
      <c r="D592" t="s">
        <v>137</v>
      </c>
      <c r="E592" s="4">
        <v>0.876</v>
      </c>
      <c r="F592" s="4">
        <v>408078.84499999997</v>
      </c>
      <c r="G592" s="4">
        <v>408079.72100000002</v>
      </c>
      <c r="H592" s="5">
        <f>359 / 86400</f>
        <v>4.1550925925925922E-3</v>
      </c>
      <c r="I592" t="s">
        <v>129</v>
      </c>
      <c r="J592" t="s">
        <v>153</v>
      </c>
      <c r="K592" s="5">
        <f>569 / 86400</f>
        <v>6.5856481481481478E-3</v>
      </c>
      <c r="L592" s="5">
        <f>7 / 86400</f>
        <v>8.1018518518518516E-5</v>
      </c>
    </row>
    <row r="593" spans="1:12" x14ac:dyDescent="0.25">
      <c r="A593" s="3">
        <v>45705.55196759259</v>
      </c>
      <c r="B593" t="s">
        <v>137</v>
      </c>
      <c r="C593" s="3">
        <v>45705.716724537036</v>
      </c>
      <c r="D593" t="s">
        <v>177</v>
      </c>
      <c r="E593" s="4">
        <v>49.088999999999999</v>
      </c>
      <c r="F593" s="4">
        <v>408079.72100000002</v>
      </c>
      <c r="G593" s="4">
        <v>408128.81</v>
      </c>
      <c r="H593" s="5">
        <f>6882 / 86400</f>
        <v>7.9652777777777781E-2</v>
      </c>
      <c r="I593" t="s">
        <v>44</v>
      </c>
      <c r="J593" t="s">
        <v>162</v>
      </c>
      <c r="K593" s="5">
        <f>14235 / 86400</f>
        <v>0.16475694444444444</v>
      </c>
      <c r="L593" s="5">
        <f>91 / 86400</f>
        <v>1.0532407407407407E-3</v>
      </c>
    </row>
    <row r="594" spans="1:12" x14ac:dyDescent="0.25">
      <c r="A594" s="3">
        <v>45705.717777777776</v>
      </c>
      <c r="B594" t="s">
        <v>177</v>
      </c>
      <c r="C594" s="3">
        <v>45705.87877314815</v>
      </c>
      <c r="D594" t="s">
        <v>80</v>
      </c>
      <c r="E594" s="4">
        <v>50.612000000000002</v>
      </c>
      <c r="F594" s="4">
        <v>408128.81</v>
      </c>
      <c r="G594" s="4">
        <v>408179.42200000002</v>
      </c>
      <c r="H594" s="5">
        <f>4858 / 86400</f>
        <v>5.6226851851851854E-2</v>
      </c>
      <c r="I594" t="s">
        <v>167</v>
      </c>
      <c r="J594" t="s">
        <v>66</v>
      </c>
      <c r="K594" s="5">
        <f>13910 / 86400</f>
        <v>0.16099537037037037</v>
      </c>
      <c r="L594" s="5">
        <f>285 / 86400</f>
        <v>3.2986111111111111E-3</v>
      </c>
    </row>
    <row r="595" spans="1:12" x14ac:dyDescent="0.25">
      <c r="A595" s="3">
        <v>45705.882071759261</v>
      </c>
      <c r="B595" t="s">
        <v>80</v>
      </c>
      <c r="C595" s="3">
        <v>45705.88380787037</v>
      </c>
      <c r="D595" t="s">
        <v>374</v>
      </c>
      <c r="E595" s="4">
        <v>0.71699999999999997</v>
      </c>
      <c r="F595" s="4">
        <v>408179.42200000002</v>
      </c>
      <c r="G595" s="4">
        <v>408180.13900000002</v>
      </c>
      <c r="H595" s="5">
        <f>20 / 86400</f>
        <v>2.3148148148148149E-4</v>
      </c>
      <c r="I595" t="s">
        <v>145</v>
      </c>
      <c r="J595" t="s">
        <v>32</v>
      </c>
      <c r="K595" s="5">
        <f>149 / 86400</f>
        <v>1.724537037037037E-3</v>
      </c>
      <c r="L595" s="5">
        <f>131 / 86400</f>
        <v>1.5162037037037036E-3</v>
      </c>
    </row>
    <row r="596" spans="1:12" x14ac:dyDescent="0.25">
      <c r="A596" s="3">
        <v>45705.885324074072</v>
      </c>
      <c r="B596" t="s">
        <v>374</v>
      </c>
      <c r="C596" s="3">
        <v>45705.88616898148</v>
      </c>
      <c r="D596" t="s">
        <v>374</v>
      </c>
      <c r="E596" s="4">
        <v>6.9000000000000006E-2</v>
      </c>
      <c r="F596" s="4">
        <v>408180.13900000002</v>
      </c>
      <c r="G596" s="4">
        <v>408180.20799999998</v>
      </c>
      <c r="H596" s="5">
        <f>40 / 86400</f>
        <v>4.6296296296296298E-4</v>
      </c>
      <c r="I596" t="s">
        <v>118</v>
      </c>
      <c r="J596" t="s">
        <v>84</v>
      </c>
      <c r="K596" s="5">
        <f>73 / 86400</f>
        <v>8.4490740740740739E-4</v>
      </c>
      <c r="L596" s="5">
        <f>475 / 86400</f>
        <v>5.4976851851851853E-3</v>
      </c>
    </row>
    <row r="597" spans="1:12" x14ac:dyDescent="0.25">
      <c r="A597" s="3">
        <v>45705.891666666663</v>
      </c>
      <c r="B597" t="s">
        <v>374</v>
      </c>
      <c r="C597" s="3">
        <v>45705.893553240741</v>
      </c>
      <c r="D597" t="s">
        <v>375</v>
      </c>
      <c r="E597" s="4">
        <v>0.42099999999999999</v>
      </c>
      <c r="F597" s="4">
        <v>408180.20799999998</v>
      </c>
      <c r="G597" s="4">
        <v>408180.62900000002</v>
      </c>
      <c r="H597" s="5">
        <f>0 / 86400</f>
        <v>0</v>
      </c>
      <c r="I597" t="s">
        <v>66</v>
      </c>
      <c r="J597" t="s">
        <v>133</v>
      </c>
      <c r="K597" s="5">
        <f>163 / 86400</f>
        <v>1.8865740740740742E-3</v>
      </c>
      <c r="L597" s="5">
        <f>193 / 86400</f>
        <v>2.2337962962962962E-3</v>
      </c>
    </row>
    <row r="598" spans="1:12" x14ac:dyDescent="0.25">
      <c r="A598" s="3">
        <v>45705.895787037036</v>
      </c>
      <c r="B598" t="s">
        <v>375</v>
      </c>
      <c r="C598" s="3">
        <v>45705.898194444446</v>
      </c>
      <c r="D598" t="s">
        <v>43</v>
      </c>
      <c r="E598" s="4">
        <v>0.26400000000000001</v>
      </c>
      <c r="F598" s="4">
        <v>408180.62900000002</v>
      </c>
      <c r="G598" s="4">
        <v>408180.89299999998</v>
      </c>
      <c r="H598" s="5">
        <f>140 / 86400</f>
        <v>1.6203703703703703E-3</v>
      </c>
      <c r="I598" t="s">
        <v>30</v>
      </c>
      <c r="J598" t="s">
        <v>142</v>
      </c>
      <c r="K598" s="5">
        <f>208 / 86400</f>
        <v>2.4074074074074076E-3</v>
      </c>
      <c r="L598" s="5">
        <f>8795 / 86400</f>
        <v>0.10179398148148149</v>
      </c>
    </row>
    <row r="599" spans="1:12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 spans="1:12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 spans="1:12" s="10" customFormat="1" ht="20.100000000000001" customHeight="1" x14ac:dyDescent="0.35">
      <c r="A601" s="12" t="s">
        <v>452</v>
      </c>
      <c r="B601" s="12"/>
      <c r="C601" s="12"/>
      <c r="D601" s="12"/>
      <c r="E601" s="12"/>
      <c r="F601" s="12"/>
      <c r="G601" s="12"/>
      <c r="H601" s="12"/>
      <c r="I601" s="12"/>
      <c r="J601" s="12"/>
    </row>
    <row r="602" spans="1:12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 spans="1:12" ht="30" x14ac:dyDescent="0.25">
      <c r="A603" s="2" t="s">
        <v>6</v>
      </c>
      <c r="B603" s="2" t="s">
        <v>7</v>
      </c>
      <c r="C603" s="2" t="s">
        <v>8</v>
      </c>
      <c r="D603" s="2" t="s">
        <v>9</v>
      </c>
      <c r="E603" s="2" t="s">
        <v>10</v>
      </c>
      <c r="F603" s="2" t="s">
        <v>11</v>
      </c>
      <c r="G603" s="2" t="s">
        <v>12</v>
      </c>
      <c r="H603" s="2" t="s">
        <v>13</v>
      </c>
      <c r="I603" s="2" t="s">
        <v>14</v>
      </c>
      <c r="J603" s="2" t="s">
        <v>15</v>
      </c>
      <c r="K603" s="2" t="s">
        <v>16</v>
      </c>
      <c r="L603" s="2" t="s">
        <v>17</v>
      </c>
    </row>
    <row r="604" spans="1:12" x14ac:dyDescent="0.25">
      <c r="A604" s="3">
        <v>45705.21575231482</v>
      </c>
      <c r="B604" t="s">
        <v>46</v>
      </c>
      <c r="C604" s="3">
        <v>45705.333229166667</v>
      </c>
      <c r="D604" t="s">
        <v>329</v>
      </c>
      <c r="E604" s="4">
        <v>51.606000000000002</v>
      </c>
      <c r="F604" s="4">
        <v>438102.39600000001</v>
      </c>
      <c r="G604" s="4">
        <v>438154.00199999998</v>
      </c>
      <c r="H604" s="5">
        <f>2838 / 86400</f>
        <v>3.2847222222222222E-2</v>
      </c>
      <c r="I604" t="s">
        <v>221</v>
      </c>
      <c r="J604" t="s">
        <v>23</v>
      </c>
      <c r="K604" s="5">
        <f>10149 / 86400</f>
        <v>0.11746527777777778</v>
      </c>
      <c r="L604" s="5">
        <f>18906 / 86400</f>
        <v>0.21881944444444446</v>
      </c>
    </row>
    <row r="605" spans="1:12" x14ac:dyDescent="0.25">
      <c r="A605" s="3">
        <v>45705.3362962963</v>
      </c>
      <c r="B605" t="s">
        <v>329</v>
      </c>
      <c r="C605" s="3">
        <v>45705.442418981482</v>
      </c>
      <c r="D605" t="s">
        <v>130</v>
      </c>
      <c r="E605" s="4">
        <v>50.85</v>
      </c>
      <c r="F605" s="4">
        <v>438154.00199999998</v>
      </c>
      <c r="G605" s="4">
        <v>438204.85200000001</v>
      </c>
      <c r="H605" s="5">
        <f>1941 / 86400</f>
        <v>2.2465277777777778E-2</v>
      </c>
      <c r="I605" t="s">
        <v>172</v>
      </c>
      <c r="J605" t="s">
        <v>20</v>
      </c>
      <c r="K605" s="5">
        <f>9168 / 86400</f>
        <v>0.10611111111111111</v>
      </c>
      <c r="L605" s="5">
        <f>1492 / 86400</f>
        <v>1.726851851851852E-2</v>
      </c>
    </row>
    <row r="606" spans="1:12" x14ac:dyDescent="0.25">
      <c r="A606" s="3">
        <v>45705.459687499999</v>
      </c>
      <c r="B606" t="s">
        <v>130</v>
      </c>
      <c r="C606" s="3">
        <v>45705.464884259258</v>
      </c>
      <c r="D606" t="s">
        <v>161</v>
      </c>
      <c r="E606" s="4">
        <v>1.393</v>
      </c>
      <c r="F606" s="4">
        <v>438204.85200000001</v>
      </c>
      <c r="G606" s="4">
        <v>438206.245</v>
      </c>
      <c r="H606" s="5">
        <f>60 / 86400</f>
        <v>6.9444444444444447E-4</v>
      </c>
      <c r="I606" t="s">
        <v>145</v>
      </c>
      <c r="J606" t="s">
        <v>45</v>
      </c>
      <c r="K606" s="5">
        <f>449 / 86400</f>
        <v>5.1967592592592595E-3</v>
      </c>
      <c r="L606" s="5">
        <f>2050 / 86400</f>
        <v>2.3726851851851853E-2</v>
      </c>
    </row>
    <row r="607" spans="1:12" x14ac:dyDescent="0.25">
      <c r="A607" s="3">
        <v>45705.488611111112</v>
      </c>
      <c r="B607" t="s">
        <v>161</v>
      </c>
      <c r="C607" s="3">
        <v>45705.599143518513</v>
      </c>
      <c r="D607" t="s">
        <v>340</v>
      </c>
      <c r="E607" s="4">
        <v>46.228999999999999</v>
      </c>
      <c r="F607" s="4">
        <v>438206.245</v>
      </c>
      <c r="G607" s="4">
        <v>438252.47399999999</v>
      </c>
      <c r="H607" s="5">
        <f>3220 / 86400</f>
        <v>3.726851851851852E-2</v>
      </c>
      <c r="I607" t="s">
        <v>47</v>
      </c>
      <c r="J607" t="s">
        <v>32</v>
      </c>
      <c r="K607" s="5">
        <f>9550 / 86400</f>
        <v>0.11053240740740741</v>
      </c>
      <c r="L607" s="5">
        <f>599 / 86400</f>
        <v>6.9328703703703705E-3</v>
      </c>
    </row>
    <row r="608" spans="1:12" x14ac:dyDescent="0.25">
      <c r="A608" s="3">
        <v>45705.606076388889</v>
      </c>
      <c r="B608" t="s">
        <v>340</v>
      </c>
      <c r="C608" s="3">
        <v>45705.733043981483</v>
      </c>
      <c r="D608" t="s">
        <v>80</v>
      </c>
      <c r="E608" s="4">
        <v>47.802</v>
      </c>
      <c r="F608" s="4">
        <v>438252.47399999999</v>
      </c>
      <c r="G608" s="4">
        <v>438300.27600000001</v>
      </c>
      <c r="H608" s="5">
        <f>3105 / 86400</f>
        <v>3.5937499999999997E-2</v>
      </c>
      <c r="I608" t="s">
        <v>172</v>
      </c>
      <c r="J608" t="s">
        <v>62</v>
      </c>
      <c r="K608" s="5">
        <f>10969 / 86400</f>
        <v>0.12695601851851851</v>
      </c>
      <c r="L608" s="5">
        <f>835 / 86400</f>
        <v>9.6643518518518511E-3</v>
      </c>
    </row>
    <row r="609" spans="1:12" x14ac:dyDescent="0.25">
      <c r="A609" s="3">
        <v>45705.742708333331</v>
      </c>
      <c r="B609" t="s">
        <v>80</v>
      </c>
      <c r="C609" s="3">
        <v>45705.746446759258</v>
      </c>
      <c r="D609" t="s">
        <v>46</v>
      </c>
      <c r="E609" s="4">
        <v>0.95299999999999996</v>
      </c>
      <c r="F609" s="4">
        <v>438300.27600000001</v>
      </c>
      <c r="G609" s="4">
        <v>438301.22899999999</v>
      </c>
      <c r="H609" s="5">
        <f>60 / 86400</f>
        <v>6.9444444444444447E-4</v>
      </c>
      <c r="I609" t="s">
        <v>117</v>
      </c>
      <c r="J609" t="s">
        <v>45</v>
      </c>
      <c r="K609" s="5">
        <f>323 / 86400</f>
        <v>3.7384259259259259E-3</v>
      </c>
      <c r="L609" s="5">
        <f>21906 / 86400</f>
        <v>0.25354166666666667</v>
      </c>
    </row>
    <row r="610" spans="1:12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 spans="1:12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 spans="1:12" s="10" customFormat="1" ht="20.100000000000001" customHeight="1" x14ac:dyDescent="0.35">
      <c r="A612" s="12" t="s">
        <v>453</v>
      </c>
      <c r="B612" s="12"/>
      <c r="C612" s="12"/>
      <c r="D612" s="12"/>
      <c r="E612" s="12"/>
      <c r="F612" s="12"/>
      <c r="G612" s="12"/>
      <c r="H612" s="12"/>
      <c r="I612" s="12"/>
      <c r="J612" s="12"/>
    </row>
    <row r="613" spans="1:12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 spans="1:12" ht="30" x14ac:dyDescent="0.25">
      <c r="A614" s="2" t="s">
        <v>6</v>
      </c>
      <c r="B614" s="2" t="s">
        <v>7</v>
      </c>
      <c r="C614" s="2" t="s">
        <v>8</v>
      </c>
      <c r="D614" s="2" t="s">
        <v>9</v>
      </c>
      <c r="E614" s="2" t="s">
        <v>10</v>
      </c>
      <c r="F614" s="2" t="s">
        <v>11</v>
      </c>
      <c r="G614" s="2" t="s">
        <v>12</v>
      </c>
      <c r="H614" s="2" t="s">
        <v>13</v>
      </c>
      <c r="I614" s="2" t="s">
        <v>14</v>
      </c>
      <c r="J614" s="2" t="s">
        <v>15</v>
      </c>
      <c r="K614" s="2" t="s">
        <v>16</v>
      </c>
      <c r="L614" s="2" t="s">
        <v>17</v>
      </c>
    </row>
    <row r="615" spans="1:12" x14ac:dyDescent="0.25">
      <c r="A615" s="3">
        <v>45705.132465277777</v>
      </c>
      <c r="B615" t="s">
        <v>21</v>
      </c>
      <c r="C615" s="3">
        <v>45705.134942129633</v>
      </c>
      <c r="D615" t="s">
        <v>137</v>
      </c>
      <c r="E615" s="4">
        <v>0.72799999999999998</v>
      </c>
      <c r="F615" s="4">
        <v>55091.017</v>
      </c>
      <c r="G615" s="4">
        <v>55091.745000000003</v>
      </c>
      <c r="H615" s="5">
        <f>40 / 86400</f>
        <v>4.6296296296296298E-4</v>
      </c>
      <c r="I615" t="s">
        <v>129</v>
      </c>
      <c r="J615" t="s">
        <v>162</v>
      </c>
      <c r="K615" s="5">
        <f>213 / 86400</f>
        <v>2.4652777777777776E-3</v>
      </c>
      <c r="L615" s="5">
        <f>11639 / 86400</f>
        <v>0.13471064814814815</v>
      </c>
    </row>
    <row r="616" spans="1:12" x14ac:dyDescent="0.25">
      <c r="A616" s="3">
        <v>45705.137187500004</v>
      </c>
      <c r="B616" t="s">
        <v>137</v>
      </c>
      <c r="C616" s="3">
        <v>45705.210972222223</v>
      </c>
      <c r="D616" t="s">
        <v>329</v>
      </c>
      <c r="E616" s="4">
        <v>52.832999999999998</v>
      </c>
      <c r="F616" s="4">
        <v>55091.745000000003</v>
      </c>
      <c r="G616" s="4">
        <v>55144.578000000001</v>
      </c>
      <c r="H616" s="5">
        <f>1040 / 86400</f>
        <v>1.2037037037037037E-2</v>
      </c>
      <c r="I616" t="s">
        <v>49</v>
      </c>
      <c r="J616" t="s">
        <v>152</v>
      </c>
      <c r="K616" s="5">
        <f>6375 / 86400</f>
        <v>7.3784722222222224E-2</v>
      </c>
      <c r="L616" s="5">
        <f>59 / 86400</f>
        <v>6.8287037037037036E-4</v>
      </c>
    </row>
    <row r="617" spans="1:12" x14ac:dyDescent="0.25">
      <c r="A617" s="3">
        <v>45705.211655092593</v>
      </c>
      <c r="B617" t="s">
        <v>376</v>
      </c>
      <c r="C617" s="3">
        <v>45705.211759259255</v>
      </c>
      <c r="D617" t="s">
        <v>376</v>
      </c>
      <c r="E617" s="4">
        <v>0</v>
      </c>
      <c r="F617" s="4">
        <v>55144.578000000001</v>
      </c>
      <c r="G617" s="4">
        <v>55144.578000000001</v>
      </c>
      <c r="H617" s="5">
        <f>0 / 86400</f>
        <v>0</v>
      </c>
      <c r="I617" t="s">
        <v>73</v>
      </c>
      <c r="J617" t="s">
        <v>73</v>
      </c>
      <c r="K617" s="5">
        <f>8 / 86400</f>
        <v>9.2592592592592588E-5</v>
      </c>
      <c r="L617" s="5">
        <f>116 / 86400</f>
        <v>1.3425925925925925E-3</v>
      </c>
    </row>
    <row r="618" spans="1:12" x14ac:dyDescent="0.25">
      <c r="A618" s="3">
        <v>45705.213101851856</v>
      </c>
      <c r="B618" t="s">
        <v>376</v>
      </c>
      <c r="C618" s="3">
        <v>45705.30840277778</v>
      </c>
      <c r="D618" t="s">
        <v>182</v>
      </c>
      <c r="E618" s="4">
        <v>52.795999999999999</v>
      </c>
      <c r="F618" s="4">
        <v>55144.578000000001</v>
      </c>
      <c r="G618" s="4">
        <v>55197.374000000003</v>
      </c>
      <c r="H618" s="5">
        <f>1761 / 86400</f>
        <v>2.0381944444444446E-2</v>
      </c>
      <c r="I618" t="s">
        <v>140</v>
      </c>
      <c r="J618" t="s">
        <v>141</v>
      </c>
      <c r="K618" s="5">
        <f>8233 / 86400</f>
        <v>9.5289351851851847E-2</v>
      </c>
      <c r="L618" s="5">
        <f>791 / 86400</f>
        <v>9.1550925925925931E-3</v>
      </c>
    </row>
    <row r="619" spans="1:12" x14ac:dyDescent="0.25">
      <c r="A619" s="3">
        <v>45705.317557870367</v>
      </c>
      <c r="B619" t="s">
        <v>182</v>
      </c>
      <c r="C619" s="3">
        <v>45705.318749999999</v>
      </c>
      <c r="D619" t="s">
        <v>128</v>
      </c>
      <c r="E619" s="4">
        <v>0.36399999999999999</v>
      </c>
      <c r="F619" s="4">
        <v>55197.374000000003</v>
      </c>
      <c r="G619" s="4">
        <v>55197.737999999998</v>
      </c>
      <c r="H619" s="5">
        <f>0 / 86400</f>
        <v>0</v>
      </c>
      <c r="I619" t="s">
        <v>152</v>
      </c>
      <c r="J619" t="s">
        <v>66</v>
      </c>
      <c r="K619" s="5">
        <f>102 / 86400</f>
        <v>1.1805555555555556E-3</v>
      </c>
      <c r="L619" s="5">
        <f>109 / 86400</f>
        <v>1.261574074074074E-3</v>
      </c>
    </row>
    <row r="620" spans="1:12" x14ac:dyDescent="0.25">
      <c r="A620" s="3">
        <v>45705.320011574076</v>
      </c>
      <c r="B620" t="s">
        <v>128</v>
      </c>
      <c r="C620" s="3">
        <v>45705.320462962962</v>
      </c>
      <c r="D620" t="s">
        <v>128</v>
      </c>
      <c r="E620" s="4">
        <v>6.9000000000000006E-2</v>
      </c>
      <c r="F620" s="4">
        <v>55197.737999999998</v>
      </c>
      <c r="G620" s="4">
        <v>55197.807000000001</v>
      </c>
      <c r="H620" s="5">
        <f>0 / 86400</f>
        <v>0</v>
      </c>
      <c r="I620" t="s">
        <v>133</v>
      </c>
      <c r="J620" t="s">
        <v>151</v>
      </c>
      <c r="K620" s="5">
        <f>38 / 86400</f>
        <v>4.3981481481481481E-4</v>
      </c>
      <c r="L620" s="5">
        <f>95 / 86400</f>
        <v>1.0995370370370371E-3</v>
      </c>
    </row>
    <row r="621" spans="1:12" x14ac:dyDescent="0.25">
      <c r="A621" s="3">
        <v>45705.321562500001</v>
      </c>
      <c r="B621" t="s">
        <v>128</v>
      </c>
      <c r="C621" s="3">
        <v>45705.544965277775</v>
      </c>
      <c r="D621" t="s">
        <v>80</v>
      </c>
      <c r="E621" s="4">
        <v>101.18600000000001</v>
      </c>
      <c r="F621" s="4">
        <v>55197.807000000001</v>
      </c>
      <c r="G621" s="4">
        <v>55298.993000000002</v>
      </c>
      <c r="H621" s="5">
        <f>5702 / 86400</f>
        <v>6.5995370370370371E-2</v>
      </c>
      <c r="I621" t="s">
        <v>64</v>
      </c>
      <c r="J621" t="s">
        <v>27</v>
      </c>
      <c r="K621" s="5">
        <f>19301 / 86400</f>
        <v>0.22339120370370372</v>
      </c>
      <c r="L621" s="5">
        <f>219 / 86400</f>
        <v>2.5347222222222221E-3</v>
      </c>
    </row>
    <row r="622" spans="1:12" x14ac:dyDescent="0.25">
      <c r="A622" s="3">
        <v>45705.547500000001</v>
      </c>
      <c r="B622" t="s">
        <v>80</v>
      </c>
      <c r="C622" s="3">
        <v>45705.548298611116</v>
      </c>
      <c r="D622" t="s">
        <v>137</v>
      </c>
      <c r="E622" s="4">
        <v>0.19</v>
      </c>
      <c r="F622" s="4">
        <v>55298.993000000002</v>
      </c>
      <c r="G622" s="4">
        <v>55299.182999999997</v>
      </c>
      <c r="H622" s="5">
        <f>20 / 86400</f>
        <v>2.3148148148148149E-4</v>
      </c>
      <c r="I622" t="s">
        <v>163</v>
      </c>
      <c r="J622" t="s">
        <v>118</v>
      </c>
      <c r="K622" s="5">
        <f>68 / 86400</f>
        <v>7.8703703703703705E-4</v>
      </c>
      <c r="L622" s="5">
        <f>165 / 86400</f>
        <v>1.9097222222222222E-3</v>
      </c>
    </row>
    <row r="623" spans="1:12" x14ac:dyDescent="0.25">
      <c r="A623" s="3">
        <v>45705.550208333334</v>
      </c>
      <c r="B623" t="s">
        <v>137</v>
      </c>
      <c r="C623" s="3">
        <v>45705.552847222221</v>
      </c>
      <c r="D623" t="s">
        <v>80</v>
      </c>
      <c r="E623" s="4">
        <v>0.26800000000000002</v>
      </c>
      <c r="F623" s="4">
        <v>55299.182999999997</v>
      </c>
      <c r="G623" s="4">
        <v>55299.451000000001</v>
      </c>
      <c r="H623" s="5">
        <f>80 / 86400</f>
        <v>9.2592592592592596E-4</v>
      </c>
      <c r="I623" t="s">
        <v>66</v>
      </c>
      <c r="J623" t="s">
        <v>148</v>
      </c>
      <c r="K623" s="5">
        <f>228 / 86400</f>
        <v>2.638888888888889E-3</v>
      </c>
      <c r="L623" s="5">
        <f>642 / 86400</f>
        <v>7.4305555555555557E-3</v>
      </c>
    </row>
    <row r="624" spans="1:12" x14ac:dyDescent="0.25">
      <c r="A624" s="3">
        <v>45705.560277777782</v>
      </c>
      <c r="B624" t="s">
        <v>80</v>
      </c>
      <c r="C624" s="3">
        <v>45705.571793981479</v>
      </c>
      <c r="D624" t="s">
        <v>114</v>
      </c>
      <c r="E624" s="4">
        <v>2.7480000000000002</v>
      </c>
      <c r="F624" s="4">
        <v>55299.451000000001</v>
      </c>
      <c r="G624" s="4">
        <v>55302.199000000001</v>
      </c>
      <c r="H624" s="5">
        <f>559 / 86400</f>
        <v>6.4699074074074077E-3</v>
      </c>
      <c r="I624" t="s">
        <v>196</v>
      </c>
      <c r="J624" t="s">
        <v>118</v>
      </c>
      <c r="K624" s="5">
        <f>994 / 86400</f>
        <v>1.150462962962963E-2</v>
      </c>
      <c r="L624" s="5">
        <f>334 / 86400</f>
        <v>3.8657407407407408E-3</v>
      </c>
    </row>
    <row r="625" spans="1:12" x14ac:dyDescent="0.25">
      <c r="A625" s="3">
        <v>45705.575659722221</v>
      </c>
      <c r="B625" t="s">
        <v>114</v>
      </c>
      <c r="C625" s="3">
        <v>45705.688194444447</v>
      </c>
      <c r="D625" t="s">
        <v>260</v>
      </c>
      <c r="E625" s="4">
        <v>44.557000000000002</v>
      </c>
      <c r="F625" s="4">
        <v>55302.199000000001</v>
      </c>
      <c r="G625" s="4">
        <v>55346.756000000001</v>
      </c>
      <c r="H625" s="5">
        <f>3760 / 86400</f>
        <v>4.3518518518518519E-2</v>
      </c>
      <c r="I625" t="s">
        <v>60</v>
      </c>
      <c r="J625" t="s">
        <v>62</v>
      </c>
      <c r="K625" s="5">
        <f>9723 / 86400</f>
        <v>0.11253472222222222</v>
      </c>
      <c r="L625" s="5">
        <f>194 / 86400</f>
        <v>2.2453703703703702E-3</v>
      </c>
    </row>
    <row r="626" spans="1:12" x14ac:dyDescent="0.25">
      <c r="A626" s="3">
        <v>45705.690439814818</v>
      </c>
      <c r="B626" t="s">
        <v>260</v>
      </c>
      <c r="C626" s="3">
        <v>45705.69131944445</v>
      </c>
      <c r="D626" t="s">
        <v>260</v>
      </c>
      <c r="E626" s="4">
        <v>0</v>
      </c>
      <c r="F626" s="4">
        <v>55346.756000000001</v>
      </c>
      <c r="G626" s="4">
        <v>55346.756000000001</v>
      </c>
      <c r="H626" s="5">
        <f>59 / 86400</f>
        <v>6.8287037037037036E-4</v>
      </c>
      <c r="I626" t="s">
        <v>73</v>
      </c>
      <c r="J626" t="s">
        <v>73</v>
      </c>
      <c r="K626" s="5">
        <f>75 / 86400</f>
        <v>8.6805555555555551E-4</v>
      </c>
      <c r="L626" s="5">
        <f>116 / 86400</f>
        <v>1.3425925925925925E-3</v>
      </c>
    </row>
    <row r="627" spans="1:12" x14ac:dyDescent="0.25">
      <c r="A627" s="3">
        <v>45705.692662037036</v>
      </c>
      <c r="B627" t="s">
        <v>260</v>
      </c>
      <c r="C627" s="3">
        <v>45705.826724537037</v>
      </c>
      <c r="D627" t="s">
        <v>80</v>
      </c>
      <c r="E627" s="4">
        <v>46.43</v>
      </c>
      <c r="F627" s="4">
        <v>55346.756000000001</v>
      </c>
      <c r="G627" s="4">
        <v>55393.186000000002</v>
      </c>
      <c r="H627" s="5">
        <f>4059 / 86400</f>
        <v>4.6979166666666669E-2</v>
      </c>
      <c r="I627" t="s">
        <v>44</v>
      </c>
      <c r="J627" t="s">
        <v>75</v>
      </c>
      <c r="K627" s="5">
        <f>11582 / 86400</f>
        <v>0.13405092592592593</v>
      </c>
      <c r="L627" s="5">
        <f>150 / 86400</f>
        <v>1.736111111111111E-3</v>
      </c>
    </row>
    <row r="628" spans="1:12" x14ac:dyDescent="0.25">
      <c r="A628" s="3">
        <v>45705.828460648147</v>
      </c>
      <c r="B628" t="s">
        <v>80</v>
      </c>
      <c r="C628" s="3">
        <v>45705.830636574072</v>
      </c>
      <c r="D628" t="s">
        <v>48</v>
      </c>
      <c r="E628" s="4">
        <v>0.58899999999999997</v>
      </c>
      <c r="F628" s="4">
        <v>55393.186000000002</v>
      </c>
      <c r="G628" s="4">
        <v>55393.775000000001</v>
      </c>
      <c r="H628" s="5">
        <f>0 / 86400</f>
        <v>0</v>
      </c>
      <c r="I628" t="s">
        <v>129</v>
      </c>
      <c r="J628" t="s">
        <v>45</v>
      </c>
      <c r="K628" s="5">
        <f>188 / 86400</f>
        <v>2.1759259259259258E-3</v>
      </c>
      <c r="L628" s="5">
        <f>179 / 86400</f>
        <v>2.0717592592592593E-3</v>
      </c>
    </row>
    <row r="629" spans="1:12" x14ac:dyDescent="0.25">
      <c r="A629" s="3">
        <v>45705.832708333328</v>
      </c>
      <c r="B629" t="s">
        <v>48</v>
      </c>
      <c r="C629" s="3">
        <v>45705.834247685183</v>
      </c>
      <c r="D629" t="s">
        <v>48</v>
      </c>
      <c r="E629" s="4">
        <v>3.5999999999999997E-2</v>
      </c>
      <c r="F629" s="4">
        <v>55393.775000000001</v>
      </c>
      <c r="G629" s="4">
        <v>55393.811000000002</v>
      </c>
      <c r="H629" s="5">
        <f>99 / 86400</f>
        <v>1.1458333333333333E-3</v>
      </c>
      <c r="I629" t="s">
        <v>142</v>
      </c>
      <c r="J629" t="s">
        <v>144</v>
      </c>
      <c r="K629" s="5">
        <f>133 / 86400</f>
        <v>1.5393518518518519E-3</v>
      </c>
      <c r="L629" s="5">
        <f>67 / 86400</f>
        <v>7.7546296296296293E-4</v>
      </c>
    </row>
    <row r="630" spans="1:12" x14ac:dyDescent="0.25">
      <c r="A630" s="3">
        <v>45705.835023148145</v>
      </c>
      <c r="B630" t="s">
        <v>48</v>
      </c>
      <c r="C630" s="3">
        <v>45705.836782407408</v>
      </c>
      <c r="D630" t="s">
        <v>115</v>
      </c>
      <c r="E630" s="4">
        <v>0.19600000000000001</v>
      </c>
      <c r="F630" s="4">
        <v>55393.811000000002</v>
      </c>
      <c r="G630" s="4">
        <v>55394.006999999998</v>
      </c>
      <c r="H630" s="5">
        <f>60 / 86400</f>
        <v>6.9444444444444447E-4</v>
      </c>
      <c r="I630" t="s">
        <v>30</v>
      </c>
      <c r="J630" t="s">
        <v>142</v>
      </c>
      <c r="K630" s="5">
        <f>152 / 86400</f>
        <v>1.7592592592592592E-3</v>
      </c>
      <c r="L630" s="5">
        <f>898 / 86400</f>
        <v>1.0393518518518519E-2</v>
      </c>
    </row>
    <row r="631" spans="1:12" x14ac:dyDescent="0.25">
      <c r="A631" s="3">
        <v>45705.847175925926</v>
      </c>
      <c r="B631" t="s">
        <v>21</v>
      </c>
      <c r="C631" s="3">
        <v>45705.84856481482</v>
      </c>
      <c r="D631" t="s">
        <v>115</v>
      </c>
      <c r="E631" s="4">
        <v>7.9000000000000001E-2</v>
      </c>
      <c r="F631" s="4">
        <v>55394.006999999998</v>
      </c>
      <c r="G631" s="4">
        <v>55394.086000000003</v>
      </c>
      <c r="H631" s="5">
        <f>60 / 86400</f>
        <v>6.9444444444444447E-4</v>
      </c>
      <c r="I631" t="s">
        <v>151</v>
      </c>
      <c r="J631" t="s">
        <v>143</v>
      </c>
      <c r="K631" s="5">
        <f>119 / 86400</f>
        <v>1.3773148148148147E-3</v>
      </c>
      <c r="L631" s="5">
        <f>130 / 86400</f>
        <v>1.5046296296296296E-3</v>
      </c>
    </row>
    <row r="632" spans="1:12" x14ac:dyDescent="0.25">
      <c r="A632" s="3">
        <v>45705.850069444445</v>
      </c>
      <c r="B632" t="s">
        <v>115</v>
      </c>
      <c r="C632" s="3">
        <v>45705.853032407409</v>
      </c>
      <c r="D632" t="s">
        <v>48</v>
      </c>
      <c r="E632" s="4">
        <v>0.34300000000000003</v>
      </c>
      <c r="F632" s="4">
        <v>55394.086000000003</v>
      </c>
      <c r="G632" s="4">
        <v>55394.428999999996</v>
      </c>
      <c r="H632" s="5">
        <f>140 / 86400</f>
        <v>1.6203703703703703E-3</v>
      </c>
      <c r="I632" t="s">
        <v>38</v>
      </c>
      <c r="J632" t="s">
        <v>142</v>
      </c>
      <c r="K632" s="5">
        <f>255 / 86400</f>
        <v>2.9513888888888888E-3</v>
      </c>
      <c r="L632" s="5">
        <f>12697 / 86400</f>
        <v>0.14695601851851853</v>
      </c>
    </row>
    <row r="633" spans="1:12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 spans="1:12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 spans="1:12" s="10" customFormat="1" ht="20.100000000000001" customHeight="1" x14ac:dyDescent="0.35">
      <c r="A635" s="12" t="s">
        <v>454</v>
      </c>
      <c r="B635" s="12"/>
      <c r="C635" s="12"/>
      <c r="D635" s="12"/>
      <c r="E635" s="12"/>
      <c r="F635" s="12"/>
      <c r="G635" s="12"/>
      <c r="H635" s="12"/>
      <c r="I635" s="12"/>
      <c r="J635" s="12"/>
    </row>
    <row r="636" spans="1:12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 spans="1:12" ht="30" x14ac:dyDescent="0.25">
      <c r="A637" s="2" t="s">
        <v>6</v>
      </c>
      <c r="B637" s="2" t="s">
        <v>7</v>
      </c>
      <c r="C637" s="2" t="s">
        <v>8</v>
      </c>
      <c r="D637" s="2" t="s">
        <v>9</v>
      </c>
      <c r="E637" s="2" t="s">
        <v>10</v>
      </c>
      <c r="F637" s="2" t="s">
        <v>11</v>
      </c>
      <c r="G637" s="2" t="s">
        <v>12</v>
      </c>
      <c r="H637" s="2" t="s">
        <v>13</v>
      </c>
      <c r="I637" s="2" t="s">
        <v>14</v>
      </c>
      <c r="J637" s="2" t="s">
        <v>15</v>
      </c>
      <c r="K637" s="2" t="s">
        <v>16</v>
      </c>
      <c r="L637" s="2" t="s">
        <v>17</v>
      </c>
    </row>
    <row r="638" spans="1:12" x14ac:dyDescent="0.25">
      <c r="A638" s="3">
        <v>45705.211979166663</v>
      </c>
      <c r="B638" t="s">
        <v>50</v>
      </c>
      <c r="C638" s="3">
        <v>45705.294189814813</v>
      </c>
      <c r="D638" t="s">
        <v>186</v>
      </c>
      <c r="E638" s="4">
        <v>44.218000000000004</v>
      </c>
      <c r="F638" s="4">
        <v>216984.06400000001</v>
      </c>
      <c r="G638" s="4">
        <v>217028.28200000001</v>
      </c>
      <c r="H638" s="5">
        <f>1999 / 86400</f>
        <v>2.3136574074074073E-2</v>
      </c>
      <c r="I638" t="s">
        <v>65</v>
      </c>
      <c r="J638" t="s">
        <v>135</v>
      </c>
      <c r="K638" s="5">
        <f>7103 / 86400</f>
        <v>8.2210648148148144E-2</v>
      </c>
      <c r="L638" s="5">
        <f>18538 / 86400</f>
        <v>0.21456018518518519</v>
      </c>
    </row>
    <row r="639" spans="1:12" x14ac:dyDescent="0.25">
      <c r="A639" s="3">
        <v>45705.296770833331</v>
      </c>
      <c r="B639" t="s">
        <v>186</v>
      </c>
      <c r="C639" s="3">
        <v>45705.309062500004</v>
      </c>
      <c r="D639" t="s">
        <v>377</v>
      </c>
      <c r="E639" s="4">
        <v>6.15</v>
      </c>
      <c r="F639" s="4">
        <v>217028.28200000001</v>
      </c>
      <c r="G639" s="4">
        <v>217034.432</v>
      </c>
      <c r="H639" s="5">
        <f>239 / 86400</f>
        <v>2.7662037037037039E-3</v>
      </c>
      <c r="I639" t="s">
        <v>218</v>
      </c>
      <c r="J639" t="s">
        <v>38</v>
      </c>
      <c r="K639" s="5">
        <f>1061 / 86400</f>
        <v>1.2280092592592592E-2</v>
      </c>
      <c r="L639" s="5">
        <f>5011 / 86400</f>
        <v>5.7997685185185187E-2</v>
      </c>
    </row>
    <row r="640" spans="1:12" x14ac:dyDescent="0.25">
      <c r="A640" s="3">
        <v>45705.367060185185</v>
      </c>
      <c r="B640" t="s">
        <v>377</v>
      </c>
      <c r="C640" s="3">
        <v>45705.370752314819</v>
      </c>
      <c r="D640" t="s">
        <v>128</v>
      </c>
      <c r="E640" s="4">
        <v>0.754</v>
      </c>
      <c r="F640" s="4">
        <v>217034.432</v>
      </c>
      <c r="G640" s="4">
        <v>217035.18599999999</v>
      </c>
      <c r="H640" s="5">
        <f>80 / 86400</f>
        <v>9.2592592592592596E-4</v>
      </c>
      <c r="I640" t="s">
        <v>117</v>
      </c>
      <c r="J640" t="s">
        <v>133</v>
      </c>
      <c r="K640" s="5">
        <f>318 / 86400</f>
        <v>3.6805555555555554E-3</v>
      </c>
      <c r="L640" s="5">
        <f>556 / 86400</f>
        <v>6.4351851851851853E-3</v>
      </c>
    </row>
    <row r="641" spans="1:12" x14ac:dyDescent="0.25">
      <c r="A641" s="3">
        <v>45705.377187499995</v>
      </c>
      <c r="B641" t="s">
        <v>128</v>
      </c>
      <c r="C641" s="3">
        <v>45705.50644675926</v>
      </c>
      <c r="D641" t="s">
        <v>378</v>
      </c>
      <c r="E641" s="4">
        <v>50.866999999999997</v>
      </c>
      <c r="F641" s="4">
        <v>217035.18599999999</v>
      </c>
      <c r="G641" s="4">
        <v>217086.05300000001</v>
      </c>
      <c r="H641" s="5">
        <f>4221 / 86400</f>
        <v>4.8854166666666664E-2</v>
      </c>
      <c r="I641" t="s">
        <v>119</v>
      </c>
      <c r="J641" t="s">
        <v>62</v>
      </c>
      <c r="K641" s="5">
        <f>11168 / 86400</f>
        <v>0.12925925925925927</v>
      </c>
      <c r="L641" s="5">
        <f>936 / 86400</f>
        <v>1.0833333333333334E-2</v>
      </c>
    </row>
    <row r="642" spans="1:12" x14ac:dyDescent="0.25">
      <c r="A642" s="3">
        <v>45705.517280092594</v>
      </c>
      <c r="B642" t="s">
        <v>378</v>
      </c>
      <c r="C642" s="3">
        <v>45705.647060185191</v>
      </c>
      <c r="D642" t="s">
        <v>93</v>
      </c>
      <c r="E642" s="4">
        <v>50.301000000000002</v>
      </c>
      <c r="F642" s="4">
        <v>217086.05300000001</v>
      </c>
      <c r="G642" s="4">
        <v>217136.35399999999</v>
      </c>
      <c r="H642" s="5">
        <f>3680 / 86400</f>
        <v>4.2592592592592592E-2</v>
      </c>
      <c r="I642" t="s">
        <v>65</v>
      </c>
      <c r="J642" t="s">
        <v>62</v>
      </c>
      <c r="K642" s="5">
        <f>11213 / 86400</f>
        <v>0.1297800925925926</v>
      </c>
      <c r="L642" s="5">
        <f>13 / 86400</f>
        <v>1.5046296296296297E-4</v>
      </c>
    </row>
    <row r="643" spans="1:12" x14ac:dyDescent="0.25">
      <c r="A643" s="3">
        <v>45705.647210648152</v>
      </c>
      <c r="B643" t="s">
        <v>93</v>
      </c>
      <c r="C643" s="3">
        <v>45705.647719907407</v>
      </c>
      <c r="D643" t="s">
        <v>93</v>
      </c>
      <c r="E643" s="4">
        <v>0</v>
      </c>
      <c r="F643" s="4">
        <v>217136.35399999999</v>
      </c>
      <c r="G643" s="4">
        <v>217136.35399999999</v>
      </c>
      <c r="H643" s="5">
        <f>39 / 86400</f>
        <v>4.5138888888888887E-4</v>
      </c>
      <c r="I643" t="s">
        <v>144</v>
      </c>
      <c r="J643" t="s">
        <v>73</v>
      </c>
      <c r="K643" s="5">
        <f>43 / 86400</f>
        <v>4.9768518518518521E-4</v>
      </c>
      <c r="L643" s="5">
        <f>20 / 86400</f>
        <v>2.3148148148148149E-4</v>
      </c>
    </row>
    <row r="644" spans="1:12" x14ac:dyDescent="0.25">
      <c r="A644" s="3">
        <v>45705.647951388892</v>
      </c>
      <c r="B644" t="s">
        <v>93</v>
      </c>
      <c r="C644" s="3">
        <v>45705.648055555561</v>
      </c>
      <c r="D644" t="s">
        <v>93</v>
      </c>
      <c r="E644" s="4">
        <v>2E-3</v>
      </c>
      <c r="F644" s="4">
        <v>217136.35399999999</v>
      </c>
      <c r="G644" s="4">
        <v>217136.356</v>
      </c>
      <c r="H644" s="5">
        <f>0 / 86400</f>
        <v>0</v>
      </c>
      <c r="I644" t="s">
        <v>73</v>
      </c>
      <c r="J644" t="s">
        <v>144</v>
      </c>
      <c r="K644" s="5">
        <f>9 / 86400</f>
        <v>1.0416666666666667E-4</v>
      </c>
      <c r="L644" s="5">
        <f>3297 / 86400</f>
        <v>3.815972222222222E-2</v>
      </c>
    </row>
    <row r="645" spans="1:12" x14ac:dyDescent="0.25">
      <c r="A645" s="3">
        <v>45705.686215277776</v>
      </c>
      <c r="B645" t="s">
        <v>93</v>
      </c>
      <c r="C645" s="3">
        <v>45705.689953703702</v>
      </c>
      <c r="D645" t="s">
        <v>377</v>
      </c>
      <c r="E645" s="4">
        <v>0.501</v>
      </c>
      <c r="F645" s="4">
        <v>217136.356</v>
      </c>
      <c r="G645" s="4">
        <v>217136.85699999999</v>
      </c>
      <c r="H645" s="5">
        <f>179 / 86400</f>
        <v>2.0717592592592593E-3</v>
      </c>
      <c r="I645" t="s">
        <v>232</v>
      </c>
      <c r="J645" t="s">
        <v>153</v>
      </c>
      <c r="K645" s="5">
        <f>323 / 86400</f>
        <v>3.7384259259259259E-3</v>
      </c>
      <c r="L645" s="5">
        <f>1654 / 86400</f>
        <v>1.9143518518518518E-2</v>
      </c>
    </row>
    <row r="646" spans="1:12" x14ac:dyDescent="0.25">
      <c r="A646" s="3">
        <v>45705.709097222221</v>
      </c>
      <c r="B646" t="s">
        <v>377</v>
      </c>
      <c r="C646" s="3">
        <v>45705.864641203705</v>
      </c>
      <c r="D646" t="s">
        <v>80</v>
      </c>
      <c r="E646" s="4">
        <v>71.620999999999995</v>
      </c>
      <c r="F646" s="4">
        <v>217136.85699999999</v>
      </c>
      <c r="G646" s="4">
        <v>217208.478</v>
      </c>
      <c r="H646" s="5">
        <f>3760 / 86400</f>
        <v>4.3518518518518519E-2</v>
      </c>
      <c r="I646" t="s">
        <v>52</v>
      </c>
      <c r="J646" t="s">
        <v>27</v>
      </c>
      <c r="K646" s="5">
        <f>13438 / 86400</f>
        <v>0.1555324074074074</v>
      </c>
      <c r="L646" s="5">
        <f>852 / 86400</f>
        <v>9.8611111111111104E-3</v>
      </c>
    </row>
    <row r="647" spans="1:12" x14ac:dyDescent="0.25">
      <c r="A647" s="3">
        <v>45705.874502314815</v>
      </c>
      <c r="B647" t="s">
        <v>80</v>
      </c>
      <c r="C647" s="3">
        <v>45705.874872685185</v>
      </c>
      <c r="D647" t="s">
        <v>80</v>
      </c>
      <c r="E647" s="4">
        <v>5.0000000000000001E-3</v>
      </c>
      <c r="F647" s="4">
        <v>217208.478</v>
      </c>
      <c r="G647" s="4">
        <v>217208.48300000001</v>
      </c>
      <c r="H647" s="5">
        <f>0 / 86400</f>
        <v>0</v>
      </c>
      <c r="I647" t="s">
        <v>144</v>
      </c>
      <c r="J647" t="s">
        <v>144</v>
      </c>
      <c r="K647" s="5">
        <f>31 / 86400</f>
        <v>3.5879629629629629E-4</v>
      </c>
      <c r="L647" s="5">
        <f>149 / 86400</f>
        <v>1.724537037037037E-3</v>
      </c>
    </row>
    <row r="648" spans="1:12" x14ac:dyDescent="0.25">
      <c r="A648" s="3">
        <v>45705.876597222217</v>
      </c>
      <c r="B648" t="s">
        <v>80</v>
      </c>
      <c r="C648" s="3">
        <v>45705.879884259259</v>
      </c>
      <c r="D648" t="s">
        <v>51</v>
      </c>
      <c r="E648" s="4">
        <v>0.88400000000000001</v>
      </c>
      <c r="F648" s="4">
        <v>217208.48300000001</v>
      </c>
      <c r="G648" s="4">
        <v>217209.367</v>
      </c>
      <c r="H648" s="5">
        <f>20 / 86400</f>
        <v>2.3148148148148149E-4</v>
      </c>
      <c r="I648" t="s">
        <v>163</v>
      </c>
      <c r="J648" t="s">
        <v>45</v>
      </c>
      <c r="K648" s="5">
        <f>284 / 86400</f>
        <v>3.2870370370370371E-3</v>
      </c>
      <c r="L648" s="5">
        <f>297 / 86400</f>
        <v>3.4375E-3</v>
      </c>
    </row>
    <row r="649" spans="1:12" x14ac:dyDescent="0.25">
      <c r="A649" s="3">
        <v>45705.883321759262</v>
      </c>
      <c r="B649" t="s">
        <v>51</v>
      </c>
      <c r="C649" s="3">
        <v>45705.884594907402</v>
      </c>
      <c r="D649" t="s">
        <v>51</v>
      </c>
      <c r="E649" s="4">
        <v>2.5999999999999999E-2</v>
      </c>
      <c r="F649" s="4">
        <v>217209.367</v>
      </c>
      <c r="G649" s="4">
        <v>217209.39300000001</v>
      </c>
      <c r="H649" s="5">
        <f>59 / 86400</f>
        <v>6.8287037037037036E-4</v>
      </c>
      <c r="I649" t="s">
        <v>143</v>
      </c>
      <c r="J649" t="s">
        <v>144</v>
      </c>
      <c r="K649" s="5">
        <f>110 / 86400</f>
        <v>1.2731481481481483E-3</v>
      </c>
      <c r="L649" s="5">
        <f>1614 / 86400</f>
        <v>1.8680555555555554E-2</v>
      </c>
    </row>
    <row r="650" spans="1:12" x14ac:dyDescent="0.25">
      <c r="A650" s="3">
        <v>45705.903275462959</v>
      </c>
      <c r="B650" t="s">
        <v>51</v>
      </c>
      <c r="C650" s="3">
        <v>45705.903368055559</v>
      </c>
      <c r="D650" t="s">
        <v>51</v>
      </c>
      <c r="E650" s="4">
        <v>0</v>
      </c>
      <c r="F650" s="4">
        <v>217209.39300000001</v>
      </c>
      <c r="G650" s="4">
        <v>217209.39300000001</v>
      </c>
      <c r="H650" s="5">
        <f>0 / 86400</f>
        <v>0</v>
      </c>
      <c r="I650" t="s">
        <v>73</v>
      </c>
      <c r="J650" t="s">
        <v>73</v>
      </c>
      <c r="K650" s="5">
        <f>8 / 86400</f>
        <v>9.2592592592592588E-5</v>
      </c>
      <c r="L650" s="5">
        <f>8348 / 86400</f>
        <v>9.662037037037037E-2</v>
      </c>
    </row>
    <row r="651" spans="1:12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2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 spans="1:12" s="10" customFormat="1" ht="20.100000000000001" customHeight="1" x14ac:dyDescent="0.35">
      <c r="A653" s="12" t="s">
        <v>455</v>
      </c>
      <c r="B653" s="12"/>
      <c r="C653" s="12"/>
      <c r="D653" s="12"/>
      <c r="E653" s="12"/>
      <c r="F653" s="12"/>
      <c r="G653" s="12"/>
      <c r="H653" s="12"/>
      <c r="I653" s="12"/>
      <c r="J653" s="12"/>
    </row>
    <row r="654" spans="1:12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 spans="1:12" ht="30" x14ac:dyDescent="0.25">
      <c r="A655" s="2" t="s">
        <v>6</v>
      </c>
      <c r="B655" s="2" t="s">
        <v>7</v>
      </c>
      <c r="C655" s="2" t="s">
        <v>8</v>
      </c>
      <c r="D655" s="2" t="s">
        <v>9</v>
      </c>
      <c r="E655" s="2" t="s">
        <v>10</v>
      </c>
      <c r="F655" s="2" t="s">
        <v>11</v>
      </c>
      <c r="G655" s="2" t="s">
        <v>12</v>
      </c>
      <c r="H655" s="2" t="s">
        <v>13</v>
      </c>
      <c r="I655" s="2" t="s">
        <v>14</v>
      </c>
      <c r="J655" s="2" t="s">
        <v>15</v>
      </c>
      <c r="K655" s="2" t="s">
        <v>16</v>
      </c>
      <c r="L655" s="2" t="s">
        <v>17</v>
      </c>
    </row>
    <row r="656" spans="1:12" x14ac:dyDescent="0.25">
      <c r="A656" s="3">
        <v>45705.252615740741</v>
      </c>
      <c r="B656" t="s">
        <v>53</v>
      </c>
      <c r="C656" s="3">
        <v>45705.26090277778</v>
      </c>
      <c r="D656" t="s">
        <v>195</v>
      </c>
      <c r="E656" s="4">
        <v>1.5289999999403954</v>
      </c>
      <c r="F656" s="4">
        <v>525887.57799999998</v>
      </c>
      <c r="G656" s="4">
        <v>525889.10699999996</v>
      </c>
      <c r="H656" s="5">
        <f>299 / 86400</f>
        <v>3.460648148148148E-3</v>
      </c>
      <c r="I656" t="s">
        <v>216</v>
      </c>
      <c r="J656" t="s">
        <v>107</v>
      </c>
      <c r="K656" s="5">
        <f>715 / 86400</f>
        <v>8.2754629629629636E-3</v>
      </c>
      <c r="L656" s="5">
        <f>22919 / 86400</f>
        <v>0.26526620370370368</v>
      </c>
    </row>
    <row r="657" spans="1:12" x14ac:dyDescent="0.25">
      <c r="A657" s="3">
        <v>45705.273553240739</v>
      </c>
      <c r="B657" t="s">
        <v>195</v>
      </c>
      <c r="C657" s="3">
        <v>45705.480092592596</v>
      </c>
      <c r="D657" t="s">
        <v>51</v>
      </c>
      <c r="E657" s="4">
        <v>84.068000000119213</v>
      </c>
      <c r="F657" s="4">
        <v>525889.10699999996</v>
      </c>
      <c r="G657" s="4">
        <v>525973.17500000005</v>
      </c>
      <c r="H657" s="5">
        <f>5612 / 86400</f>
        <v>6.4953703703703708E-2</v>
      </c>
      <c r="I657" t="s">
        <v>60</v>
      </c>
      <c r="J657" t="s">
        <v>32</v>
      </c>
      <c r="K657" s="5">
        <f>17845 / 86400</f>
        <v>0.20653935185185185</v>
      </c>
      <c r="L657" s="5">
        <f>1443 / 86400</f>
        <v>1.6701388888888891E-2</v>
      </c>
    </row>
    <row r="658" spans="1:12" x14ac:dyDescent="0.25">
      <c r="A658" s="3">
        <v>45705.496793981481</v>
      </c>
      <c r="B658" t="s">
        <v>51</v>
      </c>
      <c r="C658" s="3">
        <v>45705.500162037039</v>
      </c>
      <c r="D658" t="s">
        <v>80</v>
      </c>
      <c r="E658" s="4">
        <v>0.9519999999403953</v>
      </c>
      <c r="F658" s="4">
        <v>525973.17500000005</v>
      </c>
      <c r="G658" s="4">
        <v>525974.12699999998</v>
      </c>
      <c r="H658" s="5">
        <f>79 / 86400</f>
        <v>9.1435185185185185E-4</v>
      </c>
      <c r="I658" t="s">
        <v>176</v>
      </c>
      <c r="J658" t="s">
        <v>162</v>
      </c>
      <c r="K658" s="5">
        <f>290 / 86400</f>
        <v>3.3564814814814816E-3</v>
      </c>
      <c r="L658" s="5">
        <f>486 / 86400</f>
        <v>5.6249999999999998E-3</v>
      </c>
    </row>
    <row r="659" spans="1:12" x14ac:dyDescent="0.25">
      <c r="A659" s="3">
        <v>45705.505787037036</v>
      </c>
      <c r="B659" t="s">
        <v>80</v>
      </c>
      <c r="C659" s="3">
        <v>45705.506631944445</v>
      </c>
      <c r="D659" t="s">
        <v>80</v>
      </c>
      <c r="E659" s="4">
        <v>3.1000000059604644E-2</v>
      </c>
      <c r="F659" s="4">
        <v>525974.12699999998</v>
      </c>
      <c r="G659" s="4">
        <v>525974.15800000005</v>
      </c>
      <c r="H659" s="5">
        <f>20 / 86400</f>
        <v>2.3148148148148149E-4</v>
      </c>
      <c r="I659" t="s">
        <v>153</v>
      </c>
      <c r="J659" t="s">
        <v>143</v>
      </c>
      <c r="K659" s="5">
        <f>72 / 86400</f>
        <v>8.3333333333333339E-4</v>
      </c>
      <c r="L659" s="5">
        <f>103 / 86400</f>
        <v>1.1921296296296296E-3</v>
      </c>
    </row>
    <row r="660" spans="1:12" x14ac:dyDescent="0.25">
      <c r="A660" s="3">
        <v>45705.50782407407</v>
      </c>
      <c r="B660" t="s">
        <v>80</v>
      </c>
      <c r="C660" s="3">
        <v>45705.632835648154</v>
      </c>
      <c r="D660" t="s">
        <v>329</v>
      </c>
      <c r="E660" s="4">
        <v>51.007999999880788</v>
      </c>
      <c r="F660" s="4">
        <v>525974.15800000005</v>
      </c>
      <c r="G660" s="4">
        <v>526025.16599999997</v>
      </c>
      <c r="H660" s="5">
        <f>3782 / 86400</f>
        <v>4.3773148148148151E-2</v>
      </c>
      <c r="I660" t="s">
        <v>379</v>
      </c>
      <c r="J660" t="s">
        <v>32</v>
      </c>
      <c r="K660" s="5">
        <f>10801 / 86400</f>
        <v>0.12501157407407407</v>
      </c>
      <c r="L660" s="5">
        <f>435 / 86400</f>
        <v>5.0347222222222225E-3</v>
      </c>
    </row>
    <row r="661" spans="1:12" x14ac:dyDescent="0.25">
      <c r="A661" s="3">
        <v>45705.637870370367</v>
      </c>
      <c r="B661" t="s">
        <v>329</v>
      </c>
      <c r="C661" s="3">
        <v>45705.673356481479</v>
      </c>
      <c r="D661" t="s">
        <v>380</v>
      </c>
      <c r="E661" s="4">
        <v>4.25</v>
      </c>
      <c r="F661" s="4">
        <v>526025.16599999997</v>
      </c>
      <c r="G661" s="4">
        <v>526029.41599999997</v>
      </c>
      <c r="H661" s="5">
        <f>1903 / 86400</f>
        <v>2.2025462962962962E-2</v>
      </c>
      <c r="I661" t="s">
        <v>92</v>
      </c>
      <c r="J661" t="s">
        <v>142</v>
      </c>
      <c r="K661" s="5">
        <f>3066 / 86400</f>
        <v>3.5486111111111114E-2</v>
      </c>
      <c r="L661" s="5">
        <f>127 / 86400</f>
        <v>1.4699074074074074E-3</v>
      </c>
    </row>
    <row r="662" spans="1:12" x14ac:dyDescent="0.25">
      <c r="A662" s="3">
        <v>45705.674826388888</v>
      </c>
      <c r="B662" t="s">
        <v>260</v>
      </c>
      <c r="C662" s="3">
        <v>45705.692025462966</v>
      </c>
      <c r="D662" t="s">
        <v>165</v>
      </c>
      <c r="E662" s="4">
        <v>4.7430000000596042</v>
      </c>
      <c r="F662" s="4">
        <v>526029.41599999997</v>
      </c>
      <c r="G662" s="4">
        <v>526034.15899999999</v>
      </c>
      <c r="H662" s="5">
        <f>420 / 86400</f>
        <v>4.8611111111111112E-3</v>
      </c>
      <c r="I662" t="s">
        <v>221</v>
      </c>
      <c r="J662" t="s">
        <v>45</v>
      </c>
      <c r="K662" s="5">
        <f>1486 / 86400</f>
        <v>1.7199074074074075E-2</v>
      </c>
      <c r="L662" s="5">
        <f>1150 / 86400</f>
        <v>1.3310185185185185E-2</v>
      </c>
    </row>
    <row r="663" spans="1:12" x14ac:dyDescent="0.25">
      <c r="A663" s="3">
        <v>45705.705335648148</v>
      </c>
      <c r="B663" t="s">
        <v>165</v>
      </c>
      <c r="C663" s="3">
        <v>45705.709687499999</v>
      </c>
      <c r="D663" t="s">
        <v>381</v>
      </c>
      <c r="E663" s="4">
        <v>0.32100000000000001</v>
      </c>
      <c r="F663" s="4">
        <v>526034.15899999999</v>
      </c>
      <c r="G663" s="4">
        <v>526034.48</v>
      </c>
      <c r="H663" s="5">
        <f>240 / 86400</f>
        <v>2.7777777777777779E-3</v>
      </c>
      <c r="I663" t="s">
        <v>62</v>
      </c>
      <c r="J663" t="s">
        <v>84</v>
      </c>
      <c r="K663" s="5">
        <f>376 / 86400</f>
        <v>4.3518518518518515E-3</v>
      </c>
      <c r="L663" s="5">
        <f>269 / 86400</f>
        <v>3.1134259259259257E-3</v>
      </c>
    </row>
    <row r="664" spans="1:12" x14ac:dyDescent="0.25">
      <c r="A664" s="3">
        <v>45705.712800925925</v>
      </c>
      <c r="B664" t="s">
        <v>381</v>
      </c>
      <c r="C664" s="3">
        <v>45705.814305555556</v>
      </c>
      <c r="D664" t="s">
        <v>39</v>
      </c>
      <c r="E664" s="4">
        <v>34.062999999940395</v>
      </c>
      <c r="F664" s="4">
        <v>526034.48</v>
      </c>
      <c r="G664" s="4">
        <v>526068.54299999995</v>
      </c>
      <c r="H664" s="5">
        <f>3557 / 86400</f>
        <v>4.116898148148148E-2</v>
      </c>
      <c r="I664" t="s">
        <v>55</v>
      </c>
      <c r="J664" t="s">
        <v>75</v>
      </c>
      <c r="K664" s="5">
        <f>8769 / 86400</f>
        <v>0.10149305555555556</v>
      </c>
      <c r="L664" s="5">
        <f>903 / 86400</f>
        <v>1.0451388888888889E-2</v>
      </c>
    </row>
    <row r="665" spans="1:12" x14ac:dyDescent="0.25">
      <c r="A665" s="3">
        <v>45705.824756944443</v>
      </c>
      <c r="B665" t="s">
        <v>39</v>
      </c>
      <c r="C665" s="3">
        <v>45705.825208333335</v>
      </c>
      <c r="D665" t="s">
        <v>382</v>
      </c>
      <c r="E665" s="4">
        <v>0.02</v>
      </c>
      <c r="F665" s="4">
        <v>526068.54299999995</v>
      </c>
      <c r="G665" s="4">
        <v>526068.56299999997</v>
      </c>
      <c r="H665" s="5">
        <f>0 / 86400</f>
        <v>0</v>
      </c>
      <c r="I665" t="s">
        <v>143</v>
      </c>
      <c r="J665" t="s">
        <v>143</v>
      </c>
      <c r="K665" s="5">
        <f>38 / 86400</f>
        <v>4.3981481481481481E-4</v>
      </c>
      <c r="L665" s="5">
        <f>809 / 86400</f>
        <v>9.3634259259259261E-3</v>
      </c>
    </row>
    <row r="666" spans="1:12" x14ac:dyDescent="0.25">
      <c r="A666" s="3">
        <v>45705.83457175926</v>
      </c>
      <c r="B666" t="s">
        <v>382</v>
      </c>
      <c r="C666" s="3">
        <v>45705.834803240738</v>
      </c>
      <c r="D666" t="s">
        <v>382</v>
      </c>
      <c r="E666" s="4">
        <v>0</v>
      </c>
      <c r="F666" s="4">
        <v>526068.56299999997</v>
      </c>
      <c r="G666" s="4">
        <v>526068.56299999997</v>
      </c>
      <c r="H666" s="5">
        <f>0 / 86400</f>
        <v>0</v>
      </c>
      <c r="I666" t="s">
        <v>73</v>
      </c>
      <c r="J666" t="s">
        <v>73</v>
      </c>
      <c r="K666" s="5">
        <f>19 / 86400</f>
        <v>2.199074074074074E-4</v>
      </c>
      <c r="L666" s="5">
        <f>282 / 86400</f>
        <v>3.2638888888888891E-3</v>
      </c>
    </row>
    <row r="667" spans="1:12" x14ac:dyDescent="0.25">
      <c r="A667" s="3">
        <v>45705.838067129633</v>
      </c>
      <c r="B667" t="s">
        <v>382</v>
      </c>
      <c r="C667" s="3">
        <v>45705.843356481477</v>
      </c>
      <c r="D667" t="s">
        <v>383</v>
      </c>
      <c r="E667" s="4">
        <v>1.127</v>
      </c>
      <c r="F667" s="4">
        <v>526068.56299999997</v>
      </c>
      <c r="G667" s="4">
        <v>526069.68999999994</v>
      </c>
      <c r="H667" s="5">
        <f>199 / 86400</f>
        <v>2.3032407407407407E-3</v>
      </c>
      <c r="I667" t="s">
        <v>157</v>
      </c>
      <c r="J667" t="s">
        <v>133</v>
      </c>
      <c r="K667" s="5">
        <f>457 / 86400</f>
        <v>5.2893518518518515E-3</v>
      </c>
      <c r="L667" s="5">
        <f>115 / 86400</f>
        <v>1.3310185185185185E-3</v>
      </c>
    </row>
    <row r="668" spans="1:12" x14ac:dyDescent="0.25">
      <c r="A668" s="3">
        <v>45705.844687500001</v>
      </c>
      <c r="B668" t="s">
        <v>383</v>
      </c>
      <c r="C668" s="3">
        <v>45705.84884259259</v>
      </c>
      <c r="D668" t="s">
        <v>54</v>
      </c>
      <c r="E668" s="4">
        <v>0.92200000000000004</v>
      </c>
      <c r="F668" s="4">
        <v>526069.68999999994</v>
      </c>
      <c r="G668" s="4">
        <v>526070.61199999996</v>
      </c>
      <c r="H668" s="5">
        <f>20 / 86400</f>
        <v>2.3148148148148149E-4</v>
      </c>
      <c r="I668" t="s">
        <v>27</v>
      </c>
      <c r="J668" t="s">
        <v>133</v>
      </c>
      <c r="K668" s="5">
        <f>359 / 86400</f>
        <v>4.1550925925925922E-3</v>
      </c>
      <c r="L668" s="5">
        <f>13059 / 86400</f>
        <v>0.15114583333333334</v>
      </c>
    </row>
    <row r="669" spans="1:12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 spans="1:12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 spans="1:12" s="10" customFormat="1" ht="20.100000000000001" customHeight="1" x14ac:dyDescent="0.35">
      <c r="A671" s="12" t="s">
        <v>456</v>
      </c>
      <c r="B671" s="12"/>
      <c r="C671" s="12"/>
      <c r="D671" s="12"/>
      <c r="E671" s="12"/>
      <c r="F671" s="12"/>
      <c r="G671" s="12"/>
      <c r="H671" s="12"/>
      <c r="I671" s="12"/>
      <c r="J671" s="12"/>
    </row>
    <row r="672" spans="1:12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2" ht="30" x14ac:dyDescent="0.25">
      <c r="A673" s="2" t="s">
        <v>6</v>
      </c>
      <c r="B673" s="2" t="s">
        <v>7</v>
      </c>
      <c r="C673" s="2" t="s">
        <v>8</v>
      </c>
      <c r="D673" s="2" t="s">
        <v>9</v>
      </c>
      <c r="E673" s="2" t="s">
        <v>10</v>
      </c>
      <c r="F673" s="2" t="s">
        <v>11</v>
      </c>
      <c r="G673" s="2" t="s">
        <v>12</v>
      </c>
      <c r="H673" s="2" t="s">
        <v>13</v>
      </c>
      <c r="I673" s="2" t="s">
        <v>14</v>
      </c>
      <c r="J673" s="2" t="s">
        <v>15</v>
      </c>
      <c r="K673" s="2" t="s">
        <v>16</v>
      </c>
      <c r="L673" s="2" t="s">
        <v>17</v>
      </c>
    </row>
    <row r="674" spans="1:12" x14ac:dyDescent="0.25">
      <c r="A674" s="3">
        <v>45705.214282407411</v>
      </c>
      <c r="B674" t="s">
        <v>56</v>
      </c>
      <c r="C674" s="3">
        <v>45705.374293981484</v>
      </c>
      <c r="D674" t="s">
        <v>329</v>
      </c>
      <c r="E674" s="4">
        <v>80.938999999999993</v>
      </c>
      <c r="F674" s="4">
        <v>345328.734</v>
      </c>
      <c r="G674" s="4">
        <v>345409.67300000001</v>
      </c>
      <c r="H674" s="5">
        <f>3757 / 86400</f>
        <v>4.3483796296296298E-2</v>
      </c>
      <c r="I674" t="s">
        <v>58</v>
      </c>
      <c r="J674" t="s">
        <v>38</v>
      </c>
      <c r="K674" s="5">
        <f>13825 / 86400</f>
        <v>0.16001157407407407</v>
      </c>
      <c r="L674" s="5">
        <f>19444 / 86400</f>
        <v>0.2250462962962963</v>
      </c>
    </row>
    <row r="675" spans="1:12" x14ac:dyDescent="0.25">
      <c r="A675" s="3">
        <v>45705.385057870371</v>
      </c>
      <c r="B675" t="s">
        <v>329</v>
      </c>
      <c r="C675" s="3">
        <v>45705.505497685182</v>
      </c>
      <c r="D675" t="s">
        <v>130</v>
      </c>
      <c r="E675" s="4">
        <v>50.801000000000002</v>
      </c>
      <c r="F675" s="4">
        <v>345409.67300000001</v>
      </c>
      <c r="G675" s="4">
        <v>345460.47399999999</v>
      </c>
      <c r="H675" s="5">
        <f>3261 / 86400</f>
        <v>3.7743055555555557E-2</v>
      </c>
      <c r="I675" t="s">
        <v>26</v>
      </c>
      <c r="J675" t="s">
        <v>23</v>
      </c>
      <c r="K675" s="5">
        <f>10405 / 86400</f>
        <v>0.12042824074074074</v>
      </c>
      <c r="L675" s="5">
        <f>2369 / 86400</f>
        <v>2.7418981481481482E-2</v>
      </c>
    </row>
    <row r="676" spans="1:12" x14ac:dyDescent="0.25">
      <c r="A676" s="3">
        <v>45705.532916666663</v>
      </c>
      <c r="B676" t="s">
        <v>130</v>
      </c>
      <c r="C676" s="3">
        <v>45705.533541666664</v>
      </c>
      <c r="D676" t="s">
        <v>128</v>
      </c>
      <c r="E676" s="4">
        <v>5.7000000000000002E-2</v>
      </c>
      <c r="F676" s="4">
        <v>345460.47399999999</v>
      </c>
      <c r="G676" s="4">
        <v>345460.53100000002</v>
      </c>
      <c r="H676" s="5">
        <f>19 / 86400</f>
        <v>2.199074074074074E-4</v>
      </c>
      <c r="I676" t="s">
        <v>133</v>
      </c>
      <c r="J676" t="s">
        <v>148</v>
      </c>
      <c r="K676" s="5">
        <f>54 / 86400</f>
        <v>6.2500000000000001E-4</v>
      </c>
      <c r="L676" s="5">
        <f>265 / 86400</f>
        <v>3.0671296296296297E-3</v>
      </c>
    </row>
    <row r="677" spans="1:12" x14ac:dyDescent="0.25">
      <c r="A677" s="3">
        <v>45705.536608796298</v>
      </c>
      <c r="B677" t="s">
        <v>128</v>
      </c>
      <c r="C677" s="3">
        <v>45705.53833333333</v>
      </c>
      <c r="D677" t="s">
        <v>377</v>
      </c>
      <c r="E677" s="4">
        <v>0.60199999999999998</v>
      </c>
      <c r="F677" s="4">
        <v>345460.53100000002</v>
      </c>
      <c r="G677" s="4">
        <v>345461.13299999997</v>
      </c>
      <c r="H677" s="5">
        <f>20 / 86400</f>
        <v>2.3148148148148149E-4</v>
      </c>
      <c r="I677" t="s">
        <v>129</v>
      </c>
      <c r="J677" t="s">
        <v>30</v>
      </c>
      <c r="K677" s="5">
        <f>149 / 86400</f>
        <v>1.724537037037037E-3</v>
      </c>
      <c r="L677" s="5">
        <f>2528 / 86400</f>
        <v>2.9259259259259259E-2</v>
      </c>
    </row>
    <row r="678" spans="1:12" x14ac:dyDescent="0.25">
      <c r="A678" s="3">
        <v>45705.56759259259</v>
      </c>
      <c r="B678" t="s">
        <v>377</v>
      </c>
      <c r="C678" s="3">
        <v>45705.685740740737</v>
      </c>
      <c r="D678" t="s">
        <v>329</v>
      </c>
      <c r="E678" s="4">
        <v>50.298999999999999</v>
      </c>
      <c r="F678" s="4">
        <v>345461.13299999997</v>
      </c>
      <c r="G678" s="4">
        <v>345511.43199999997</v>
      </c>
      <c r="H678" s="5">
        <f>3218 / 86400</f>
        <v>3.7245370370370373E-2</v>
      </c>
      <c r="I678" t="s">
        <v>92</v>
      </c>
      <c r="J678" t="s">
        <v>23</v>
      </c>
      <c r="K678" s="5">
        <f>10207 / 86400</f>
        <v>0.11813657407407407</v>
      </c>
      <c r="L678" s="5">
        <f>840 / 86400</f>
        <v>9.7222222222222224E-3</v>
      </c>
    </row>
    <row r="679" spans="1:12" x14ac:dyDescent="0.25">
      <c r="A679" s="3">
        <v>45705.695462962962</v>
      </c>
      <c r="B679" t="s">
        <v>329</v>
      </c>
      <c r="C679" s="3">
        <v>45705.836145833338</v>
      </c>
      <c r="D679" t="s">
        <v>80</v>
      </c>
      <c r="E679" s="4">
        <v>50.225000000000001</v>
      </c>
      <c r="F679" s="4">
        <v>345511.43199999997</v>
      </c>
      <c r="G679" s="4">
        <v>345561.65700000001</v>
      </c>
      <c r="H679" s="5">
        <f>4120 / 86400</f>
        <v>4.7685185185185185E-2</v>
      </c>
      <c r="I679" t="s">
        <v>221</v>
      </c>
      <c r="J679" t="s">
        <v>30</v>
      </c>
      <c r="K679" s="5">
        <f>12155 / 86400</f>
        <v>0.14068287037037036</v>
      </c>
      <c r="L679" s="5">
        <f>413 / 86400</f>
        <v>4.7800925925925927E-3</v>
      </c>
    </row>
    <row r="680" spans="1:12" x14ac:dyDescent="0.25">
      <c r="A680" s="3">
        <v>45705.840925925921</v>
      </c>
      <c r="B680" t="s">
        <v>80</v>
      </c>
      <c r="C680" s="3">
        <v>45705.841736111106</v>
      </c>
      <c r="D680" t="s">
        <v>80</v>
      </c>
      <c r="E680" s="4">
        <v>0.20399999999999999</v>
      </c>
      <c r="F680" s="4">
        <v>345561.65700000001</v>
      </c>
      <c r="G680" s="4">
        <v>345561.86099999998</v>
      </c>
      <c r="H680" s="5">
        <f>0 / 86400</f>
        <v>0</v>
      </c>
      <c r="I680" t="s">
        <v>163</v>
      </c>
      <c r="J680" t="s">
        <v>118</v>
      </c>
      <c r="K680" s="5">
        <f>70 / 86400</f>
        <v>8.1018518518518516E-4</v>
      </c>
      <c r="L680" s="5">
        <f>746 / 86400</f>
        <v>8.6342592592592599E-3</v>
      </c>
    </row>
    <row r="681" spans="1:12" x14ac:dyDescent="0.25">
      <c r="A681" s="3">
        <v>45705.850370370375</v>
      </c>
      <c r="B681" t="s">
        <v>137</v>
      </c>
      <c r="C681" s="3">
        <v>45705.855092592596</v>
      </c>
      <c r="D681" t="s">
        <v>57</v>
      </c>
      <c r="E681" s="4">
        <v>0.86299999999999999</v>
      </c>
      <c r="F681" s="4">
        <v>345561.86099999998</v>
      </c>
      <c r="G681" s="4">
        <v>345562.72399999999</v>
      </c>
      <c r="H681" s="5">
        <f>160 / 86400</f>
        <v>1.8518518518518519E-3</v>
      </c>
      <c r="I681" t="s">
        <v>129</v>
      </c>
      <c r="J681" t="s">
        <v>107</v>
      </c>
      <c r="K681" s="5">
        <f>408 / 86400</f>
        <v>4.7222222222222223E-3</v>
      </c>
      <c r="L681" s="5">
        <f>12519 / 86400</f>
        <v>0.14489583333333333</v>
      </c>
    </row>
    <row r="682" spans="1:12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 spans="1:12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 spans="1:12" s="10" customFormat="1" ht="20.100000000000001" customHeight="1" x14ac:dyDescent="0.35">
      <c r="A684" s="12" t="s">
        <v>457</v>
      </c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2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 spans="1:12" ht="30" x14ac:dyDescent="0.25">
      <c r="A686" s="2" t="s">
        <v>6</v>
      </c>
      <c r="B686" s="2" t="s">
        <v>7</v>
      </c>
      <c r="C686" s="2" t="s">
        <v>8</v>
      </c>
      <c r="D686" s="2" t="s">
        <v>9</v>
      </c>
      <c r="E686" s="2" t="s">
        <v>10</v>
      </c>
      <c r="F686" s="2" t="s">
        <v>11</v>
      </c>
      <c r="G686" s="2" t="s">
        <v>12</v>
      </c>
      <c r="H686" s="2" t="s">
        <v>13</v>
      </c>
      <c r="I686" s="2" t="s">
        <v>14</v>
      </c>
      <c r="J686" s="2" t="s">
        <v>15</v>
      </c>
      <c r="K686" s="2" t="s">
        <v>16</v>
      </c>
      <c r="L686" s="2" t="s">
        <v>17</v>
      </c>
    </row>
    <row r="687" spans="1:12" x14ac:dyDescent="0.25">
      <c r="A687" s="3">
        <v>45705.253275462965</v>
      </c>
      <c r="B687" t="s">
        <v>59</v>
      </c>
      <c r="C687" s="3">
        <v>45705.257314814815</v>
      </c>
      <c r="D687" t="s">
        <v>134</v>
      </c>
      <c r="E687" s="4">
        <v>0.34399999999999997</v>
      </c>
      <c r="F687" s="4">
        <v>426505.25699999998</v>
      </c>
      <c r="G687" s="4">
        <v>426505.60100000002</v>
      </c>
      <c r="H687" s="5">
        <f>280 / 86400</f>
        <v>3.2407407407407406E-3</v>
      </c>
      <c r="I687" t="s">
        <v>62</v>
      </c>
      <c r="J687" t="s">
        <v>148</v>
      </c>
      <c r="K687" s="5">
        <f>349 / 86400</f>
        <v>4.0393518518518521E-3</v>
      </c>
      <c r="L687" s="5">
        <f>22193 / 86400</f>
        <v>0.25686342592592593</v>
      </c>
    </row>
    <row r="688" spans="1:12" x14ac:dyDescent="0.25">
      <c r="A688" s="3">
        <v>45705.26090277778</v>
      </c>
      <c r="B688" t="s">
        <v>134</v>
      </c>
      <c r="C688" s="3">
        <v>45705.274918981479</v>
      </c>
      <c r="D688" t="s">
        <v>305</v>
      </c>
      <c r="E688" s="4">
        <v>6.8689999999999998</v>
      </c>
      <c r="F688" s="4">
        <v>426505.60100000002</v>
      </c>
      <c r="G688" s="4">
        <v>426512.47</v>
      </c>
      <c r="H688" s="5">
        <f>320 / 86400</f>
        <v>3.7037037037037038E-3</v>
      </c>
      <c r="I688" t="s">
        <v>251</v>
      </c>
      <c r="J688" t="s">
        <v>20</v>
      </c>
      <c r="K688" s="5">
        <f>1210 / 86400</f>
        <v>1.4004629629629629E-2</v>
      </c>
      <c r="L688" s="5">
        <f>68 / 86400</f>
        <v>7.8703703703703705E-4</v>
      </c>
    </row>
    <row r="689" spans="1:12" x14ac:dyDescent="0.25">
      <c r="A689" s="3">
        <v>45705.275706018518</v>
      </c>
      <c r="B689" t="s">
        <v>305</v>
      </c>
      <c r="C689" s="3">
        <v>45705.350451388891</v>
      </c>
      <c r="D689" t="s">
        <v>161</v>
      </c>
      <c r="E689" s="4">
        <v>38.840000000000003</v>
      </c>
      <c r="F689" s="4">
        <v>426512.47</v>
      </c>
      <c r="G689" s="4">
        <v>426551.31</v>
      </c>
      <c r="H689" s="5">
        <f>1619 / 86400</f>
        <v>1.8738425925925926E-2</v>
      </c>
      <c r="I689" t="s">
        <v>180</v>
      </c>
      <c r="J689" t="s">
        <v>135</v>
      </c>
      <c r="K689" s="5">
        <f>6457 / 86400</f>
        <v>7.4733796296296298E-2</v>
      </c>
      <c r="L689" s="5">
        <f>1900 / 86400</f>
        <v>2.1990740740740741E-2</v>
      </c>
    </row>
    <row r="690" spans="1:12" x14ac:dyDescent="0.25">
      <c r="A690" s="3">
        <v>45705.372442129628</v>
      </c>
      <c r="B690" t="s">
        <v>80</v>
      </c>
      <c r="C690" s="3">
        <v>45705.372881944444</v>
      </c>
      <c r="D690" t="s">
        <v>80</v>
      </c>
      <c r="E690" s="4">
        <v>0.04</v>
      </c>
      <c r="F690" s="4">
        <v>426551.31</v>
      </c>
      <c r="G690" s="4">
        <v>426551.35</v>
      </c>
      <c r="H690" s="5">
        <f>0 / 86400</f>
        <v>0</v>
      </c>
      <c r="I690" t="s">
        <v>133</v>
      </c>
      <c r="J690" t="s">
        <v>148</v>
      </c>
      <c r="K690" s="5">
        <f>38 / 86400</f>
        <v>4.3981481481481481E-4</v>
      </c>
      <c r="L690" s="5">
        <f>252 / 86400</f>
        <v>2.9166666666666668E-3</v>
      </c>
    </row>
    <row r="691" spans="1:12" x14ac:dyDescent="0.25">
      <c r="A691" s="3">
        <v>45705.375798611116</v>
      </c>
      <c r="B691" t="s">
        <v>80</v>
      </c>
      <c r="C691" s="3">
        <v>45705.379375000004</v>
      </c>
      <c r="D691" t="s">
        <v>128</v>
      </c>
      <c r="E691" s="4">
        <v>1.3109999999999999</v>
      </c>
      <c r="F691" s="4">
        <v>426551.35</v>
      </c>
      <c r="G691" s="4">
        <v>426552.66100000002</v>
      </c>
      <c r="H691" s="5">
        <f>39 / 86400</f>
        <v>4.5138888888888887E-4</v>
      </c>
      <c r="I691" t="s">
        <v>117</v>
      </c>
      <c r="J691" t="s">
        <v>30</v>
      </c>
      <c r="K691" s="5">
        <f>309 / 86400</f>
        <v>3.5763888888888889E-3</v>
      </c>
      <c r="L691" s="5">
        <f>1620 / 86400</f>
        <v>1.8749999999999999E-2</v>
      </c>
    </row>
    <row r="692" spans="1:12" x14ac:dyDescent="0.25">
      <c r="A692" s="3">
        <v>45705.398125</v>
      </c>
      <c r="B692" t="s">
        <v>128</v>
      </c>
      <c r="C692" s="3">
        <v>45705.524409722224</v>
      </c>
      <c r="D692" t="s">
        <v>384</v>
      </c>
      <c r="E692" s="4">
        <v>51.582999999999998</v>
      </c>
      <c r="F692" s="4">
        <v>426552.66100000002</v>
      </c>
      <c r="G692" s="4">
        <v>426604.24400000001</v>
      </c>
      <c r="H692" s="5">
        <f>3080 / 86400</f>
        <v>3.5648148148148151E-2</v>
      </c>
      <c r="I692" t="s">
        <v>222</v>
      </c>
      <c r="J692" t="s">
        <v>32</v>
      </c>
      <c r="K692" s="5">
        <f>10911 / 86400</f>
        <v>0.12628472222222223</v>
      </c>
      <c r="L692" s="5">
        <f>263 / 86400</f>
        <v>3.0439814814814813E-3</v>
      </c>
    </row>
    <row r="693" spans="1:12" x14ac:dyDescent="0.25">
      <c r="A693" s="3">
        <v>45705.527453703704</v>
      </c>
      <c r="B693" t="s">
        <v>384</v>
      </c>
      <c r="C693" s="3">
        <v>45705.542557870373</v>
      </c>
      <c r="D693" t="s">
        <v>385</v>
      </c>
      <c r="E693" s="4">
        <v>2.6459999999999999</v>
      </c>
      <c r="F693" s="4">
        <v>426604.24400000001</v>
      </c>
      <c r="G693" s="4">
        <v>426606.89</v>
      </c>
      <c r="H693" s="5">
        <f>720 / 86400</f>
        <v>8.3333333333333332E-3</v>
      </c>
      <c r="I693" t="s">
        <v>199</v>
      </c>
      <c r="J693" t="s">
        <v>151</v>
      </c>
      <c r="K693" s="5">
        <f>1305 / 86400</f>
        <v>1.5104166666666667E-2</v>
      </c>
      <c r="L693" s="5">
        <f>9 / 86400</f>
        <v>1.0416666666666667E-4</v>
      </c>
    </row>
    <row r="694" spans="1:12" x14ac:dyDescent="0.25">
      <c r="A694" s="3">
        <v>45705.542662037042</v>
      </c>
      <c r="B694" t="s">
        <v>385</v>
      </c>
      <c r="C694" s="3">
        <v>45705.658715277779</v>
      </c>
      <c r="D694" t="s">
        <v>80</v>
      </c>
      <c r="E694" s="4">
        <v>48.23</v>
      </c>
      <c r="F694" s="4">
        <v>426606.89</v>
      </c>
      <c r="G694" s="4">
        <v>426655.12</v>
      </c>
      <c r="H694" s="5">
        <f>3140 / 86400</f>
        <v>3.6342592592592593E-2</v>
      </c>
      <c r="I694" t="s">
        <v>179</v>
      </c>
      <c r="J694" t="s">
        <v>32</v>
      </c>
      <c r="K694" s="5">
        <f>10027 / 86400</f>
        <v>0.11605324074074073</v>
      </c>
      <c r="L694" s="5">
        <f>384 / 86400</f>
        <v>4.4444444444444444E-3</v>
      </c>
    </row>
    <row r="695" spans="1:12" x14ac:dyDescent="0.25">
      <c r="A695" s="3">
        <v>45705.663159722222</v>
      </c>
      <c r="B695" t="s">
        <v>80</v>
      </c>
      <c r="C695" s="3">
        <v>45705.664537037039</v>
      </c>
      <c r="D695" t="s">
        <v>80</v>
      </c>
      <c r="E695" s="4">
        <v>3.5000000000000003E-2</v>
      </c>
      <c r="F695" s="4">
        <v>426655.12</v>
      </c>
      <c r="G695" s="4">
        <v>426655.15500000003</v>
      </c>
      <c r="H695" s="5">
        <f>80 / 86400</f>
        <v>9.2592592592592596E-4</v>
      </c>
      <c r="I695" t="s">
        <v>151</v>
      </c>
      <c r="J695" t="s">
        <v>144</v>
      </c>
      <c r="K695" s="5">
        <f>119 / 86400</f>
        <v>1.3773148148148147E-3</v>
      </c>
      <c r="L695" s="5">
        <f>792 / 86400</f>
        <v>9.1666666666666667E-3</v>
      </c>
    </row>
    <row r="696" spans="1:12" x14ac:dyDescent="0.25">
      <c r="A696" s="3">
        <v>45705.673703703702</v>
      </c>
      <c r="B696" t="s">
        <v>80</v>
      </c>
      <c r="C696" s="3">
        <v>45705.674004629633</v>
      </c>
      <c r="D696" t="s">
        <v>80</v>
      </c>
      <c r="E696" s="4">
        <v>0</v>
      </c>
      <c r="F696" s="4">
        <v>426655.15500000003</v>
      </c>
      <c r="G696" s="4">
        <v>426655.15500000003</v>
      </c>
      <c r="H696" s="5">
        <f>19 / 86400</f>
        <v>2.199074074074074E-4</v>
      </c>
      <c r="I696" t="s">
        <v>73</v>
      </c>
      <c r="J696" t="s">
        <v>73</v>
      </c>
      <c r="K696" s="5">
        <f>26 / 86400</f>
        <v>3.0092592592592595E-4</v>
      </c>
      <c r="L696" s="5">
        <f>485 / 86400</f>
        <v>5.6134259259259262E-3</v>
      </c>
    </row>
    <row r="697" spans="1:12" x14ac:dyDescent="0.25">
      <c r="A697" s="3">
        <v>45705.679618055554</v>
      </c>
      <c r="B697" t="s">
        <v>80</v>
      </c>
      <c r="C697" s="3">
        <v>45705.682442129633</v>
      </c>
      <c r="D697" t="s">
        <v>137</v>
      </c>
      <c r="E697" s="4">
        <v>0.35</v>
      </c>
      <c r="F697" s="4">
        <v>426655.15500000003</v>
      </c>
      <c r="G697" s="4">
        <v>426655.505</v>
      </c>
      <c r="H697" s="5">
        <f>119 / 86400</f>
        <v>1.3773148148148147E-3</v>
      </c>
      <c r="I697" t="s">
        <v>135</v>
      </c>
      <c r="J697" t="s">
        <v>142</v>
      </c>
      <c r="K697" s="5">
        <f>244 / 86400</f>
        <v>2.8240740740740739E-3</v>
      </c>
      <c r="L697" s="5">
        <f>1066 / 86400</f>
        <v>1.2337962962962964E-2</v>
      </c>
    </row>
    <row r="698" spans="1:12" x14ac:dyDescent="0.25">
      <c r="A698" s="3">
        <v>45705.694780092592</v>
      </c>
      <c r="B698" t="s">
        <v>137</v>
      </c>
      <c r="C698" s="3">
        <v>45705.69568287037</v>
      </c>
      <c r="D698" t="s">
        <v>137</v>
      </c>
      <c r="E698" s="4">
        <v>0.109</v>
      </c>
      <c r="F698" s="4">
        <v>426655.505</v>
      </c>
      <c r="G698" s="4">
        <v>426655.614</v>
      </c>
      <c r="H698" s="5">
        <f>20 / 86400</f>
        <v>2.3148148148148149E-4</v>
      </c>
      <c r="I698" t="s">
        <v>66</v>
      </c>
      <c r="J698" t="s">
        <v>142</v>
      </c>
      <c r="K698" s="5">
        <f>77 / 86400</f>
        <v>8.9120370370370373E-4</v>
      </c>
      <c r="L698" s="5">
        <f>1210 / 86400</f>
        <v>1.4004629629629629E-2</v>
      </c>
    </row>
    <row r="699" spans="1:12" x14ac:dyDescent="0.25">
      <c r="A699" s="3">
        <v>45705.709687499999</v>
      </c>
      <c r="B699" t="s">
        <v>137</v>
      </c>
      <c r="C699" s="3">
        <v>45705.713483796295</v>
      </c>
      <c r="D699" t="s">
        <v>386</v>
      </c>
      <c r="E699" s="4">
        <v>0.56799999999999995</v>
      </c>
      <c r="F699" s="4">
        <v>426655.614</v>
      </c>
      <c r="G699" s="4">
        <v>426656.18199999997</v>
      </c>
      <c r="H699" s="5">
        <f>120 / 86400</f>
        <v>1.3888888888888889E-3</v>
      </c>
      <c r="I699" t="s">
        <v>75</v>
      </c>
      <c r="J699" t="s">
        <v>153</v>
      </c>
      <c r="K699" s="5">
        <f>327 / 86400</f>
        <v>3.7847222222222223E-3</v>
      </c>
      <c r="L699" s="5">
        <f>429 / 86400</f>
        <v>4.9652777777777777E-3</v>
      </c>
    </row>
    <row r="700" spans="1:12" x14ac:dyDescent="0.25">
      <c r="A700" s="3">
        <v>45705.718449074076</v>
      </c>
      <c r="B700" t="s">
        <v>386</v>
      </c>
      <c r="C700" s="3">
        <v>45705.791192129633</v>
      </c>
      <c r="D700" t="s">
        <v>387</v>
      </c>
      <c r="E700" s="4">
        <v>34.917000000000002</v>
      </c>
      <c r="F700" s="4">
        <v>426656.18199999997</v>
      </c>
      <c r="G700" s="4">
        <v>426691.09899999999</v>
      </c>
      <c r="H700" s="5">
        <f>1500 / 86400</f>
        <v>1.7361111111111112E-2</v>
      </c>
      <c r="I700" t="s">
        <v>60</v>
      </c>
      <c r="J700" t="s">
        <v>20</v>
      </c>
      <c r="K700" s="5">
        <f>6284 / 86400</f>
        <v>7.273148148148148E-2</v>
      </c>
      <c r="L700" s="5">
        <f>1860 / 86400</f>
        <v>2.1527777777777778E-2</v>
      </c>
    </row>
    <row r="701" spans="1:12" x14ac:dyDescent="0.25">
      <c r="A701" s="3">
        <v>45705.812719907408</v>
      </c>
      <c r="B701" t="s">
        <v>387</v>
      </c>
      <c r="C701" s="3">
        <v>45705.817349537036</v>
      </c>
      <c r="D701" t="s">
        <v>388</v>
      </c>
      <c r="E701" s="4">
        <v>1.64</v>
      </c>
      <c r="F701" s="4">
        <v>426691.09899999999</v>
      </c>
      <c r="G701" s="4">
        <v>426692.739</v>
      </c>
      <c r="H701" s="5">
        <f>80 / 86400</f>
        <v>9.2592592592592596E-4</v>
      </c>
      <c r="I701" t="s">
        <v>265</v>
      </c>
      <c r="J701" t="s">
        <v>30</v>
      </c>
      <c r="K701" s="5">
        <f>399 / 86400</f>
        <v>4.6180555555555558E-3</v>
      </c>
      <c r="L701" s="5">
        <f>291 / 86400</f>
        <v>3.3680555555555556E-3</v>
      </c>
    </row>
    <row r="702" spans="1:12" x14ac:dyDescent="0.25">
      <c r="A702" s="3">
        <v>45705.820717592593</v>
      </c>
      <c r="B702" t="s">
        <v>388</v>
      </c>
      <c r="C702" s="3">
        <v>45705.820763888885</v>
      </c>
      <c r="D702" t="s">
        <v>388</v>
      </c>
      <c r="E702" s="4">
        <v>0</v>
      </c>
      <c r="F702" s="4">
        <v>426692.739</v>
      </c>
      <c r="G702" s="4">
        <v>426692.739</v>
      </c>
      <c r="H702" s="5">
        <f>0 / 86400</f>
        <v>0</v>
      </c>
      <c r="I702" t="s">
        <v>73</v>
      </c>
      <c r="J702" t="s">
        <v>73</v>
      </c>
      <c r="K702" s="5">
        <f>4 / 86400</f>
        <v>4.6296296296296294E-5</v>
      </c>
      <c r="L702" s="5">
        <f>15 / 86400</f>
        <v>1.7361111111111112E-4</v>
      </c>
    </row>
    <row r="703" spans="1:12" x14ac:dyDescent="0.25">
      <c r="A703" s="3">
        <v>45705.820937500001</v>
      </c>
      <c r="B703" t="s">
        <v>388</v>
      </c>
      <c r="C703" s="3">
        <v>45705.826585648145</v>
      </c>
      <c r="D703" t="s">
        <v>59</v>
      </c>
      <c r="E703" s="4">
        <v>0.38700000000000001</v>
      </c>
      <c r="F703" s="4">
        <v>426692.739</v>
      </c>
      <c r="G703" s="4">
        <v>426693.12599999999</v>
      </c>
      <c r="H703" s="5">
        <f>260 / 86400</f>
        <v>3.0092592592592593E-3</v>
      </c>
      <c r="I703" t="s">
        <v>162</v>
      </c>
      <c r="J703" t="s">
        <v>84</v>
      </c>
      <c r="K703" s="5">
        <f>488 / 86400</f>
        <v>5.6481481481481478E-3</v>
      </c>
      <c r="L703" s="5">
        <f>133 / 86400</f>
        <v>1.5393518518518519E-3</v>
      </c>
    </row>
    <row r="704" spans="1:12" x14ac:dyDescent="0.25">
      <c r="A704" s="3">
        <v>45705.828125</v>
      </c>
      <c r="B704" t="s">
        <v>59</v>
      </c>
      <c r="C704" s="3">
        <v>45705.828611111108</v>
      </c>
      <c r="D704" t="s">
        <v>59</v>
      </c>
      <c r="E704" s="4">
        <v>8.0000000000000002E-3</v>
      </c>
      <c r="F704" s="4">
        <v>426693.12599999999</v>
      </c>
      <c r="G704" s="4">
        <v>426693.13400000002</v>
      </c>
      <c r="H704" s="5">
        <f>40 / 86400</f>
        <v>4.6296296296296298E-4</v>
      </c>
      <c r="I704" t="s">
        <v>73</v>
      </c>
      <c r="J704" t="s">
        <v>144</v>
      </c>
      <c r="K704" s="5">
        <f>42 / 86400</f>
        <v>4.861111111111111E-4</v>
      </c>
      <c r="L704" s="5">
        <f>14807 / 86400</f>
        <v>0.1713773148148148</v>
      </c>
    </row>
    <row r="705" spans="1:12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 spans="1:12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 spans="1:12" s="10" customFormat="1" ht="20.100000000000001" customHeight="1" x14ac:dyDescent="0.35">
      <c r="A707" s="12" t="s">
        <v>458</v>
      </c>
      <c r="B707" s="12"/>
      <c r="C707" s="12"/>
      <c r="D707" s="12"/>
      <c r="E707" s="12"/>
      <c r="F707" s="12"/>
      <c r="G707" s="12"/>
      <c r="H707" s="12"/>
      <c r="I707" s="12"/>
      <c r="J707" s="12"/>
    </row>
    <row r="708" spans="1:12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2" ht="30" x14ac:dyDescent="0.25">
      <c r="A709" s="2" t="s">
        <v>6</v>
      </c>
      <c r="B709" s="2" t="s">
        <v>7</v>
      </c>
      <c r="C709" s="2" t="s">
        <v>8</v>
      </c>
      <c r="D709" s="2" t="s">
        <v>9</v>
      </c>
      <c r="E709" s="2" t="s">
        <v>10</v>
      </c>
      <c r="F709" s="2" t="s">
        <v>11</v>
      </c>
      <c r="G709" s="2" t="s">
        <v>12</v>
      </c>
      <c r="H709" s="2" t="s">
        <v>13</v>
      </c>
      <c r="I709" s="2" t="s">
        <v>14</v>
      </c>
      <c r="J709" s="2" t="s">
        <v>15</v>
      </c>
      <c r="K709" s="2" t="s">
        <v>16</v>
      </c>
      <c r="L709" s="2" t="s">
        <v>17</v>
      </c>
    </row>
    <row r="710" spans="1:12" x14ac:dyDescent="0.25">
      <c r="A710" s="3">
        <v>45705.232581018514</v>
      </c>
      <c r="B710" t="s">
        <v>28</v>
      </c>
      <c r="C710" s="3">
        <v>45705.26262731482</v>
      </c>
      <c r="D710" t="s">
        <v>229</v>
      </c>
      <c r="E710" s="4">
        <v>11.993</v>
      </c>
      <c r="F710" s="4">
        <v>13372.308999999999</v>
      </c>
      <c r="G710" s="4">
        <v>13384.302</v>
      </c>
      <c r="H710" s="5">
        <f>999 / 86400</f>
        <v>1.15625E-2</v>
      </c>
      <c r="I710" t="s">
        <v>222</v>
      </c>
      <c r="J710" t="s">
        <v>32</v>
      </c>
      <c r="K710" s="5">
        <f>2595 / 86400</f>
        <v>3.0034722222222223E-2</v>
      </c>
      <c r="L710" s="5">
        <f>20115 / 86400</f>
        <v>0.23281250000000001</v>
      </c>
    </row>
    <row r="711" spans="1:12" x14ac:dyDescent="0.25">
      <c r="A711" s="3">
        <v>45705.262858796297</v>
      </c>
      <c r="B711" t="s">
        <v>229</v>
      </c>
      <c r="C711" s="3">
        <v>45705.314398148148</v>
      </c>
      <c r="D711" t="s">
        <v>328</v>
      </c>
      <c r="E711" s="4">
        <v>18.812000000000001</v>
      </c>
      <c r="F711" s="4">
        <v>13384.302</v>
      </c>
      <c r="G711" s="4">
        <v>13403.114</v>
      </c>
      <c r="H711" s="5">
        <f>1500 / 86400</f>
        <v>1.7361111111111112E-2</v>
      </c>
      <c r="I711" t="s">
        <v>173</v>
      </c>
      <c r="J711" t="s">
        <v>30</v>
      </c>
      <c r="K711" s="5">
        <f>4452 / 86400</f>
        <v>5.1527777777777777E-2</v>
      </c>
      <c r="L711" s="5">
        <f>63 / 86400</f>
        <v>7.291666666666667E-4</v>
      </c>
    </row>
    <row r="712" spans="1:12" x14ac:dyDescent="0.25">
      <c r="A712" s="3">
        <v>45705.315127314811</v>
      </c>
      <c r="B712" t="s">
        <v>328</v>
      </c>
      <c r="C712" s="3">
        <v>45705.346006944441</v>
      </c>
      <c r="D712" t="s">
        <v>244</v>
      </c>
      <c r="E712" s="4">
        <v>6.7969999999999997</v>
      </c>
      <c r="F712" s="4">
        <v>13403.114</v>
      </c>
      <c r="G712" s="4">
        <v>13409.911</v>
      </c>
      <c r="H712" s="5">
        <f>1397 / 86400</f>
        <v>1.6168981481481482E-2</v>
      </c>
      <c r="I712" t="s">
        <v>159</v>
      </c>
      <c r="J712" t="s">
        <v>133</v>
      </c>
      <c r="K712" s="5">
        <f>2668 / 86400</f>
        <v>3.0879629629629628E-2</v>
      </c>
      <c r="L712" s="5">
        <f>86 / 86400</f>
        <v>9.9537037037037042E-4</v>
      </c>
    </row>
    <row r="713" spans="1:12" x14ac:dyDescent="0.25">
      <c r="A713" s="3">
        <v>45705.347002314811</v>
      </c>
      <c r="B713" t="s">
        <v>244</v>
      </c>
      <c r="C713" s="3">
        <v>45705.347037037034</v>
      </c>
      <c r="D713" t="s">
        <v>244</v>
      </c>
      <c r="E713" s="4">
        <v>0</v>
      </c>
      <c r="F713" s="4">
        <v>13409.911</v>
      </c>
      <c r="G713" s="4">
        <v>13409.911</v>
      </c>
      <c r="H713" s="5">
        <f>0 / 86400</f>
        <v>0</v>
      </c>
      <c r="I713" t="s">
        <v>73</v>
      </c>
      <c r="J713" t="s">
        <v>73</v>
      </c>
      <c r="K713" s="5">
        <f>3 / 86400</f>
        <v>3.4722222222222222E-5</v>
      </c>
      <c r="L713" s="5">
        <f>41 / 86400</f>
        <v>4.7453703703703704E-4</v>
      </c>
    </row>
    <row r="714" spans="1:12" x14ac:dyDescent="0.25">
      <c r="A714" s="3">
        <v>45705.347511574073</v>
      </c>
      <c r="B714" t="s">
        <v>244</v>
      </c>
      <c r="C714" s="3">
        <v>45705.3597337963</v>
      </c>
      <c r="D714" t="s">
        <v>380</v>
      </c>
      <c r="E714" s="4">
        <v>2.5449999999999999</v>
      </c>
      <c r="F714" s="4">
        <v>13409.911</v>
      </c>
      <c r="G714" s="4">
        <v>13412.456</v>
      </c>
      <c r="H714" s="5">
        <f>740 / 86400</f>
        <v>8.564814814814815E-3</v>
      </c>
      <c r="I714" t="s">
        <v>218</v>
      </c>
      <c r="J714" t="s">
        <v>133</v>
      </c>
      <c r="K714" s="5">
        <f>1056 / 86400</f>
        <v>1.2222222222222223E-2</v>
      </c>
      <c r="L714" s="5">
        <f>30 / 86400</f>
        <v>3.4722222222222224E-4</v>
      </c>
    </row>
    <row r="715" spans="1:12" x14ac:dyDescent="0.25">
      <c r="A715" s="3">
        <v>45705.360081018516</v>
      </c>
      <c r="B715" t="s">
        <v>380</v>
      </c>
      <c r="C715" s="3">
        <v>45705.392511574071</v>
      </c>
      <c r="D715" t="s">
        <v>234</v>
      </c>
      <c r="E715" s="4">
        <v>10.259</v>
      </c>
      <c r="F715" s="4">
        <v>13412.456</v>
      </c>
      <c r="G715" s="4">
        <v>13422.715</v>
      </c>
      <c r="H715" s="5">
        <f>1177 / 86400</f>
        <v>1.3622685185185186E-2</v>
      </c>
      <c r="I715" t="s">
        <v>179</v>
      </c>
      <c r="J715" t="s">
        <v>66</v>
      </c>
      <c r="K715" s="5">
        <f>2802 / 86400</f>
        <v>3.2430555555555553E-2</v>
      </c>
      <c r="L715" s="5">
        <f>45 / 86400</f>
        <v>5.2083333333333333E-4</v>
      </c>
    </row>
    <row r="716" spans="1:12" x14ac:dyDescent="0.25">
      <c r="A716" s="3">
        <v>45705.393032407403</v>
      </c>
      <c r="B716" t="s">
        <v>234</v>
      </c>
      <c r="C716" s="3">
        <v>45705.51944444445</v>
      </c>
      <c r="D716" t="s">
        <v>48</v>
      </c>
      <c r="E716" s="4">
        <v>55.584000000000003</v>
      </c>
      <c r="F716" s="4">
        <v>13422.715</v>
      </c>
      <c r="G716" s="4">
        <v>13478.299000000001</v>
      </c>
      <c r="H716" s="5">
        <f>3461 / 86400</f>
        <v>4.0057870370370369E-2</v>
      </c>
      <c r="I716" t="s">
        <v>222</v>
      </c>
      <c r="J716" t="s">
        <v>23</v>
      </c>
      <c r="K716" s="5">
        <f>10921 / 86400</f>
        <v>0.12640046296296295</v>
      </c>
      <c r="L716" s="5">
        <f>168 / 86400</f>
        <v>1.9444444444444444E-3</v>
      </c>
    </row>
    <row r="717" spans="1:12" x14ac:dyDescent="0.25">
      <c r="A717" s="3">
        <v>45705.52138888889</v>
      </c>
      <c r="B717" t="s">
        <v>48</v>
      </c>
      <c r="C717" s="3">
        <v>45705.521979166668</v>
      </c>
      <c r="D717" t="s">
        <v>48</v>
      </c>
      <c r="E717" s="4">
        <v>0</v>
      </c>
      <c r="F717" s="4">
        <v>13478.299000000001</v>
      </c>
      <c r="G717" s="4">
        <v>13478.299000000001</v>
      </c>
      <c r="H717" s="5">
        <f>39 / 86400</f>
        <v>4.5138888888888887E-4</v>
      </c>
      <c r="I717" t="s">
        <v>73</v>
      </c>
      <c r="J717" t="s">
        <v>73</v>
      </c>
      <c r="K717" s="5">
        <f>50 / 86400</f>
        <v>5.7870370370370367E-4</v>
      </c>
      <c r="L717" s="5">
        <f>55 / 86400</f>
        <v>6.3657407407407413E-4</v>
      </c>
    </row>
    <row r="718" spans="1:12" x14ac:dyDescent="0.25">
      <c r="A718" s="3">
        <v>45705.522615740745</v>
      </c>
      <c r="B718" t="s">
        <v>48</v>
      </c>
      <c r="C718" s="3">
        <v>45705.52275462963</v>
      </c>
      <c r="D718" t="s">
        <v>48</v>
      </c>
      <c r="E718" s="4">
        <v>0.01</v>
      </c>
      <c r="F718" s="4">
        <v>13478.299000000001</v>
      </c>
      <c r="G718" s="4">
        <v>13478.308999999999</v>
      </c>
      <c r="H718" s="5">
        <f>0 / 86400</f>
        <v>0</v>
      </c>
      <c r="I718" t="s">
        <v>73</v>
      </c>
      <c r="J718" t="s">
        <v>84</v>
      </c>
      <c r="K718" s="5">
        <f>12 / 86400</f>
        <v>1.3888888888888889E-4</v>
      </c>
      <c r="L718" s="5">
        <f>757 / 86400</f>
        <v>8.7615740740740744E-3</v>
      </c>
    </row>
    <row r="719" spans="1:12" x14ac:dyDescent="0.25">
      <c r="A719" s="3">
        <v>45705.5315162037</v>
      </c>
      <c r="B719" t="s">
        <v>48</v>
      </c>
      <c r="C719" s="3">
        <v>45705.531597222223</v>
      </c>
      <c r="D719" t="s">
        <v>48</v>
      </c>
      <c r="E719" s="4">
        <v>0</v>
      </c>
      <c r="F719" s="4">
        <v>13478.308999999999</v>
      </c>
      <c r="G719" s="4">
        <v>13478.308999999999</v>
      </c>
      <c r="H719" s="5">
        <f>0 / 86400</f>
        <v>0</v>
      </c>
      <c r="I719" t="s">
        <v>73</v>
      </c>
      <c r="J719" t="s">
        <v>73</v>
      </c>
      <c r="K719" s="5">
        <f>6 / 86400</f>
        <v>6.9444444444444444E-5</v>
      </c>
      <c r="L719" s="5">
        <f>22 / 86400</f>
        <v>2.5462962962962961E-4</v>
      </c>
    </row>
    <row r="720" spans="1:12" x14ac:dyDescent="0.25">
      <c r="A720" s="3">
        <v>45705.531851851847</v>
      </c>
      <c r="B720" t="s">
        <v>48</v>
      </c>
      <c r="C720" s="3">
        <v>45705.53188657407</v>
      </c>
      <c r="D720" t="s">
        <v>48</v>
      </c>
      <c r="E720" s="4">
        <v>0</v>
      </c>
      <c r="F720" s="4">
        <v>13478.308999999999</v>
      </c>
      <c r="G720" s="4">
        <v>13478.308999999999</v>
      </c>
      <c r="H720" s="5">
        <f>0 / 86400</f>
        <v>0</v>
      </c>
      <c r="I720" t="s">
        <v>144</v>
      </c>
      <c r="J720" t="s">
        <v>73</v>
      </c>
      <c r="K720" s="5">
        <f>3 / 86400</f>
        <v>3.4722222222222222E-5</v>
      </c>
      <c r="L720" s="5">
        <f>1526 / 86400</f>
        <v>1.7662037037037039E-2</v>
      </c>
    </row>
    <row r="721" spans="1:12" x14ac:dyDescent="0.25">
      <c r="A721" s="3">
        <v>45705.54954861111</v>
      </c>
      <c r="B721" t="s">
        <v>48</v>
      </c>
      <c r="C721" s="3">
        <v>45705.550138888888</v>
      </c>
      <c r="D721" t="s">
        <v>48</v>
      </c>
      <c r="E721" s="4">
        <v>0</v>
      </c>
      <c r="F721" s="4">
        <v>13478.308999999999</v>
      </c>
      <c r="G721" s="4">
        <v>13478.308999999999</v>
      </c>
      <c r="H721" s="5">
        <f>39 / 86400</f>
        <v>4.5138888888888887E-4</v>
      </c>
      <c r="I721" t="s">
        <v>73</v>
      </c>
      <c r="J721" t="s">
        <v>73</v>
      </c>
      <c r="K721" s="5">
        <f>51 / 86400</f>
        <v>5.9027777777777778E-4</v>
      </c>
      <c r="L721" s="5">
        <f>75 / 86400</f>
        <v>8.6805555555555551E-4</v>
      </c>
    </row>
    <row r="722" spans="1:12" x14ac:dyDescent="0.25">
      <c r="A722" s="3">
        <v>45705.551006944443</v>
      </c>
      <c r="B722" t="s">
        <v>48</v>
      </c>
      <c r="C722" s="3">
        <v>45705.552152777775</v>
      </c>
      <c r="D722" t="s">
        <v>48</v>
      </c>
      <c r="E722" s="4">
        <v>0</v>
      </c>
      <c r="F722" s="4">
        <v>13478.308999999999</v>
      </c>
      <c r="G722" s="4">
        <v>13478.308999999999</v>
      </c>
      <c r="H722" s="5">
        <f>79 / 86400</f>
        <v>9.1435185185185185E-4</v>
      </c>
      <c r="I722" t="s">
        <v>73</v>
      </c>
      <c r="J722" t="s">
        <v>73</v>
      </c>
      <c r="K722" s="5">
        <f>99 / 86400</f>
        <v>1.1458333333333333E-3</v>
      </c>
      <c r="L722" s="5">
        <f>136 / 86400</f>
        <v>1.5740740740740741E-3</v>
      </c>
    </row>
    <row r="723" spans="1:12" x14ac:dyDescent="0.25">
      <c r="A723" s="3">
        <v>45705.553726851853</v>
      </c>
      <c r="B723" t="s">
        <v>48</v>
      </c>
      <c r="C723" s="3">
        <v>45705.555891203709</v>
      </c>
      <c r="D723" t="s">
        <v>80</v>
      </c>
      <c r="E723" s="4">
        <v>0.56200000000000006</v>
      </c>
      <c r="F723" s="4">
        <v>13478.308999999999</v>
      </c>
      <c r="G723" s="4">
        <v>13478.870999999999</v>
      </c>
      <c r="H723" s="5">
        <f>59 / 86400</f>
        <v>6.8287037037037036E-4</v>
      </c>
      <c r="I723" t="s">
        <v>129</v>
      </c>
      <c r="J723" t="s">
        <v>45</v>
      </c>
      <c r="K723" s="5">
        <f>186 / 86400</f>
        <v>2.1527777777777778E-3</v>
      </c>
      <c r="L723" s="5">
        <f>147 / 86400</f>
        <v>1.7013888888888888E-3</v>
      </c>
    </row>
    <row r="724" spans="1:12" x14ac:dyDescent="0.25">
      <c r="A724" s="3">
        <v>45705.557592592595</v>
      </c>
      <c r="B724" t="s">
        <v>80</v>
      </c>
      <c r="C724" s="3">
        <v>45705.558969907404</v>
      </c>
      <c r="D724" t="s">
        <v>178</v>
      </c>
      <c r="E724" s="4">
        <v>0.72099999999999997</v>
      </c>
      <c r="F724" s="4">
        <v>13478.870999999999</v>
      </c>
      <c r="G724" s="4">
        <v>13479.592000000001</v>
      </c>
      <c r="H724" s="5">
        <f>0 / 86400</f>
        <v>0</v>
      </c>
      <c r="I724" t="s">
        <v>193</v>
      </c>
      <c r="J724" t="s">
        <v>135</v>
      </c>
      <c r="K724" s="5">
        <f>118 / 86400</f>
        <v>1.3657407407407407E-3</v>
      </c>
      <c r="L724" s="5">
        <f>838 / 86400</f>
        <v>9.6990740740740735E-3</v>
      </c>
    </row>
    <row r="725" spans="1:12" x14ac:dyDescent="0.25">
      <c r="A725" s="3">
        <v>45705.568668981483</v>
      </c>
      <c r="B725" t="s">
        <v>178</v>
      </c>
      <c r="C725" s="3">
        <v>45705.571863425925</v>
      </c>
      <c r="D725" t="s">
        <v>128</v>
      </c>
      <c r="E725" s="4">
        <v>0.998</v>
      </c>
      <c r="F725" s="4">
        <v>13479.592000000001</v>
      </c>
      <c r="G725" s="4">
        <v>13480.59</v>
      </c>
      <c r="H725" s="5">
        <f>40 / 86400</f>
        <v>4.6296296296296298E-4</v>
      </c>
      <c r="I725" t="s">
        <v>150</v>
      </c>
      <c r="J725" t="s">
        <v>66</v>
      </c>
      <c r="K725" s="5">
        <f>275 / 86400</f>
        <v>3.1828703703703702E-3</v>
      </c>
      <c r="L725" s="5">
        <f>318 / 86400</f>
        <v>3.6805555555555554E-3</v>
      </c>
    </row>
    <row r="726" spans="1:12" x14ac:dyDescent="0.25">
      <c r="A726" s="3">
        <v>45705.575543981482</v>
      </c>
      <c r="B726" t="s">
        <v>128</v>
      </c>
      <c r="C726" s="3">
        <v>45705.694224537037</v>
      </c>
      <c r="D726" t="s">
        <v>389</v>
      </c>
      <c r="E726" s="4">
        <v>52.49</v>
      </c>
      <c r="F726" s="4">
        <v>13480.59</v>
      </c>
      <c r="G726" s="4">
        <v>13533.08</v>
      </c>
      <c r="H726" s="5">
        <f>3540 / 86400</f>
        <v>4.0972222222222222E-2</v>
      </c>
      <c r="I726" t="s">
        <v>61</v>
      </c>
      <c r="J726" t="s">
        <v>23</v>
      </c>
      <c r="K726" s="5">
        <f>10254 / 86400</f>
        <v>0.11868055555555555</v>
      </c>
      <c r="L726" s="5">
        <f>43 / 86400</f>
        <v>4.9768518518518521E-4</v>
      </c>
    </row>
    <row r="727" spans="1:12" x14ac:dyDescent="0.25">
      <c r="A727" s="3">
        <v>45705.694722222222</v>
      </c>
      <c r="B727" t="s">
        <v>389</v>
      </c>
      <c r="C727" s="3">
        <v>45705.776539351849</v>
      </c>
      <c r="D727" t="s">
        <v>111</v>
      </c>
      <c r="E727" s="4">
        <v>30.42</v>
      </c>
      <c r="F727" s="4">
        <v>13533.08</v>
      </c>
      <c r="G727" s="4">
        <v>13563.5</v>
      </c>
      <c r="H727" s="5">
        <f>2401 / 86400</f>
        <v>2.7789351851851853E-2</v>
      </c>
      <c r="I727" t="s">
        <v>197</v>
      </c>
      <c r="J727" t="s">
        <v>30</v>
      </c>
      <c r="K727" s="5">
        <f>7068 / 86400</f>
        <v>8.1805555555555562E-2</v>
      </c>
      <c r="L727" s="5">
        <f>144 / 86400</f>
        <v>1.6666666666666668E-3</v>
      </c>
    </row>
    <row r="728" spans="1:12" x14ac:dyDescent="0.25">
      <c r="A728" s="3">
        <v>45705.77820601852</v>
      </c>
      <c r="B728" t="s">
        <v>111</v>
      </c>
      <c r="C728" s="3">
        <v>45705.781226851846</v>
      </c>
      <c r="D728" t="s">
        <v>82</v>
      </c>
      <c r="E728" s="4">
        <v>0.28699999999999998</v>
      </c>
      <c r="F728" s="4">
        <v>13563.5</v>
      </c>
      <c r="G728" s="4">
        <v>13563.787</v>
      </c>
      <c r="H728" s="5">
        <f>199 / 86400</f>
        <v>2.3032407407407407E-3</v>
      </c>
      <c r="I728" t="s">
        <v>23</v>
      </c>
      <c r="J728" t="s">
        <v>148</v>
      </c>
      <c r="K728" s="5">
        <f>260 / 86400</f>
        <v>3.0092592592592593E-3</v>
      </c>
      <c r="L728" s="5">
        <f>141 / 86400</f>
        <v>1.6319444444444445E-3</v>
      </c>
    </row>
    <row r="729" spans="1:12" x14ac:dyDescent="0.25">
      <c r="A729" s="3">
        <v>45705.782858796301</v>
      </c>
      <c r="B729" t="s">
        <v>82</v>
      </c>
      <c r="C729" s="3">
        <v>45705.787314814814</v>
      </c>
      <c r="D729" t="s">
        <v>28</v>
      </c>
      <c r="E729" s="4">
        <v>1.766</v>
      </c>
      <c r="F729" s="4">
        <v>13563.787</v>
      </c>
      <c r="G729" s="4">
        <v>13565.553</v>
      </c>
      <c r="H729" s="5">
        <f>60 / 86400</f>
        <v>6.9444444444444447E-4</v>
      </c>
      <c r="I729" t="s">
        <v>265</v>
      </c>
      <c r="J729" t="s">
        <v>32</v>
      </c>
      <c r="K729" s="5">
        <f>384 / 86400</f>
        <v>4.4444444444444444E-3</v>
      </c>
      <c r="L729" s="5">
        <f>18375 / 86400</f>
        <v>0.2126736111111111</v>
      </c>
    </row>
    <row r="730" spans="1:12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 spans="1:12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 spans="1:12" s="10" customFormat="1" ht="20.100000000000001" customHeight="1" x14ac:dyDescent="0.35">
      <c r="A732" s="12" t="s">
        <v>459</v>
      </c>
      <c r="B732" s="12"/>
      <c r="C732" s="12"/>
      <c r="D732" s="12"/>
      <c r="E732" s="12"/>
      <c r="F732" s="12"/>
      <c r="G732" s="12"/>
      <c r="H732" s="12"/>
      <c r="I732" s="12"/>
      <c r="J732" s="12"/>
    </row>
    <row r="733" spans="1:12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 spans="1:12" ht="30" x14ac:dyDescent="0.25">
      <c r="A734" s="2" t="s">
        <v>6</v>
      </c>
      <c r="B734" s="2" t="s">
        <v>7</v>
      </c>
      <c r="C734" s="2" t="s">
        <v>8</v>
      </c>
      <c r="D734" s="2" t="s">
        <v>9</v>
      </c>
      <c r="E734" s="2" t="s">
        <v>10</v>
      </c>
      <c r="F734" s="2" t="s">
        <v>11</v>
      </c>
      <c r="G734" s="2" t="s">
        <v>12</v>
      </c>
      <c r="H734" s="2" t="s">
        <v>13</v>
      </c>
      <c r="I734" s="2" t="s">
        <v>14</v>
      </c>
      <c r="J734" s="2" t="s">
        <v>15</v>
      </c>
      <c r="K734" s="2" t="s">
        <v>16</v>
      </c>
      <c r="L734" s="2" t="s">
        <v>17</v>
      </c>
    </row>
    <row r="735" spans="1:12" x14ac:dyDescent="0.25">
      <c r="A735" s="3">
        <v>45705.189687499995</v>
      </c>
      <c r="B735" t="s">
        <v>63</v>
      </c>
      <c r="C735" s="3">
        <v>45705.200706018513</v>
      </c>
      <c r="D735" t="s">
        <v>390</v>
      </c>
      <c r="E735" s="4">
        <v>2.9710000000000001</v>
      </c>
      <c r="F735" s="4">
        <v>138934.04500000001</v>
      </c>
      <c r="G735" s="4">
        <v>138937.016</v>
      </c>
      <c r="H735" s="5">
        <f>439 / 86400</f>
        <v>5.0810185185185186E-3</v>
      </c>
      <c r="I735" t="s">
        <v>173</v>
      </c>
      <c r="J735" t="s">
        <v>45</v>
      </c>
      <c r="K735" s="5">
        <f>952 / 86400</f>
        <v>1.1018518518518518E-2</v>
      </c>
      <c r="L735" s="5">
        <f>18366 / 86400</f>
        <v>0.21256944444444445</v>
      </c>
    </row>
    <row r="736" spans="1:12" x14ac:dyDescent="0.25">
      <c r="A736" s="3">
        <v>45705.223587962959</v>
      </c>
      <c r="B736" t="s">
        <v>390</v>
      </c>
      <c r="C736" s="3">
        <v>45705.418923611112</v>
      </c>
      <c r="D736" t="s">
        <v>51</v>
      </c>
      <c r="E736" s="4">
        <v>91.658000000000001</v>
      </c>
      <c r="F736" s="4">
        <v>138937.016</v>
      </c>
      <c r="G736" s="4">
        <v>139028.674</v>
      </c>
      <c r="H736" s="5">
        <f>4400 / 86400</f>
        <v>5.0925925925925923E-2</v>
      </c>
      <c r="I736" t="s">
        <v>99</v>
      </c>
      <c r="J736" t="s">
        <v>20</v>
      </c>
      <c r="K736" s="5">
        <f>16877 / 86400</f>
        <v>0.19533564814814816</v>
      </c>
      <c r="L736" s="5">
        <f>2542 / 86400</f>
        <v>2.9421296296296296E-2</v>
      </c>
    </row>
    <row r="737" spans="1:12" x14ac:dyDescent="0.25">
      <c r="A737" s="3">
        <v>45705.448344907403</v>
      </c>
      <c r="B737" t="s">
        <v>51</v>
      </c>
      <c r="C737" s="3">
        <v>45705.451967592591</v>
      </c>
      <c r="D737" t="s">
        <v>128</v>
      </c>
      <c r="E737" s="4">
        <v>0.82399999999999995</v>
      </c>
      <c r="F737" s="4">
        <v>139028.674</v>
      </c>
      <c r="G737" s="4">
        <v>139029.49799999999</v>
      </c>
      <c r="H737" s="5">
        <f>39 / 86400</f>
        <v>4.5138888888888887E-4</v>
      </c>
      <c r="I737" t="s">
        <v>193</v>
      </c>
      <c r="J737" t="s">
        <v>118</v>
      </c>
      <c r="K737" s="5">
        <f>312 / 86400</f>
        <v>3.6111111111111109E-3</v>
      </c>
      <c r="L737" s="5">
        <f>533 / 86400</f>
        <v>6.1689814814814819E-3</v>
      </c>
    </row>
    <row r="738" spans="1:12" x14ac:dyDescent="0.25">
      <c r="A738" s="3">
        <v>45705.458136574074</v>
      </c>
      <c r="B738" t="s">
        <v>128</v>
      </c>
      <c r="C738" s="3">
        <v>45705.458275462966</v>
      </c>
      <c r="D738" t="s">
        <v>128</v>
      </c>
      <c r="E738" s="4">
        <v>1.2999999999999999E-2</v>
      </c>
      <c r="F738" s="4">
        <v>139029.49799999999</v>
      </c>
      <c r="G738" s="4">
        <v>139029.511</v>
      </c>
      <c r="H738" s="5">
        <f>0 / 86400</f>
        <v>0</v>
      </c>
      <c r="I738" t="s">
        <v>151</v>
      </c>
      <c r="J738" t="s">
        <v>148</v>
      </c>
      <c r="K738" s="5">
        <f>11 / 86400</f>
        <v>1.273148148148148E-4</v>
      </c>
      <c r="L738" s="5">
        <f>1442 / 86400</f>
        <v>1.6689814814814814E-2</v>
      </c>
    </row>
    <row r="739" spans="1:12" x14ac:dyDescent="0.25">
      <c r="A739" s="3">
        <v>45705.474965277783</v>
      </c>
      <c r="B739" t="s">
        <v>128</v>
      </c>
      <c r="C739" s="3">
        <v>45705.698252314818</v>
      </c>
      <c r="D739" t="s">
        <v>80</v>
      </c>
      <c r="E739" s="4">
        <v>94.34</v>
      </c>
      <c r="F739" s="4">
        <v>139029.511</v>
      </c>
      <c r="G739" s="4">
        <v>139123.851</v>
      </c>
      <c r="H739" s="5">
        <f>6218 / 86400</f>
        <v>7.1967592592592597E-2</v>
      </c>
      <c r="I739" t="s">
        <v>64</v>
      </c>
      <c r="J739" t="s">
        <v>23</v>
      </c>
      <c r="K739" s="5">
        <f>19292 / 86400</f>
        <v>0.22328703703703703</v>
      </c>
      <c r="L739" s="5">
        <f>723 / 86400</f>
        <v>8.3680555555555557E-3</v>
      </c>
    </row>
    <row r="740" spans="1:12" x14ac:dyDescent="0.25">
      <c r="A740" s="3">
        <v>45705.706620370373</v>
      </c>
      <c r="B740" t="s">
        <v>80</v>
      </c>
      <c r="C740" s="3">
        <v>45705.708472222221</v>
      </c>
      <c r="D740" t="s">
        <v>80</v>
      </c>
      <c r="E740" s="4">
        <v>0.115</v>
      </c>
      <c r="F740" s="4">
        <v>139123.851</v>
      </c>
      <c r="G740" s="4">
        <v>139123.96599999999</v>
      </c>
      <c r="H740" s="5">
        <f>79 / 86400</f>
        <v>9.1435185185185185E-4</v>
      </c>
      <c r="I740" t="s">
        <v>151</v>
      </c>
      <c r="J740" t="s">
        <v>84</v>
      </c>
      <c r="K740" s="5">
        <f>160 / 86400</f>
        <v>1.8518518518518519E-3</v>
      </c>
      <c r="L740" s="5">
        <f>203 / 86400</f>
        <v>2.3495370370370371E-3</v>
      </c>
    </row>
    <row r="741" spans="1:12" x14ac:dyDescent="0.25">
      <c r="A741" s="3">
        <v>45705.710821759261</v>
      </c>
      <c r="B741" t="s">
        <v>80</v>
      </c>
      <c r="C741" s="3">
        <v>45705.761377314819</v>
      </c>
      <c r="D741" t="s">
        <v>391</v>
      </c>
      <c r="E741" s="4">
        <v>26.963000000000001</v>
      </c>
      <c r="F741" s="4">
        <v>139123.96599999999</v>
      </c>
      <c r="G741" s="4">
        <v>139150.929</v>
      </c>
      <c r="H741" s="5">
        <f>1000 / 86400</f>
        <v>1.1574074074074073E-2</v>
      </c>
      <c r="I741" t="s">
        <v>26</v>
      </c>
      <c r="J741" t="s">
        <v>135</v>
      </c>
      <c r="K741" s="5">
        <f>4368 / 86400</f>
        <v>5.0555555555555555E-2</v>
      </c>
      <c r="L741" s="5">
        <f>275 / 86400</f>
        <v>3.1828703703703702E-3</v>
      </c>
    </row>
    <row r="742" spans="1:12" x14ac:dyDescent="0.25">
      <c r="A742" s="3">
        <v>45705.764560185184</v>
      </c>
      <c r="B742" t="s">
        <v>391</v>
      </c>
      <c r="C742" s="3">
        <v>45705.775370370371</v>
      </c>
      <c r="D742" t="s">
        <v>63</v>
      </c>
      <c r="E742" s="4">
        <v>2.4980000000000002</v>
      </c>
      <c r="F742" s="4">
        <v>139150.929</v>
      </c>
      <c r="G742" s="4">
        <v>139153.427</v>
      </c>
      <c r="H742" s="5">
        <f>459 / 86400</f>
        <v>5.3125000000000004E-3</v>
      </c>
      <c r="I742" t="s">
        <v>160</v>
      </c>
      <c r="J742" t="s">
        <v>118</v>
      </c>
      <c r="K742" s="5">
        <f>934 / 86400</f>
        <v>1.0810185185185185E-2</v>
      </c>
      <c r="L742" s="5">
        <f>19407 / 86400</f>
        <v>0.22461805555555556</v>
      </c>
    </row>
    <row r="743" spans="1:12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 spans="1:12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 spans="1:12" s="10" customFormat="1" ht="20.100000000000001" customHeight="1" x14ac:dyDescent="0.35">
      <c r="A745" s="12" t="s">
        <v>460</v>
      </c>
      <c r="B745" s="12"/>
      <c r="C745" s="12"/>
      <c r="D745" s="12"/>
      <c r="E745" s="12"/>
      <c r="F745" s="12"/>
      <c r="G745" s="12"/>
      <c r="H745" s="12"/>
      <c r="I745" s="12"/>
      <c r="J745" s="12"/>
    </row>
    <row r="746" spans="1:12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 spans="1:12" ht="30" x14ac:dyDescent="0.25">
      <c r="A747" s="2" t="s">
        <v>6</v>
      </c>
      <c r="B747" s="2" t="s">
        <v>7</v>
      </c>
      <c r="C747" s="2" t="s">
        <v>8</v>
      </c>
      <c r="D747" s="2" t="s">
        <v>9</v>
      </c>
      <c r="E747" s="2" t="s">
        <v>10</v>
      </c>
      <c r="F747" s="2" t="s">
        <v>11</v>
      </c>
      <c r="G747" s="2" t="s">
        <v>12</v>
      </c>
      <c r="H747" s="2" t="s">
        <v>13</v>
      </c>
      <c r="I747" s="2" t="s">
        <v>14</v>
      </c>
      <c r="J747" s="2" t="s">
        <v>15</v>
      </c>
      <c r="K747" s="2" t="s">
        <v>16</v>
      </c>
      <c r="L747" s="2" t="s">
        <v>17</v>
      </c>
    </row>
    <row r="748" spans="1:12" x14ac:dyDescent="0.25">
      <c r="A748" s="3">
        <v>45705.232997685191</v>
      </c>
      <c r="B748" t="s">
        <v>28</v>
      </c>
      <c r="C748" s="3">
        <v>45705.23746527778</v>
      </c>
      <c r="D748" t="s">
        <v>28</v>
      </c>
      <c r="E748" s="4">
        <v>0</v>
      </c>
      <c r="F748" s="4">
        <v>5969.549</v>
      </c>
      <c r="G748" s="4">
        <v>5969.549</v>
      </c>
      <c r="H748" s="5">
        <f>379 / 86400</f>
        <v>4.386574074074074E-3</v>
      </c>
      <c r="I748" t="s">
        <v>73</v>
      </c>
      <c r="J748" t="s">
        <v>73</v>
      </c>
      <c r="K748" s="5">
        <f>386 / 86400</f>
        <v>4.4675925925925924E-3</v>
      </c>
      <c r="L748" s="5">
        <f>23610 / 86400</f>
        <v>0.27326388888888886</v>
      </c>
    </row>
    <row r="749" spans="1:12" x14ac:dyDescent="0.25">
      <c r="A749" s="3">
        <v>45705.277731481481</v>
      </c>
      <c r="B749" t="s">
        <v>28</v>
      </c>
      <c r="C749" s="3">
        <v>45705.517685185187</v>
      </c>
      <c r="D749" t="s">
        <v>80</v>
      </c>
      <c r="E749" s="4">
        <v>83.656000000000006</v>
      </c>
      <c r="F749" s="4">
        <v>5969.549</v>
      </c>
      <c r="G749" s="4">
        <v>6053.2049999999999</v>
      </c>
      <c r="H749" s="5">
        <f>9560 / 86400</f>
        <v>0.11064814814814815</v>
      </c>
      <c r="I749" t="s">
        <v>222</v>
      </c>
      <c r="J749" t="s">
        <v>30</v>
      </c>
      <c r="K749" s="5">
        <f>20732 / 86400</f>
        <v>0.2399537037037037</v>
      </c>
      <c r="L749" s="5">
        <f>984 / 86400</f>
        <v>1.1388888888888889E-2</v>
      </c>
    </row>
    <row r="750" spans="1:12" x14ac:dyDescent="0.25">
      <c r="A750" s="3">
        <v>45705.529074074075</v>
      </c>
      <c r="B750" t="s">
        <v>161</v>
      </c>
      <c r="C750" s="3">
        <v>45705.529687499999</v>
      </c>
      <c r="D750" t="s">
        <v>161</v>
      </c>
      <c r="E750" s="4">
        <v>8.9999999999999993E-3</v>
      </c>
      <c r="F750" s="4">
        <v>6053.2049999999999</v>
      </c>
      <c r="G750" s="4">
        <v>6053.2139999999999</v>
      </c>
      <c r="H750" s="5">
        <f>19 / 86400</f>
        <v>2.199074074074074E-4</v>
      </c>
      <c r="I750" t="s">
        <v>144</v>
      </c>
      <c r="J750" t="s">
        <v>144</v>
      </c>
      <c r="K750" s="5">
        <f>53 / 86400</f>
        <v>6.134259259259259E-4</v>
      </c>
      <c r="L750" s="5">
        <f>397 / 86400</f>
        <v>4.5949074074074078E-3</v>
      </c>
    </row>
    <row r="751" spans="1:12" x14ac:dyDescent="0.25">
      <c r="A751" s="3">
        <v>45705.534282407403</v>
      </c>
      <c r="B751" t="s">
        <v>392</v>
      </c>
      <c r="C751" s="3">
        <v>45705.535428240742</v>
      </c>
      <c r="D751" t="s">
        <v>80</v>
      </c>
      <c r="E751" s="4">
        <v>0.215</v>
      </c>
      <c r="F751" s="4">
        <v>6053.2139999999999</v>
      </c>
      <c r="G751" s="4">
        <v>6053.4290000000001</v>
      </c>
      <c r="H751" s="5">
        <f>0 / 86400</f>
        <v>0</v>
      </c>
      <c r="I751" t="s">
        <v>135</v>
      </c>
      <c r="J751" t="s">
        <v>107</v>
      </c>
      <c r="K751" s="5">
        <f>99 / 86400</f>
        <v>1.1458333333333333E-3</v>
      </c>
      <c r="L751" s="5">
        <f>788 / 86400</f>
        <v>9.1203703703703707E-3</v>
      </c>
    </row>
    <row r="752" spans="1:12" x14ac:dyDescent="0.25">
      <c r="A752" s="3">
        <v>45705.544548611113</v>
      </c>
      <c r="B752" t="s">
        <v>80</v>
      </c>
      <c r="C752" s="3">
        <v>45705.548692129625</v>
      </c>
      <c r="D752" t="s">
        <v>128</v>
      </c>
      <c r="E752" s="4">
        <v>1.393</v>
      </c>
      <c r="F752" s="4">
        <v>6053.4290000000001</v>
      </c>
      <c r="G752" s="4">
        <v>6054.8220000000001</v>
      </c>
      <c r="H752" s="5">
        <f>19 / 86400</f>
        <v>2.199074074074074E-4</v>
      </c>
      <c r="I752" t="s">
        <v>117</v>
      </c>
      <c r="J752" t="s">
        <v>75</v>
      </c>
      <c r="K752" s="5">
        <f>358 / 86400</f>
        <v>4.1435185185185186E-3</v>
      </c>
      <c r="L752" s="5">
        <f>1391 / 86400</f>
        <v>1.6099537037037037E-2</v>
      </c>
    </row>
    <row r="753" spans="1:12" x14ac:dyDescent="0.25">
      <c r="A753" s="3">
        <v>45705.564791666664</v>
      </c>
      <c r="B753" t="s">
        <v>128</v>
      </c>
      <c r="C753" s="3">
        <v>45705.567870370374</v>
      </c>
      <c r="D753" t="s">
        <v>377</v>
      </c>
      <c r="E753" s="4">
        <v>0.67900000000000005</v>
      </c>
      <c r="F753" s="4">
        <v>6054.8220000000001</v>
      </c>
      <c r="G753" s="4">
        <v>6055.5010000000002</v>
      </c>
      <c r="H753" s="5">
        <f>60 / 86400</f>
        <v>6.9444444444444447E-4</v>
      </c>
      <c r="I753" t="s">
        <v>30</v>
      </c>
      <c r="J753" t="s">
        <v>133</v>
      </c>
      <c r="K753" s="5">
        <f>265 / 86400</f>
        <v>3.0671296296296297E-3</v>
      </c>
      <c r="L753" s="5">
        <f>2847 / 86400</f>
        <v>3.2951388888888891E-2</v>
      </c>
    </row>
    <row r="754" spans="1:12" x14ac:dyDescent="0.25">
      <c r="A754" s="3">
        <v>45705.600821759261</v>
      </c>
      <c r="B754" t="s">
        <v>377</v>
      </c>
      <c r="C754" s="3">
        <v>45705.805405092593</v>
      </c>
      <c r="D754" t="s">
        <v>393</v>
      </c>
      <c r="E754" s="4">
        <v>61.247</v>
      </c>
      <c r="F754" s="4">
        <v>6055.5010000000002</v>
      </c>
      <c r="G754" s="4">
        <v>6116.7479999999996</v>
      </c>
      <c r="H754" s="5">
        <f>9347 / 86400</f>
        <v>0.10818287037037037</v>
      </c>
      <c r="I754" t="s">
        <v>65</v>
      </c>
      <c r="J754" t="s">
        <v>162</v>
      </c>
      <c r="K754" s="5">
        <f>17676 / 86400</f>
        <v>0.20458333333333334</v>
      </c>
      <c r="L754" s="5">
        <f>64 / 86400</f>
        <v>7.407407407407407E-4</v>
      </c>
    </row>
    <row r="755" spans="1:12" x14ac:dyDescent="0.25">
      <c r="A755" s="3">
        <v>45705.806145833332</v>
      </c>
      <c r="B755" t="s">
        <v>393</v>
      </c>
      <c r="C755" s="3">
        <v>45705.908622685187</v>
      </c>
      <c r="D755" t="s">
        <v>24</v>
      </c>
      <c r="E755" s="4">
        <v>24.31</v>
      </c>
      <c r="F755" s="4">
        <v>6116.7479999999996</v>
      </c>
      <c r="G755" s="4">
        <v>6141.058</v>
      </c>
      <c r="H755" s="5">
        <f>5361 / 86400</f>
        <v>6.204861111111111E-2</v>
      </c>
      <c r="I755" t="s">
        <v>159</v>
      </c>
      <c r="J755" t="s">
        <v>118</v>
      </c>
      <c r="K755" s="5">
        <f>8854 / 86400</f>
        <v>0.10247685185185185</v>
      </c>
      <c r="L755" s="5">
        <f>735 / 86400</f>
        <v>8.5069444444444437E-3</v>
      </c>
    </row>
    <row r="756" spans="1:12" x14ac:dyDescent="0.25">
      <c r="A756" s="3">
        <v>45705.917129629626</v>
      </c>
      <c r="B756" t="s">
        <v>24</v>
      </c>
      <c r="C756" s="3">
        <v>45705.921435185184</v>
      </c>
      <c r="D756" t="s">
        <v>28</v>
      </c>
      <c r="E756" s="4">
        <v>0.47399999999999998</v>
      </c>
      <c r="F756" s="4">
        <v>6141.058</v>
      </c>
      <c r="G756" s="4">
        <v>6141.5320000000002</v>
      </c>
      <c r="H756" s="5">
        <f>200 / 86400</f>
        <v>2.3148148148148147E-3</v>
      </c>
      <c r="I756" t="s">
        <v>62</v>
      </c>
      <c r="J756" t="s">
        <v>142</v>
      </c>
      <c r="K756" s="5">
        <f>371 / 86400</f>
        <v>4.2939814814814811E-3</v>
      </c>
      <c r="L756" s="5">
        <f>6787 / 86400</f>
        <v>7.8553240740740743E-2</v>
      </c>
    </row>
    <row r="757" spans="1:12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2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 spans="1:12" s="10" customFormat="1" ht="20.100000000000001" customHeight="1" x14ac:dyDescent="0.35">
      <c r="A759" s="12" t="s">
        <v>461</v>
      </c>
      <c r="B759" s="12"/>
      <c r="C759" s="12"/>
      <c r="D759" s="12"/>
      <c r="E759" s="12"/>
      <c r="F759" s="12"/>
      <c r="G759" s="12"/>
      <c r="H759" s="12"/>
      <c r="I759" s="12"/>
      <c r="J759" s="12"/>
    </row>
    <row r="760" spans="1:12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 spans="1:12" ht="30" x14ac:dyDescent="0.25">
      <c r="A761" s="2" t="s">
        <v>6</v>
      </c>
      <c r="B761" s="2" t="s">
        <v>7</v>
      </c>
      <c r="C761" s="2" t="s">
        <v>8</v>
      </c>
      <c r="D761" s="2" t="s">
        <v>9</v>
      </c>
      <c r="E761" s="2" t="s">
        <v>10</v>
      </c>
      <c r="F761" s="2" t="s">
        <v>11</v>
      </c>
      <c r="G761" s="2" t="s">
        <v>12</v>
      </c>
      <c r="H761" s="2" t="s">
        <v>13</v>
      </c>
      <c r="I761" s="2" t="s">
        <v>14</v>
      </c>
      <c r="J761" s="2" t="s">
        <v>15</v>
      </c>
      <c r="K761" s="2" t="s">
        <v>16</v>
      </c>
      <c r="L761" s="2" t="s">
        <v>17</v>
      </c>
    </row>
    <row r="762" spans="1:12" x14ac:dyDescent="0.25">
      <c r="A762" s="3">
        <v>45705.209178240737</v>
      </c>
      <c r="B762" t="s">
        <v>39</v>
      </c>
      <c r="C762" s="3">
        <v>45705.412499999999</v>
      </c>
      <c r="D762" t="s">
        <v>80</v>
      </c>
      <c r="E762" s="4">
        <v>80.58</v>
      </c>
      <c r="F762" s="4">
        <v>387555.06300000002</v>
      </c>
      <c r="G762" s="4">
        <v>387635.64299999998</v>
      </c>
      <c r="H762" s="5">
        <f>5799 / 86400</f>
        <v>6.7118055555555556E-2</v>
      </c>
      <c r="I762" t="s">
        <v>97</v>
      </c>
      <c r="J762" t="s">
        <v>32</v>
      </c>
      <c r="K762" s="5">
        <f>17566 / 86400</f>
        <v>0.20331018518518518</v>
      </c>
      <c r="L762" s="5">
        <f>18236 / 86400</f>
        <v>0.21106481481481482</v>
      </c>
    </row>
    <row r="763" spans="1:12" x14ac:dyDescent="0.25">
      <c r="A763" s="3">
        <v>45705.414386574077</v>
      </c>
      <c r="B763" t="s">
        <v>80</v>
      </c>
      <c r="C763" s="3">
        <v>45705.4144212963</v>
      </c>
      <c r="D763" t="s">
        <v>80</v>
      </c>
      <c r="E763" s="4">
        <v>0</v>
      </c>
      <c r="F763" s="4">
        <v>387635.64299999998</v>
      </c>
      <c r="G763" s="4">
        <v>387635.64299999998</v>
      </c>
      <c r="H763" s="5">
        <f>0 / 86400</f>
        <v>0</v>
      </c>
      <c r="I763" t="s">
        <v>73</v>
      </c>
      <c r="J763" t="s">
        <v>73</v>
      </c>
      <c r="K763" s="5">
        <f>2 / 86400</f>
        <v>2.3148148148148147E-5</v>
      </c>
      <c r="L763" s="5">
        <f>1939 / 86400</f>
        <v>2.2442129629629631E-2</v>
      </c>
    </row>
    <row r="764" spans="1:12" x14ac:dyDescent="0.25">
      <c r="A764" s="3">
        <v>45705.43686342593</v>
      </c>
      <c r="B764" t="s">
        <v>93</v>
      </c>
      <c r="C764" s="3">
        <v>45705.436886574069</v>
      </c>
      <c r="D764" t="s">
        <v>93</v>
      </c>
      <c r="E764" s="4">
        <v>0</v>
      </c>
      <c r="F764" s="4">
        <v>387635.64299999998</v>
      </c>
      <c r="G764" s="4">
        <v>387635.64299999998</v>
      </c>
      <c r="H764" s="5">
        <f>0 / 86400</f>
        <v>0</v>
      </c>
      <c r="I764" t="s">
        <v>73</v>
      </c>
      <c r="J764" t="s">
        <v>73</v>
      </c>
      <c r="K764" s="5">
        <f>1 / 86400</f>
        <v>1.1574074074074073E-5</v>
      </c>
      <c r="L764" s="5">
        <f>26 / 86400</f>
        <v>3.0092592592592595E-4</v>
      </c>
    </row>
    <row r="765" spans="1:12" x14ac:dyDescent="0.25">
      <c r="A765" s="3">
        <v>45705.4371875</v>
      </c>
      <c r="B765" t="s">
        <v>93</v>
      </c>
      <c r="C765" s="3">
        <v>45705.437372685185</v>
      </c>
      <c r="D765" t="s">
        <v>93</v>
      </c>
      <c r="E765" s="4">
        <v>0</v>
      </c>
      <c r="F765" s="4">
        <v>387635.64299999998</v>
      </c>
      <c r="G765" s="4">
        <v>387635.64299999998</v>
      </c>
      <c r="H765" s="5">
        <f>0 / 86400</f>
        <v>0</v>
      </c>
      <c r="I765" t="s">
        <v>73</v>
      </c>
      <c r="J765" t="s">
        <v>73</v>
      </c>
      <c r="K765" s="5">
        <f>16 / 86400</f>
        <v>1.8518518518518518E-4</v>
      </c>
      <c r="L765" s="5">
        <f>19 / 86400</f>
        <v>2.199074074074074E-4</v>
      </c>
    </row>
    <row r="766" spans="1:12" x14ac:dyDescent="0.25">
      <c r="A766" s="3">
        <v>45705.437592592592</v>
      </c>
      <c r="B766" t="s">
        <v>93</v>
      </c>
      <c r="C766" s="3">
        <v>45705.437708333338</v>
      </c>
      <c r="D766" t="s">
        <v>93</v>
      </c>
      <c r="E766" s="4">
        <v>0</v>
      </c>
      <c r="F766" s="4">
        <v>387635.64299999998</v>
      </c>
      <c r="G766" s="4">
        <v>387635.64299999998</v>
      </c>
      <c r="H766" s="5">
        <f>0 / 86400</f>
        <v>0</v>
      </c>
      <c r="I766" t="s">
        <v>73</v>
      </c>
      <c r="J766" t="s">
        <v>73</v>
      </c>
      <c r="K766" s="5">
        <f>9 / 86400</f>
        <v>1.0416666666666667E-4</v>
      </c>
      <c r="L766" s="5">
        <f>129 / 86400</f>
        <v>1.4930555555555556E-3</v>
      </c>
    </row>
    <row r="767" spans="1:12" x14ac:dyDescent="0.25">
      <c r="A767" s="3">
        <v>45705.439201388886</v>
      </c>
      <c r="B767" t="s">
        <v>93</v>
      </c>
      <c r="C767" s="3">
        <v>45705.43954861111</v>
      </c>
      <c r="D767" t="s">
        <v>93</v>
      </c>
      <c r="E767" s="4">
        <v>0</v>
      </c>
      <c r="F767" s="4">
        <v>387635.64299999998</v>
      </c>
      <c r="G767" s="4">
        <v>387635.64299999998</v>
      </c>
      <c r="H767" s="5">
        <f>19 / 86400</f>
        <v>2.199074074074074E-4</v>
      </c>
      <c r="I767" t="s">
        <v>73</v>
      </c>
      <c r="J767" t="s">
        <v>73</v>
      </c>
      <c r="K767" s="5">
        <f>29 / 86400</f>
        <v>3.3564814814814812E-4</v>
      </c>
      <c r="L767" s="5">
        <f>23 / 86400</f>
        <v>2.6620370370370372E-4</v>
      </c>
    </row>
    <row r="768" spans="1:12" x14ac:dyDescent="0.25">
      <c r="A768" s="3">
        <v>45705.439814814818</v>
      </c>
      <c r="B768" t="s">
        <v>93</v>
      </c>
      <c r="C768" s="3">
        <v>45705.447326388894</v>
      </c>
      <c r="D768" t="s">
        <v>94</v>
      </c>
      <c r="E768" s="4">
        <v>0.92400000000000004</v>
      </c>
      <c r="F768" s="4">
        <v>387635.64299999998</v>
      </c>
      <c r="G768" s="4">
        <v>387636.56699999998</v>
      </c>
      <c r="H768" s="5">
        <f>419 / 86400</f>
        <v>4.8495370370370368E-3</v>
      </c>
      <c r="I768" t="s">
        <v>294</v>
      </c>
      <c r="J768" t="s">
        <v>142</v>
      </c>
      <c r="K768" s="5">
        <f>649 / 86400</f>
        <v>7.5115740740740742E-3</v>
      </c>
      <c r="L768" s="5">
        <f>1779 / 86400</f>
        <v>2.0590277777777777E-2</v>
      </c>
    </row>
    <row r="769" spans="1:12" x14ac:dyDescent="0.25">
      <c r="A769" s="3">
        <v>45705.467916666668</v>
      </c>
      <c r="B769" t="s">
        <v>94</v>
      </c>
      <c r="C769" s="3">
        <v>45705.468587962961</v>
      </c>
      <c r="D769" t="s">
        <v>94</v>
      </c>
      <c r="E769" s="4">
        <v>9.9000000000000005E-2</v>
      </c>
      <c r="F769" s="4">
        <v>387636.56699999998</v>
      </c>
      <c r="G769" s="4">
        <v>387636.66600000003</v>
      </c>
      <c r="H769" s="5">
        <f>0 / 86400</f>
        <v>0</v>
      </c>
      <c r="I769" t="s">
        <v>162</v>
      </c>
      <c r="J769" t="s">
        <v>153</v>
      </c>
      <c r="K769" s="5">
        <f>58 / 86400</f>
        <v>6.7129629629629625E-4</v>
      </c>
      <c r="L769" s="5">
        <f>489 / 86400</f>
        <v>5.6597222222222222E-3</v>
      </c>
    </row>
    <row r="770" spans="1:12" x14ac:dyDescent="0.25">
      <c r="A770" s="3">
        <v>45705.474247685182</v>
      </c>
      <c r="B770" t="s">
        <v>94</v>
      </c>
      <c r="C770" s="3">
        <v>45705.603425925925</v>
      </c>
      <c r="D770" t="s">
        <v>260</v>
      </c>
      <c r="E770" s="4">
        <v>48.488</v>
      </c>
      <c r="F770" s="4">
        <v>387636.66600000003</v>
      </c>
      <c r="G770" s="4">
        <v>387685.15399999998</v>
      </c>
      <c r="H770" s="5">
        <f>4280 / 86400</f>
        <v>4.9537037037037039E-2</v>
      </c>
      <c r="I770" t="s">
        <v>60</v>
      </c>
      <c r="J770" t="s">
        <v>62</v>
      </c>
      <c r="K770" s="5">
        <f>11160 / 86400</f>
        <v>0.12916666666666668</v>
      </c>
      <c r="L770" s="5">
        <f>61 / 86400</f>
        <v>7.0601851851851847E-4</v>
      </c>
    </row>
    <row r="771" spans="1:12" x14ac:dyDescent="0.25">
      <c r="A771" s="3">
        <v>45705.604131944448</v>
      </c>
      <c r="B771" t="s">
        <v>260</v>
      </c>
      <c r="C771" s="3">
        <v>45705.724108796298</v>
      </c>
      <c r="D771" t="s">
        <v>39</v>
      </c>
      <c r="E771" s="4">
        <v>56.453000000000003</v>
      </c>
      <c r="F771" s="4">
        <v>387685.15399999998</v>
      </c>
      <c r="G771" s="4">
        <v>387741.60700000002</v>
      </c>
      <c r="H771" s="5">
        <f>3160 / 86400</f>
        <v>3.6574074074074071E-2</v>
      </c>
      <c r="I771" t="s">
        <v>180</v>
      </c>
      <c r="J771" t="s">
        <v>20</v>
      </c>
      <c r="K771" s="5">
        <f>10366 / 86400</f>
        <v>0.11997685185185185</v>
      </c>
      <c r="L771" s="5">
        <f>571 / 86400</f>
        <v>6.6087962962962966E-3</v>
      </c>
    </row>
    <row r="772" spans="1:12" x14ac:dyDescent="0.25">
      <c r="A772" s="3">
        <v>45705.730717592596</v>
      </c>
      <c r="B772" t="s">
        <v>39</v>
      </c>
      <c r="C772" s="3">
        <v>45705.743622685186</v>
      </c>
      <c r="D772" t="s">
        <v>174</v>
      </c>
      <c r="E772" s="4">
        <v>6.87</v>
      </c>
      <c r="F772" s="4">
        <v>387741.60700000002</v>
      </c>
      <c r="G772" s="4">
        <v>387748.47700000001</v>
      </c>
      <c r="H772" s="5">
        <f>180 / 86400</f>
        <v>2.0833333333333333E-3</v>
      </c>
      <c r="I772" t="s">
        <v>218</v>
      </c>
      <c r="J772" t="s">
        <v>135</v>
      </c>
      <c r="K772" s="5">
        <f>1115 / 86400</f>
        <v>1.2905092592592593E-2</v>
      </c>
      <c r="L772" s="5">
        <f>2097 / 86400</f>
        <v>2.4270833333333332E-2</v>
      </c>
    </row>
    <row r="773" spans="1:12" x14ac:dyDescent="0.25">
      <c r="A773" s="3">
        <v>45705.767893518518</v>
      </c>
      <c r="B773" t="s">
        <v>174</v>
      </c>
      <c r="C773" s="3">
        <v>45705.767905092594</v>
      </c>
      <c r="D773" t="s">
        <v>174</v>
      </c>
      <c r="E773" s="4">
        <v>0</v>
      </c>
      <c r="F773" s="4">
        <v>387748.47700000001</v>
      </c>
      <c r="G773" s="4">
        <v>387748.47700000001</v>
      </c>
      <c r="H773" s="5">
        <f>0 / 86400</f>
        <v>0</v>
      </c>
      <c r="I773" t="s">
        <v>73</v>
      </c>
      <c r="J773" t="s">
        <v>73</v>
      </c>
      <c r="K773" s="5">
        <f>0 / 86400</f>
        <v>0</v>
      </c>
      <c r="L773" s="5">
        <f>1 / 86400</f>
        <v>1.1574074074074073E-5</v>
      </c>
    </row>
    <row r="774" spans="1:12" x14ac:dyDescent="0.25">
      <c r="A774" s="3">
        <v>45705.767916666664</v>
      </c>
      <c r="B774" t="s">
        <v>174</v>
      </c>
      <c r="C774" s="3">
        <v>45705.767939814818</v>
      </c>
      <c r="D774" t="s">
        <v>174</v>
      </c>
      <c r="E774" s="4">
        <v>0</v>
      </c>
      <c r="F774" s="4">
        <v>387748.47700000001</v>
      </c>
      <c r="G774" s="4">
        <v>387748.47700000001</v>
      </c>
      <c r="H774" s="5">
        <f>0 / 86400</f>
        <v>0</v>
      </c>
      <c r="I774" t="s">
        <v>73</v>
      </c>
      <c r="J774" t="s">
        <v>73</v>
      </c>
      <c r="K774" s="5">
        <f>2 / 86400</f>
        <v>2.3148148148148147E-5</v>
      </c>
      <c r="L774" s="5">
        <f>72 / 86400</f>
        <v>8.3333333333333339E-4</v>
      </c>
    </row>
    <row r="775" spans="1:12" x14ac:dyDescent="0.25">
      <c r="A775" s="3">
        <v>45705.768773148149</v>
      </c>
      <c r="B775" t="s">
        <v>174</v>
      </c>
      <c r="C775" s="3">
        <v>45705.768854166672</v>
      </c>
      <c r="D775" t="s">
        <v>174</v>
      </c>
      <c r="E775" s="4">
        <v>0</v>
      </c>
      <c r="F775" s="4">
        <v>387748.47700000001</v>
      </c>
      <c r="G775" s="4">
        <v>387748.47700000001</v>
      </c>
      <c r="H775" s="5">
        <f>0 / 86400</f>
        <v>0</v>
      </c>
      <c r="I775" t="s">
        <v>73</v>
      </c>
      <c r="J775" t="s">
        <v>73</v>
      </c>
      <c r="K775" s="5">
        <f>6 / 86400</f>
        <v>6.9444444444444444E-5</v>
      </c>
      <c r="L775" s="5">
        <f>106 / 86400</f>
        <v>1.2268518518518518E-3</v>
      </c>
    </row>
    <row r="776" spans="1:12" x14ac:dyDescent="0.25">
      <c r="A776" s="3">
        <v>45705.77008101852</v>
      </c>
      <c r="B776" t="s">
        <v>174</v>
      </c>
      <c r="C776" s="3">
        <v>45705.788356481484</v>
      </c>
      <c r="D776" t="s">
        <v>39</v>
      </c>
      <c r="E776" s="4">
        <v>5.1920000000000002</v>
      </c>
      <c r="F776" s="4">
        <v>387748.47700000001</v>
      </c>
      <c r="G776" s="4">
        <v>387753.66899999999</v>
      </c>
      <c r="H776" s="5">
        <f>659 / 86400</f>
        <v>7.6273148148148151E-3</v>
      </c>
      <c r="I776" t="s">
        <v>294</v>
      </c>
      <c r="J776" t="s">
        <v>162</v>
      </c>
      <c r="K776" s="5">
        <f>1578 / 86400</f>
        <v>1.8263888888888889E-2</v>
      </c>
      <c r="L776" s="5">
        <f>18285 / 86400</f>
        <v>0.21163194444444444</v>
      </c>
    </row>
    <row r="777" spans="1:12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 spans="1:12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 spans="1:12" s="10" customFormat="1" ht="20.100000000000001" customHeight="1" x14ac:dyDescent="0.35">
      <c r="A779" s="12" t="s">
        <v>462</v>
      </c>
      <c r="B779" s="12"/>
      <c r="C779" s="12"/>
      <c r="D779" s="12"/>
      <c r="E779" s="12"/>
      <c r="F779" s="12"/>
      <c r="G779" s="12"/>
      <c r="H779" s="12"/>
      <c r="I779" s="12"/>
      <c r="J779" s="12"/>
    </row>
    <row r="780" spans="1:12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 spans="1:12" ht="30" x14ac:dyDescent="0.25">
      <c r="A781" s="2" t="s">
        <v>6</v>
      </c>
      <c r="B781" s="2" t="s">
        <v>7</v>
      </c>
      <c r="C781" s="2" t="s">
        <v>8</v>
      </c>
      <c r="D781" s="2" t="s">
        <v>9</v>
      </c>
      <c r="E781" s="2" t="s">
        <v>10</v>
      </c>
      <c r="F781" s="2" t="s">
        <v>11</v>
      </c>
      <c r="G781" s="2" t="s">
        <v>12</v>
      </c>
      <c r="H781" s="2" t="s">
        <v>13</v>
      </c>
      <c r="I781" s="2" t="s">
        <v>14</v>
      </c>
      <c r="J781" s="2" t="s">
        <v>15</v>
      </c>
      <c r="K781" s="2" t="s">
        <v>16</v>
      </c>
      <c r="L781" s="2" t="s">
        <v>17</v>
      </c>
    </row>
    <row r="782" spans="1:12" x14ac:dyDescent="0.25">
      <c r="A782" s="3">
        <v>45705.146643518514</v>
      </c>
      <c r="B782" t="s">
        <v>67</v>
      </c>
      <c r="C782" s="3">
        <v>45705.312384259261</v>
      </c>
      <c r="D782" t="s">
        <v>130</v>
      </c>
      <c r="E782" s="4">
        <v>81.626000000000005</v>
      </c>
      <c r="F782" s="4">
        <v>524025.875</v>
      </c>
      <c r="G782" s="4">
        <v>524107.50099999999</v>
      </c>
      <c r="H782" s="5">
        <f>4020 / 86400</f>
        <v>4.6527777777777779E-2</v>
      </c>
      <c r="I782" t="s">
        <v>58</v>
      </c>
      <c r="J782" t="s">
        <v>38</v>
      </c>
      <c r="K782" s="5">
        <f>14320 / 86400</f>
        <v>0.16574074074074074</v>
      </c>
      <c r="L782" s="5">
        <f>13653 / 86400</f>
        <v>0.15802083333333333</v>
      </c>
    </row>
    <row r="783" spans="1:12" x14ac:dyDescent="0.25">
      <c r="A783" s="3">
        <v>45705.323761574073</v>
      </c>
      <c r="B783" t="s">
        <v>130</v>
      </c>
      <c r="C783" s="3">
        <v>45705.433368055557</v>
      </c>
      <c r="D783" t="s">
        <v>329</v>
      </c>
      <c r="E783" s="4">
        <v>50.994999999999997</v>
      </c>
      <c r="F783" s="4">
        <v>524107.50099999999</v>
      </c>
      <c r="G783" s="4">
        <v>524158.49599999998</v>
      </c>
      <c r="H783" s="5">
        <f>2220 / 86400</f>
        <v>2.5694444444444443E-2</v>
      </c>
      <c r="I783" t="s">
        <v>42</v>
      </c>
      <c r="J783" t="s">
        <v>27</v>
      </c>
      <c r="K783" s="5">
        <f>9469 / 86400</f>
        <v>0.1095949074074074</v>
      </c>
      <c r="L783" s="5">
        <f>457 / 86400</f>
        <v>5.2893518518518515E-3</v>
      </c>
    </row>
    <row r="784" spans="1:12" x14ac:dyDescent="0.25">
      <c r="A784" s="3">
        <v>45705.438657407409</v>
      </c>
      <c r="B784" t="s">
        <v>329</v>
      </c>
      <c r="C784" s="3">
        <v>45705.438692129625</v>
      </c>
      <c r="D784" t="s">
        <v>329</v>
      </c>
      <c r="E784" s="4">
        <v>0</v>
      </c>
      <c r="F784" s="4">
        <v>524158.49599999998</v>
      </c>
      <c r="G784" s="4">
        <v>524158.49599999998</v>
      </c>
      <c r="H784" s="5">
        <f>0 / 86400</f>
        <v>0</v>
      </c>
      <c r="I784" t="s">
        <v>73</v>
      </c>
      <c r="J784" t="s">
        <v>73</v>
      </c>
      <c r="K784" s="5">
        <f>2 / 86400</f>
        <v>2.3148148148148147E-5</v>
      </c>
      <c r="L784" s="5">
        <f>5 / 86400</f>
        <v>5.7870370370370373E-5</v>
      </c>
    </row>
    <row r="785" spans="1:12" x14ac:dyDescent="0.25">
      <c r="A785" s="3">
        <v>45705.438750000001</v>
      </c>
      <c r="B785" t="s">
        <v>329</v>
      </c>
      <c r="C785" s="3">
        <v>45705.438784722224</v>
      </c>
      <c r="D785" t="s">
        <v>329</v>
      </c>
      <c r="E785" s="4">
        <v>0</v>
      </c>
      <c r="F785" s="4">
        <v>524158.49599999998</v>
      </c>
      <c r="G785" s="4">
        <v>524158.49599999998</v>
      </c>
      <c r="H785" s="5">
        <f>0 / 86400</f>
        <v>0</v>
      </c>
      <c r="I785" t="s">
        <v>73</v>
      </c>
      <c r="J785" t="s">
        <v>73</v>
      </c>
      <c r="K785" s="5">
        <f>3 / 86400</f>
        <v>3.4722222222222222E-5</v>
      </c>
      <c r="L785" s="5">
        <f>38 / 86400</f>
        <v>4.3981481481481481E-4</v>
      </c>
    </row>
    <row r="786" spans="1:12" x14ac:dyDescent="0.25">
      <c r="A786" s="3">
        <v>45705.43922453704</v>
      </c>
      <c r="B786" t="s">
        <v>329</v>
      </c>
      <c r="C786" s="3">
        <v>45705.439247685186</v>
      </c>
      <c r="D786" t="s">
        <v>329</v>
      </c>
      <c r="E786" s="4">
        <v>0</v>
      </c>
      <c r="F786" s="4">
        <v>524158.49599999998</v>
      </c>
      <c r="G786" s="4">
        <v>524158.49599999998</v>
      </c>
      <c r="H786" s="5">
        <f>0 / 86400</f>
        <v>0</v>
      </c>
      <c r="I786" t="s">
        <v>73</v>
      </c>
      <c r="J786" t="s">
        <v>73</v>
      </c>
      <c r="K786" s="5">
        <f>2 / 86400</f>
        <v>2.3148148148148147E-5</v>
      </c>
      <c r="L786" s="5">
        <f>45 / 86400</f>
        <v>5.2083333333333333E-4</v>
      </c>
    </row>
    <row r="787" spans="1:12" x14ac:dyDescent="0.25">
      <c r="A787" s="3">
        <v>45705.439768518518</v>
      </c>
      <c r="B787" t="s">
        <v>329</v>
      </c>
      <c r="C787" s="3">
        <v>45705.439791666664</v>
      </c>
      <c r="D787" t="s">
        <v>329</v>
      </c>
      <c r="E787" s="4">
        <v>0</v>
      </c>
      <c r="F787" s="4">
        <v>524158.49599999998</v>
      </c>
      <c r="G787" s="4">
        <v>524158.49599999998</v>
      </c>
      <c r="H787" s="5">
        <f>0 / 86400</f>
        <v>0</v>
      </c>
      <c r="I787" t="s">
        <v>73</v>
      </c>
      <c r="J787" t="s">
        <v>73</v>
      </c>
      <c r="K787" s="5">
        <f>2 / 86400</f>
        <v>2.3148148148148147E-5</v>
      </c>
      <c r="L787" s="5">
        <f>298 / 86400</f>
        <v>3.449074074074074E-3</v>
      </c>
    </row>
    <row r="788" spans="1:12" x14ac:dyDescent="0.25">
      <c r="A788" s="3">
        <v>45705.443240740744</v>
      </c>
      <c r="B788" t="s">
        <v>329</v>
      </c>
      <c r="C788" s="3">
        <v>45705.572222222225</v>
      </c>
      <c r="D788" t="s">
        <v>80</v>
      </c>
      <c r="E788" s="4">
        <v>50.515000000000001</v>
      </c>
      <c r="F788" s="4">
        <v>524158.49599999998</v>
      </c>
      <c r="G788" s="4">
        <v>524209.011</v>
      </c>
      <c r="H788" s="5">
        <f>3799 / 86400</f>
        <v>4.3969907407407409E-2</v>
      </c>
      <c r="I788" t="s">
        <v>47</v>
      </c>
      <c r="J788" t="s">
        <v>62</v>
      </c>
      <c r="K788" s="5">
        <f>11143 / 86400</f>
        <v>0.12896990740740741</v>
      </c>
      <c r="L788" s="5">
        <f>2985 / 86400</f>
        <v>3.4548611111111113E-2</v>
      </c>
    </row>
    <row r="789" spans="1:12" x14ac:dyDescent="0.25">
      <c r="A789" s="3">
        <v>45705.606770833328</v>
      </c>
      <c r="B789" t="s">
        <v>80</v>
      </c>
      <c r="C789" s="3">
        <v>45705.608263888891</v>
      </c>
      <c r="D789" t="s">
        <v>80</v>
      </c>
      <c r="E789" s="4">
        <v>0</v>
      </c>
      <c r="F789" s="4">
        <v>524209.011</v>
      </c>
      <c r="G789" s="4">
        <v>524209.011</v>
      </c>
      <c r="H789" s="5">
        <f>119 / 86400</f>
        <v>1.3773148148148147E-3</v>
      </c>
      <c r="I789" t="s">
        <v>73</v>
      </c>
      <c r="J789" t="s">
        <v>73</v>
      </c>
      <c r="K789" s="5">
        <f>128 / 86400</f>
        <v>1.4814814814814814E-3</v>
      </c>
      <c r="L789" s="5">
        <f>93 / 86400</f>
        <v>1.0763888888888889E-3</v>
      </c>
    </row>
    <row r="790" spans="1:12" x14ac:dyDescent="0.25">
      <c r="A790" s="3">
        <v>45705.609340277777</v>
      </c>
      <c r="B790" t="s">
        <v>80</v>
      </c>
      <c r="C790" s="3">
        <v>45705.609421296293</v>
      </c>
      <c r="D790" t="s">
        <v>80</v>
      </c>
      <c r="E790" s="4">
        <v>0</v>
      </c>
      <c r="F790" s="4">
        <v>524209.011</v>
      </c>
      <c r="G790" s="4">
        <v>524209.011</v>
      </c>
      <c r="H790" s="5">
        <f>0 / 86400</f>
        <v>0</v>
      </c>
      <c r="I790" t="s">
        <v>73</v>
      </c>
      <c r="J790" t="s">
        <v>73</v>
      </c>
      <c r="K790" s="5">
        <f>7 / 86400</f>
        <v>8.1018518518518516E-5</v>
      </c>
      <c r="L790" s="5">
        <f>404 / 86400</f>
        <v>4.6759259259259263E-3</v>
      </c>
    </row>
    <row r="791" spans="1:12" x14ac:dyDescent="0.25">
      <c r="A791" s="3">
        <v>45705.61409722222</v>
      </c>
      <c r="B791" t="s">
        <v>80</v>
      </c>
      <c r="C791" s="3">
        <v>45705.657152777778</v>
      </c>
      <c r="D791" t="s">
        <v>166</v>
      </c>
      <c r="E791" s="4">
        <v>25.736000000000001</v>
      </c>
      <c r="F791" s="4">
        <v>524209.011</v>
      </c>
      <c r="G791" s="4">
        <v>524234.74699999997</v>
      </c>
      <c r="H791" s="5">
        <f>539 / 86400</f>
        <v>6.2384259259259259E-3</v>
      </c>
      <c r="I791" t="s">
        <v>61</v>
      </c>
      <c r="J791" t="s">
        <v>163</v>
      </c>
      <c r="K791" s="5">
        <f>3720 / 86400</f>
        <v>4.3055555555555555E-2</v>
      </c>
      <c r="L791" s="5">
        <f>1846 / 86400</f>
        <v>2.1365740740740741E-2</v>
      </c>
    </row>
    <row r="792" spans="1:12" x14ac:dyDescent="0.25">
      <c r="A792" s="3">
        <v>45705.678518518514</v>
      </c>
      <c r="B792" t="s">
        <v>166</v>
      </c>
      <c r="C792" s="3">
        <v>45705.688738425924</v>
      </c>
      <c r="D792" t="s">
        <v>205</v>
      </c>
      <c r="E792" s="4">
        <v>1.671</v>
      </c>
      <c r="F792" s="4">
        <v>524234.74699999997</v>
      </c>
      <c r="G792" s="4">
        <v>524236.41800000001</v>
      </c>
      <c r="H792" s="5">
        <f>500 / 86400</f>
        <v>5.7870370370370367E-3</v>
      </c>
      <c r="I792" t="s">
        <v>288</v>
      </c>
      <c r="J792" t="s">
        <v>151</v>
      </c>
      <c r="K792" s="5">
        <f>883 / 86400</f>
        <v>1.0219907407407407E-2</v>
      </c>
      <c r="L792" s="5">
        <f>915 / 86400</f>
        <v>1.0590277777777778E-2</v>
      </c>
    </row>
    <row r="793" spans="1:12" x14ac:dyDescent="0.25">
      <c r="A793" s="3">
        <v>45705.699328703704</v>
      </c>
      <c r="B793" t="s">
        <v>205</v>
      </c>
      <c r="C793" s="3">
        <v>45705.702256944445</v>
      </c>
      <c r="D793" t="s">
        <v>67</v>
      </c>
      <c r="E793" s="4">
        <v>0.375</v>
      </c>
      <c r="F793" s="4">
        <v>524236.41800000001</v>
      </c>
      <c r="G793" s="4">
        <v>524236.79300000001</v>
      </c>
      <c r="H793" s="5">
        <f>120 / 86400</f>
        <v>1.3888888888888889E-3</v>
      </c>
      <c r="I793" t="s">
        <v>20</v>
      </c>
      <c r="J793" t="s">
        <v>142</v>
      </c>
      <c r="K793" s="5">
        <f>253 / 86400</f>
        <v>2.9282407407407408E-3</v>
      </c>
      <c r="L793" s="5">
        <f>347 / 86400</f>
        <v>4.0162037037037041E-3</v>
      </c>
    </row>
    <row r="794" spans="1:12" x14ac:dyDescent="0.25">
      <c r="A794" s="3">
        <v>45705.706273148149</v>
      </c>
      <c r="B794" t="s">
        <v>67</v>
      </c>
      <c r="C794" s="3">
        <v>45705.711284722223</v>
      </c>
      <c r="D794" t="s">
        <v>201</v>
      </c>
      <c r="E794" s="4">
        <v>1.0760000000000001</v>
      </c>
      <c r="F794" s="4">
        <v>524236.79300000001</v>
      </c>
      <c r="G794" s="4">
        <v>524237.86900000001</v>
      </c>
      <c r="H794" s="5">
        <f>240 / 86400</f>
        <v>2.7777777777777779E-3</v>
      </c>
      <c r="I794" t="s">
        <v>240</v>
      </c>
      <c r="J794" t="s">
        <v>133</v>
      </c>
      <c r="K794" s="5">
        <f>433 / 86400</f>
        <v>5.0115740740740737E-3</v>
      </c>
      <c r="L794" s="5">
        <f>72 / 86400</f>
        <v>8.3333333333333339E-4</v>
      </c>
    </row>
    <row r="795" spans="1:12" x14ac:dyDescent="0.25">
      <c r="A795" s="3">
        <v>45705.712118055555</v>
      </c>
      <c r="B795" t="s">
        <v>201</v>
      </c>
      <c r="C795" s="3">
        <v>45705.782129629632</v>
      </c>
      <c r="D795" t="s">
        <v>394</v>
      </c>
      <c r="E795" s="4">
        <v>37.229999999999997</v>
      </c>
      <c r="F795" s="4">
        <v>524237.86900000001</v>
      </c>
      <c r="G795" s="4">
        <v>524275.09899999999</v>
      </c>
      <c r="H795" s="5">
        <f>1399 / 86400</f>
        <v>1.6192129629629629E-2</v>
      </c>
      <c r="I795" t="s">
        <v>192</v>
      </c>
      <c r="J795" t="s">
        <v>135</v>
      </c>
      <c r="K795" s="5">
        <f>6048 / 86400</f>
        <v>7.0000000000000007E-2</v>
      </c>
      <c r="L795" s="5">
        <f>640 / 86400</f>
        <v>7.4074074074074077E-3</v>
      </c>
    </row>
    <row r="796" spans="1:12" x14ac:dyDescent="0.25">
      <c r="A796" s="3">
        <v>45705.789537037039</v>
      </c>
      <c r="B796" t="s">
        <v>394</v>
      </c>
      <c r="C796" s="3">
        <v>45705.793680555551</v>
      </c>
      <c r="D796" t="s">
        <v>395</v>
      </c>
      <c r="E796" s="4">
        <v>0.95699999999999996</v>
      </c>
      <c r="F796" s="4">
        <v>524275.09899999999</v>
      </c>
      <c r="G796" s="4">
        <v>524276.05599999998</v>
      </c>
      <c r="H796" s="5">
        <f>119 / 86400</f>
        <v>1.3773148148148147E-3</v>
      </c>
      <c r="I796" t="s">
        <v>129</v>
      </c>
      <c r="J796" t="s">
        <v>118</v>
      </c>
      <c r="K796" s="5">
        <f>358 / 86400</f>
        <v>4.1435185185185186E-3</v>
      </c>
      <c r="L796" s="5">
        <f>362 / 86400</f>
        <v>4.1898148148148146E-3</v>
      </c>
    </row>
    <row r="797" spans="1:12" x14ac:dyDescent="0.25">
      <c r="A797" s="3">
        <v>45705.79787037037</v>
      </c>
      <c r="B797" t="s">
        <v>395</v>
      </c>
      <c r="C797" s="3">
        <v>45705.798900462964</v>
      </c>
      <c r="D797" t="s">
        <v>396</v>
      </c>
      <c r="E797" s="4">
        <v>0.30599999999999999</v>
      </c>
      <c r="F797" s="4">
        <v>524276.05599999998</v>
      </c>
      <c r="G797" s="4">
        <v>524276.36200000002</v>
      </c>
      <c r="H797" s="5">
        <f>0 / 86400</f>
        <v>0</v>
      </c>
      <c r="I797" t="s">
        <v>62</v>
      </c>
      <c r="J797" t="s">
        <v>162</v>
      </c>
      <c r="K797" s="5">
        <f>89 / 86400</f>
        <v>1.0300925925925926E-3</v>
      </c>
      <c r="L797" s="5">
        <f>339 / 86400</f>
        <v>3.9236111111111112E-3</v>
      </c>
    </row>
    <row r="798" spans="1:12" x14ac:dyDescent="0.25">
      <c r="A798" s="3">
        <v>45705.802824074075</v>
      </c>
      <c r="B798" t="s">
        <v>396</v>
      </c>
      <c r="C798" s="3">
        <v>45705.811747685184</v>
      </c>
      <c r="D798" t="s">
        <v>67</v>
      </c>
      <c r="E798" s="4">
        <v>1.258</v>
      </c>
      <c r="F798" s="4">
        <v>524276.36200000002</v>
      </c>
      <c r="G798" s="4">
        <v>524277.62</v>
      </c>
      <c r="H798" s="5">
        <f>319 / 86400</f>
        <v>3.6921296296296298E-3</v>
      </c>
      <c r="I798" t="s">
        <v>141</v>
      </c>
      <c r="J798" t="s">
        <v>153</v>
      </c>
      <c r="K798" s="5">
        <f>771 / 86400</f>
        <v>8.9236111111111113E-3</v>
      </c>
      <c r="L798" s="5">
        <f>16264 / 86400</f>
        <v>0.18824074074074074</v>
      </c>
    </row>
    <row r="799" spans="1:12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 spans="1:12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 spans="1:12" s="10" customFormat="1" ht="20.100000000000001" customHeight="1" x14ac:dyDescent="0.35">
      <c r="A801" s="12" t="s">
        <v>463</v>
      </c>
      <c r="B801" s="12"/>
      <c r="C801" s="12"/>
      <c r="D801" s="12"/>
      <c r="E801" s="12"/>
      <c r="F801" s="12"/>
      <c r="G801" s="12"/>
      <c r="H801" s="12"/>
      <c r="I801" s="12"/>
      <c r="J801" s="12"/>
    </row>
    <row r="802" spans="1:12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 spans="1:12" ht="30" x14ac:dyDescent="0.25">
      <c r="A803" s="2" t="s">
        <v>6</v>
      </c>
      <c r="B803" s="2" t="s">
        <v>7</v>
      </c>
      <c r="C803" s="2" t="s">
        <v>8</v>
      </c>
      <c r="D803" s="2" t="s">
        <v>9</v>
      </c>
      <c r="E803" s="2" t="s">
        <v>10</v>
      </c>
      <c r="F803" s="2" t="s">
        <v>11</v>
      </c>
      <c r="G803" s="2" t="s">
        <v>12</v>
      </c>
      <c r="H803" s="2" t="s">
        <v>13</v>
      </c>
      <c r="I803" s="2" t="s">
        <v>14</v>
      </c>
      <c r="J803" s="2" t="s">
        <v>15</v>
      </c>
      <c r="K803" s="2" t="s">
        <v>16</v>
      </c>
      <c r="L803" s="2" t="s">
        <v>17</v>
      </c>
    </row>
    <row r="804" spans="1:12" x14ac:dyDescent="0.25">
      <c r="A804" s="3">
        <v>45705.394155092596</v>
      </c>
      <c r="B804" t="s">
        <v>68</v>
      </c>
      <c r="C804" s="3">
        <v>45705.456701388888</v>
      </c>
      <c r="D804" t="s">
        <v>80</v>
      </c>
      <c r="E804" s="4">
        <v>27.018000000000001</v>
      </c>
      <c r="F804" s="4">
        <v>412411.92700000003</v>
      </c>
      <c r="G804" s="4">
        <v>412438.94500000001</v>
      </c>
      <c r="H804" s="5">
        <f>1581 / 86400</f>
        <v>1.8298611111111113E-2</v>
      </c>
      <c r="I804" t="s">
        <v>172</v>
      </c>
      <c r="J804" t="s">
        <v>23</v>
      </c>
      <c r="K804" s="5">
        <f>5404 / 86400</f>
        <v>6.2546296296296294E-2</v>
      </c>
      <c r="L804" s="5">
        <f>34081 / 86400</f>
        <v>0.39445601851851853</v>
      </c>
    </row>
    <row r="805" spans="1:12" x14ac:dyDescent="0.25">
      <c r="A805" s="3">
        <v>45705.457002314812</v>
      </c>
      <c r="B805" t="s">
        <v>80</v>
      </c>
      <c r="C805" s="3">
        <v>45705.45716435185</v>
      </c>
      <c r="D805" t="s">
        <v>80</v>
      </c>
      <c r="E805" s="4">
        <v>3.0000000000000001E-3</v>
      </c>
      <c r="F805" s="4">
        <v>412438.94500000001</v>
      </c>
      <c r="G805" s="4">
        <v>412438.94799999997</v>
      </c>
      <c r="H805" s="5">
        <f>0 / 86400</f>
        <v>0</v>
      </c>
      <c r="I805" t="s">
        <v>73</v>
      </c>
      <c r="J805" t="s">
        <v>144</v>
      </c>
      <c r="K805" s="5">
        <f>13 / 86400</f>
        <v>1.5046296296296297E-4</v>
      </c>
      <c r="L805" s="5">
        <f>8976 / 86400</f>
        <v>0.10388888888888889</v>
      </c>
    </row>
    <row r="806" spans="1:12" x14ac:dyDescent="0.25">
      <c r="A806" s="3">
        <v>45705.561053240745</v>
      </c>
      <c r="B806" t="s">
        <v>80</v>
      </c>
      <c r="C806" s="3">
        <v>45705.565949074073</v>
      </c>
      <c r="D806" t="s">
        <v>128</v>
      </c>
      <c r="E806" s="4">
        <v>1.2490000000000001</v>
      </c>
      <c r="F806" s="4">
        <v>412438.94799999997</v>
      </c>
      <c r="G806" s="4">
        <v>412440.19699999999</v>
      </c>
      <c r="H806" s="5">
        <f>119 / 86400</f>
        <v>1.3773148148148147E-3</v>
      </c>
      <c r="I806" t="s">
        <v>333</v>
      </c>
      <c r="J806" t="s">
        <v>45</v>
      </c>
      <c r="K806" s="5">
        <f>423 / 86400</f>
        <v>4.8958333333333336E-3</v>
      </c>
      <c r="L806" s="5">
        <f>230 / 86400</f>
        <v>2.662037037037037E-3</v>
      </c>
    </row>
    <row r="807" spans="1:12" x14ac:dyDescent="0.25">
      <c r="A807" s="3">
        <v>45705.568611111114</v>
      </c>
      <c r="B807" t="s">
        <v>128</v>
      </c>
      <c r="C807" s="3">
        <v>45705.571643518517</v>
      </c>
      <c r="D807" t="s">
        <v>178</v>
      </c>
      <c r="E807" s="4">
        <v>1.0089999999999999</v>
      </c>
      <c r="F807" s="4">
        <v>412440.19699999999</v>
      </c>
      <c r="G807" s="4">
        <v>412441.20600000001</v>
      </c>
      <c r="H807" s="5">
        <f>40 / 86400</f>
        <v>4.6296296296296298E-4</v>
      </c>
      <c r="I807" t="s">
        <v>232</v>
      </c>
      <c r="J807" t="s">
        <v>75</v>
      </c>
      <c r="K807" s="5">
        <f>261 / 86400</f>
        <v>3.0208333333333333E-3</v>
      </c>
      <c r="L807" s="5">
        <f>3662 / 86400</f>
        <v>4.238425925925926E-2</v>
      </c>
    </row>
    <row r="808" spans="1:12" x14ac:dyDescent="0.25">
      <c r="A808" s="3">
        <v>45705.614027777774</v>
      </c>
      <c r="B808" t="s">
        <v>178</v>
      </c>
      <c r="C808" s="3">
        <v>45705.99998842593</v>
      </c>
      <c r="D808" t="s">
        <v>69</v>
      </c>
      <c r="E808" s="4">
        <v>141.215</v>
      </c>
      <c r="F808" s="4">
        <v>412441.20600000001</v>
      </c>
      <c r="G808" s="4">
        <v>412582.42099999997</v>
      </c>
      <c r="H808" s="5">
        <f>11222 / 86400</f>
        <v>0.12988425925925925</v>
      </c>
      <c r="I808" t="s">
        <v>33</v>
      </c>
      <c r="J808" t="s">
        <v>30</v>
      </c>
      <c r="K808" s="5">
        <f>33347 / 86400</f>
        <v>0.38596064814814812</v>
      </c>
      <c r="L808" s="5">
        <f>0 / 86400</f>
        <v>0</v>
      </c>
    </row>
    <row r="809" spans="1:12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 spans="1:12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 spans="1:12" s="10" customFormat="1" ht="20.100000000000001" customHeight="1" x14ac:dyDescent="0.35">
      <c r="A811" s="12" t="s">
        <v>464</v>
      </c>
      <c r="B811" s="12"/>
      <c r="C811" s="12"/>
      <c r="D811" s="12"/>
      <c r="E811" s="12"/>
      <c r="F811" s="12"/>
      <c r="G811" s="12"/>
      <c r="H811" s="12"/>
      <c r="I811" s="12"/>
      <c r="J811" s="12"/>
    </row>
    <row r="812" spans="1:12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 spans="1:12" ht="30" x14ac:dyDescent="0.25">
      <c r="A813" s="2" t="s">
        <v>6</v>
      </c>
      <c r="B813" s="2" t="s">
        <v>7</v>
      </c>
      <c r="C813" s="2" t="s">
        <v>8</v>
      </c>
      <c r="D813" s="2" t="s">
        <v>9</v>
      </c>
      <c r="E813" s="2" t="s">
        <v>10</v>
      </c>
      <c r="F813" s="2" t="s">
        <v>11</v>
      </c>
      <c r="G813" s="2" t="s">
        <v>12</v>
      </c>
      <c r="H813" s="2" t="s">
        <v>13</v>
      </c>
      <c r="I813" s="2" t="s">
        <v>14</v>
      </c>
      <c r="J813" s="2" t="s">
        <v>15</v>
      </c>
      <c r="K813" s="2" t="s">
        <v>16</v>
      </c>
      <c r="L813" s="2" t="s">
        <v>17</v>
      </c>
    </row>
    <row r="814" spans="1:12" x14ac:dyDescent="0.25">
      <c r="A814" s="3">
        <v>45705.302708333329</v>
      </c>
      <c r="B814" t="s">
        <v>70</v>
      </c>
      <c r="C814" s="3">
        <v>45705.305752314816</v>
      </c>
      <c r="D814" t="s">
        <v>48</v>
      </c>
      <c r="E814" s="4">
        <v>0.30599999999999999</v>
      </c>
      <c r="F814" s="4">
        <v>403352.15899999999</v>
      </c>
      <c r="G814" s="4">
        <v>403352.46500000003</v>
      </c>
      <c r="H814" s="5">
        <f>99 / 86400</f>
        <v>1.1458333333333333E-3</v>
      </c>
      <c r="I814" t="s">
        <v>32</v>
      </c>
      <c r="J814" t="s">
        <v>148</v>
      </c>
      <c r="K814" s="5">
        <f>262 / 86400</f>
        <v>3.0324074074074073E-3</v>
      </c>
      <c r="L814" s="5">
        <f>27608 / 86400</f>
        <v>0.31953703703703706</v>
      </c>
    </row>
    <row r="815" spans="1:12" x14ac:dyDescent="0.25">
      <c r="A815" s="3">
        <v>45705.322581018518</v>
      </c>
      <c r="B815" t="s">
        <v>48</v>
      </c>
      <c r="C815" s="3">
        <v>45705.327164351853</v>
      </c>
      <c r="D815" t="s">
        <v>57</v>
      </c>
      <c r="E815" s="4">
        <v>0.40400000000000003</v>
      </c>
      <c r="F815" s="4">
        <v>403352.46500000003</v>
      </c>
      <c r="G815" s="4">
        <v>403352.86900000001</v>
      </c>
      <c r="H815" s="5">
        <f>199 / 86400</f>
        <v>2.3032407407407407E-3</v>
      </c>
      <c r="I815" t="s">
        <v>20</v>
      </c>
      <c r="J815" t="s">
        <v>148</v>
      </c>
      <c r="K815" s="5">
        <f>396 / 86400</f>
        <v>4.5833333333333334E-3</v>
      </c>
      <c r="L815" s="5">
        <f>87 / 86400</f>
        <v>1.0069444444444444E-3</v>
      </c>
    </row>
    <row r="816" spans="1:12" x14ac:dyDescent="0.25">
      <c r="A816" s="3">
        <v>45705.328171296293</v>
      </c>
      <c r="B816" t="s">
        <v>57</v>
      </c>
      <c r="C816" s="3">
        <v>45705.330625000002</v>
      </c>
      <c r="D816" t="s">
        <v>161</v>
      </c>
      <c r="E816" s="4">
        <v>0.53800000000000003</v>
      </c>
      <c r="F816" s="4">
        <v>403352.86900000001</v>
      </c>
      <c r="G816" s="4">
        <v>403353.40700000001</v>
      </c>
      <c r="H816" s="5">
        <f>59 / 86400</f>
        <v>6.8287037037037036E-4</v>
      </c>
      <c r="I816" t="s">
        <v>163</v>
      </c>
      <c r="J816" t="s">
        <v>133</v>
      </c>
      <c r="K816" s="5">
        <f>211 / 86400</f>
        <v>2.4421296296296296E-3</v>
      </c>
      <c r="L816" s="5">
        <f>425 / 86400</f>
        <v>4.9189814814814816E-3</v>
      </c>
    </row>
    <row r="817" spans="1:12" x14ac:dyDescent="0.25">
      <c r="A817" s="3">
        <v>45705.335543981477</v>
      </c>
      <c r="B817" t="s">
        <v>80</v>
      </c>
      <c r="C817" s="3">
        <v>45705.34101851852</v>
      </c>
      <c r="D817" t="s">
        <v>164</v>
      </c>
      <c r="E817" s="4">
        <v>1.5820000000000001</v>
      </c>
      <c r="F817" s="4">
        <v>403353.40700000001</v>
      </c>
      <c r="G817" s="4">
        <v>403354.989</v>
      </c>
      <c r="H817" s="5">
        <f>40 / 86400</f>
        <v>4.6296296296296298E-4</v>
      </c>
      <c r="I817" t="s">
        <v>117</v>
      </c>
      <c r="J817" t="s">
        <v>162</v>
      </c>
      <c r="K817" s="5">
        <f>472 / 86400</f>
        <v>5.4629629629629629E-3</v>
      </c>
      <c r="L817" s="5">
        <f>108 / 86400</f>
        <v>1.25E-3</v>
      </c>
    </row>
    <row r="818" spans="1:12" x14ac:dyDescent="0.25">
      <c r="A818" s="3">
        <v>45705.342268518521</v>
      </c>
      <c r="B818" t="s">
        <v>164</v>
      </c>
      <c r="C818" s="3">
        <v>45705.342789351853</v>
      </c>
      <c r="D818" t="s">
        <v>164</v>
      </c>
      <c r="E818" s="4">
        <v>7.0000000000000001E-3</v>
      </c>
      <c r="F818" s="4">
        <v>403354.989</v>
      </c>
      <c r="G818" s="4">
        <v>403354.99599999998</v>
      </c>
      <c r="H818" s="5">
        <f>39 / 86400</f>
        <v>4.5138888888888887E-4</v>
      </c>
      <c r="I818" t="s">
        <v>73</v>
      </c>
      <c r="J818" t="s">
        <v>144</v>
      </c>
      <c r="K818" s="5">
        <f>44 / 86400</f>
        <v>5.0925925925925921E-4</v>
      </c>
      <c r="L818" s="5">
        <f>479 / 86400</f>
        <v>5.5439814814814813E-3</v>
      </c>
    </row>
    <row r="819" spans="1:12" x14ac:dyDescent="0.25">
      <c r="A819" s="3">
        <v>45705.348333333328</v>
      </c>
      <c r="B819" t="s">
        <v>164</v>
      </c>
      <c r="C819" s="3">
        <v>45705.46570601852</v>
      </c>
      <c r="D819" t="s">
        <v>378</v>
      </c>
      <c r="E819" s="4">
        <v>50.783000000000001</v>
      </c>
      <c r="F819" s="4">
        <v>403354.99599999998</v>
      </c>
      <c r="G819" s="4">
        <v>403405.77899999998</v>
      </c>
      <c r="H819" s="5">
        <f>3519 / 86400</f>
        <v>4.0729166666666664E-2</v>
      </c>
      <c r="I819" t="s">
        <v>26</v>
      </c>
      <c r="J819" t="s">
        <v>23</v>
      </c>
      <c r="K819" s="5">
        <f>10141 / 86400</f>
        <v>0.11737268518518519</v>
      </c>
      <c r="L819" s="5">
        <f>4428 / 86400</f>
        <v>5.1249999999999997E-2</v>
      </c>
    </row>
    <row r="820" spans="1:12" x14ac:dyDescent="0.25">
      <c r="A820" s="3">
        <v>45705.516956018517</v>
      </c>
      <c r="B820" t="s">
        <v>378</v>
      </c>
      <c r="C820" s="3">
        <v>45705.655057870375</v>
      </c>
      <c r="D820" t="s">
        <v>128</v>
      </c>
      <c r="E820" s="4">
        <v>51.536000000000001</v>
      </c>
      <c r="F820" s="4">
        <v>403405.77899999998</v>
      </c>
      <c r="G820" s="4">
        <v>403457.315</v>
      </c>
      <c r="H820" s="5">
        <f>4300 / 86400</f>
        <v>4.9768518518518517E-2</v>
      </c>
      <c r="I820" t="s">
        <v>97</v>
      </c>
      <c r="J820" t="s">
        <v>62</v>
      </c>
      <c r="K820" s="5">
        <f>11931 / 86400</f>
        <v>0.13809027777777777</v>
      </c>
      <c r="L820" s="5">
        <f>2732 / 86400</f>
        <v>3.1620370370370368E-2</v>
      </c>
    </row>
    <row r="821" spans="1:12" x14ac:dyDescent="0.25">
      <c r="A821" s="3">
        <v>45705.686678240745</v>
      </c>
      <c r="B821" t="s">
        <v>128</v>
      </c>
      <c r="C821" s="3">
        <v>45705.851643518516</v>
      </c>
      <c r="D821" t="s">
        <v>137</v>
      </c>
      <c r="E821" s="4">
        <v>70.501000000000005</v>
      </c>
      <c r="F821" s="4">
        <v>403457.315</v>
      </c>
      <c r="G821" s="4">
        <v>403527.81599999999</v>
      </c>
      <c r="H821" s="5">
        <f>4300 / 86400</f>
        <v>4.9768518518518517E-2</v>
      </c>
      <c r="I821" t="s">
        <v>71</v>
      </c>
      <c r="J821" t="s">
        <v>23</v>
      </c>
      <c r="K821" s="5">
        <f>14252 / 86400</f>
        <v>0.16495370370370371</v>
      </c>
      <c r="L821" s="5">
        <f>29 / 86400</f>
        <v>3.3564814814814812E-4</v>
      </c>
    </row>
    <row r="822" spans="1:12" x14ac:dyDescent="0.25">
      <c r="A822" s="3">
        <v>45705.851979166662</v>
      </c>
      <c r="B822" t="s">
        <v>137</v>
      </c>
      <c r="C822" s="3">
        <v>45705.852002314816</v>
      </c>
      <c r="D822" t="s">
        <v>137</v>
      </c>
      <c r="E822" s="4">
        <v>0</v>
      </c>
      <c r="F822" s="4">
        <v>403527.81599999999</v>
      </c>
      <c r="G822" s="4">
        <v>403527.81599999999</v>
      </c>
      <c r="H822" s="5">
        <f>0 / 86400</f>
        <v>0</v>
      </c>
      <c r="I822" t="s">
        <v>73</v>
      </c>
      <c r="J822" t="s">
        <v>73</v>
      </c>
      <c r="K822" s="5">
        <f>2 / 86400</f>
        <v>2.3148148148148147E-5</v>
      </c>
      <c r="L822" s="5">
        <f>152 / 86400</f>
        <v>1.7592592592592592E-3</v>
      </c>
    </row>
    <row r="823" spans="1:12" x14ac:dyDescent="0.25">
      <c r="A823" s="3">
        <v>45705.853761574079</v>
      </c>
      <c r="B823" t="s">
        <v>137</v>
      </c>
      <c r="C823" s="3">
        <v>45705.855416666665</v>
      </c>
      <c r="D823" t="s">
        <v>80</v>
      </c>
      <c r="E823" s="4">
        <v>0.20599999999999999</v>
      </c>
      <c r="F823" s="4">
        <v>403527.81599999999</v>
      </c>
      <c r="G823" s="4">
        <v>403528.022</v>
      </c>
      <c r="H823" s="5">
        <f>39 / 86400</f>
        <v>4.5138888888888887E-4</v>
      </c>
      <c r="I823" t="s">
        <v>45</v>
      </c>
      <c r="J823" t="s">
        <v>142</v>
      </c>
      <c r="K823" s="5">
        <f>142 / 86400</f>
        <v>1.6435185185185185E-3</v>
      </c>
      <c r="L823" s="5">
        <f>339 / 86400</f>
        <v>3.9236111111111112E-3</v>
      </c>
    </row>
    <row r="824" spans="1:12" x14ac:dyDescent="0.25">
      <c r="A824" s="3">
        <v>45705.859340277777</v>
      </c>
      <c r="B824" t="s">
        <v>80</v>
      </c>
      <c r="C824" s="3">
        <v>45705.863796296297</v>
      </c>
      <c r="D824" t="s">
        <v>397</v>
      </c>
      <c r="E824" s="4">
        <v>0.314</v>
      </c>
      <c r="F824" s="4">
        <v>403528.022</v>
      </c>
      <c r="G824" s="4">
        <v>403528.33600000001</v>
      </c>
      <c r="H824" s="5">
        <f>259 / 86400</f>
        <v>2.9976851851851853E-3</v>
      </c>
      <c r="I824" t="s">
        <v>38</v>
      </c>
      <c r="J824" t="s">
        <v>84</v>
      </c>
      <c r="K824" s="5">
        <f>384 / 86400</f>
        <v>4.4444444444444444E-3</v>
      </c>
      <c r="L824" s="5">
        <f>220 / 86400</f>
        <v>2.5462962962962965E-3</v>
      </c>
    </row>
    <row r="825" spans="1:12" x14ac:dyDescent="0.25">
      <c r="A825" s="3">
        <v>45705.866342592592</v>
      </c>
      <c r="B825" t="s">
        <v>397</v>
      </c>
      <c r="C825" s="3">
        <v>45705.869062500002</v>
      </c>
      <c r="D825" t="s">
        <v>386</v>
      </c>
      <c r="E825" s="4">
        <v>6.4000000000000001E-2</v>
      </c>
      <c r="F825" s="4">
        <v>403528.33600000001</v>
      </c>
      <c r="G825" s="4">
        <v>403528.4</v>
      </c>
      <c r="H825" s="5">
        <f>159 / 86400</f>
        <v>1.8402777777777777E-3</v>
      </c>
      <c r="I825" t="s">
        <v>151</v>
      </c>
      <c r="J825" t="s">
        <v>144</v>
      </c>
      <c r="K825" s="5">
        <f>234 / 86400</f>
        <v>2.7083333333333334E-3</v>
      </c>
      <c r="L825" s="5">
        <f>643 / 86400</f>
        <v>7.4421296296296293E-3</v>
      </c>
    </row>
    <row r="826" spans="1:12" x14ac:dyDescent="0.25">
      <c r="A826" s="3">
        <v>45705.876504629632</v>
      </c>
      <c r="B826" t="s">
        <v>386</v>
      </c>
      <c r="C826" s="3">
        <v>45705.879826388889</v>
      </c>
      <c r="D826" t="s">
        <v>70</v>
      </c>
      <c r="E826" s="4">
        <v>0.24199999999999999</v>
      </c>
      <c r="F826" s="4">
        <v>403528.4</v>
      </c>
      <c r="G826" s="4">
        <v>403528.64199999999</v>
      </c>
      <c r="H826" s="5">
        <f>179 / 86400</f>
        <v>2.0717592592592593E-3</v>
      </c>
      <c r="I826" t="s">
        <v>135</v>
      </c>
      <c r="J826" t="s">
        <v>84</v>
      </c>
      <c r="K826" s="5">
        <f>286 / 86400</f>
        <v>3.3101851851851851E-3</v>
      </c>
      <c r="L826" s="5">
        <f>10382 / 86400</f>
        <v>0.12016203703703704</v>
      </c>
    </row>
    <row r="827" spans="1:12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 spans="1:12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 spans="1:12" s="10" customFormat="1" ht="20.100000000000001" customHeight="1" x14ac:dyDescent="0.35">
      <c r="A829" s="12" t="s">
        <v>465</v>
      </c>
      <c r="B829" s="12"/>
      <c r="C829" s="12"/>
      <c r="D829" s="12"/>
      <c r="E829" s="12"/>
      <c r="F829" s="12"/>
      <c r="G829" s="12"/>
      <c r="H829" s="12"/>
      <c r="I829" s="12"/>
      <c r="J829" s="12"/>
    </row>
    <row r="830" spans="1:12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 spans="1:12" ht="30" x14ac:dyDescent="0.25">
      <c r="A831" s="2" t="s">
        <v>6</v>
      </c>
      <c r="B831" s="2" t="s">
        <v>7</v>
      </c>
      <c r="C831" s="2" t="s">
        <v>8</v>
      </c>
      <c r="D831" s="2" t="s">
        <v>9</v>
      </c>
      <c r="E831" s="2" t="s">
        <v>10</v>
      </c>
      <c r="F831" s="2" t="s">
        <v>11</v>
      </c>
      <c r="G831" s="2" t="s">
        <v>12</v>
      </c>
      <c r="H831" s="2" t="s">
        <v>13</v>
      </c>
      <c r="I831" s="2" t="s">
        <v>14</v>
      </c>
      <c r="J831" s="2" t="s">
        <v>15</v>
      </c>
      <c r="K831" s="2" t="s">
        <v>16</v>
      </c>
      <c r="L831" s="2" t="s">
        <v>17</v>
      </c>
    </row>
    <row r="832" spans="1:12" x14ac:dyDescent="0.25">
      <c r="A832" s="3">
        <v>45705.318113425921</v>
      </c>
      <c r="B832" t="s">
        <v>72</v>
      </c>
      <c r="C832" s="3">
        <v>45705.318113425921</v>
      </c>
      <c r="D832" t="s">
        <v>72</v>
      </c>
      <c r="E832" s="4">
        <v>0</v>
      </c>
      <c r="F832" s="4">
        <v>407811.32299999997</v>
      </c>
      <c r="G832" s="4">
        <v>407811.32299999997</v>
      </c>
      <c r="H832" s="5">
        <f>0 / 86400</f>
        <v>0</v>
      </c>
      <c r="I832" t="s">
        <v>73</v>
      </c>
      <c r="J832" t="s">
        <v>73</v>
      </c>
      <c r="K832" s="5">
        <f>0 / 86400</f>
        <v>0</v>
      </c>
      <c r="L832" s="5">
        <f>28802 / 86400</f>
        <v>0.3333564814814815</v>
      </c>
    </row>
    <row r="833" spans="1:12" x14ac:dyDescent="0.25">
      <c r="A833" s="3">
        <v>45705.333356481482</v>
      </c>
      <c r="B833" t="s">
        <v>72</v>
      </c>
      <c r="C833" s="3">
        <v>45705.33430555556</v>
      </c>
      <c r="D833" t="s">
        <v>72</v>
      </c>
      <c r="E833" s="4">
        <v>1.6E-2</v>
      </c>
      <c r="F833" s="4">
        <v>407811.32299999997</v>
      </c>
      <c r="G833" s="4">
        <v>407811.33899999998</v>
      </c>
      <c r="H833" s="5">
        <f>79 / 86400</f>
        <v>9.1435185185185185E-4</v>
      </c>
      <c r="I833" t="s">
        <v>73</v>
      </c>
      <c r="J833" t="s">
        <v>144</v>
      </c>
      <c r="K833" s="5">
        <f>81 / 86400</f>
        <v>9.3749999999999997E-4</v>
      </c>
      <c r="L833" s="5">
        <f>35242 / 86400</f>
        <v>0.40789351851851852</v>
      </c>
    </row>
    <row r="834" spans="1:12" x14ac:dyDescent="0.25">
      <c r="A834" s="3">
        <v>45705.74219907407</v>
      </c>
      <c r="B834" t="s">
        <v>72</v>
      </c>
      <c r="C834" s="3">
        <v>45705.743020833332</v>
      </c>
      <c r="D834" t="s">
        <v>72</v>
      </c>
      <c r="E834" s="4">
        <v>0</v>
      </c>
      <c r="F834" s="4">
        <v>407811.33899999998</v>
      </c>
      <c r="G834" s="4">
        <v>407811.33899999998</v>
      </c>
      <c r="H834" s="5">
        <f>59 / 86400</f>
        <v>6.8287037037037036E-4</v>
      </c>
      <c r="I834" t="s">
        <v>73</v>
      </c>
      <c r="J834" t="s">
        <v>73</v>
      </c>
      <c r="K834" s="5">
        <f>70 / 86400</f>
        <v>8.1018518518518516E-4</v>
      </c>
      <c r="L834" s="5">
        <f>22202 / 86400</f>
        <v>0.25696759259259261</v>
      </c>
    </row>
    <row r="835" spans="1:12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 spans="1:12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 spans="1:12" s="10" customFormat="1" ht="20.100000000000001" customHeight="1" x14ac:dyDescent="0.35">
      <c r="A837" s="12" t="s">
        <v>466</v>
      </c>
      <c r="B837" s="12"/>
      <c r="C837" s="12"/>
      <c r="D837" s="12"/>
      <c r="E837" s="12"/>
      <c r="F837" s="12"/>
      <c r="G837" s="12"/>
      <c r="H837" s="12"/>
      <c r="I837" s="12"/>
      <c r="J837" s="12"/>
    </row>
    <row r="838" spans="1:12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 spans="1:12" ht="30" x14ac:dyDescent="0.25">
      <c r="A839" s="2" t="s">
        <v>6</v>
      </c>
      <c r="B839" s="2" t="s">
        <v>7</v>
      </c>
      <c r="C839" s="2" t="s">
        <v>8</v>
      </c>
      <c r="D839" s="2" t="s">
        <v>9</v>
      </c>
      <c r="E839" s="2" t="s">
        <v>10</v>
      </c>
      <c r="F839" s="2" t="s">
        <v>11</v>
      </c>
      <c r="G839" s="2" t="s">
        <v>12</v>
      </c>
      <c r="H839" s="2" t="s">
        <v>13</v>
      </c>
      <c r="I839" s="2" t="s">
        <v>14</v>
      </c>
      <c r="J839" s="2" t="s">
        <v>15</v>
      </c>
      <c r="K839" s="2" t="s">
        <v>16</v>
      </c>
      <c r="L839" s="2" t="s">
        <v>17</v>
      </c>
    </row>
    <row r="840" spans="1:12" x14ac:dyDescent="0.25">
      <c r="A840" s="3">
        <v>45705.285486111112</v>
      </c>
      <c r="B840" t="s">
        <v>74</v>
      </c>
      <c r="C840" s="3">
        <v>45705.38957175926</v>
      </c>
      <c r="D840" t="s">
        <v>80</v>
      </c>
      <c r="E840" s="4">
        <v>44.463999999999999</v>
      </c>
      <c r="F840" s="4">
        <v>348420.04499999998</v>
      </c>
      <c r="G840" s="4">
        <v>348464.50900000002</v>
      </c>
      <c r="H840" s="5">
        <f>2519 / 86400</f>
        <v>2.9155092592592594E-2</v>
      </c>
      <c r="I840" t="s">
        <v>221</v>
      </c>
      <c r="J840" t="s">
        <v>23</v>
      </c>
      <c r="K840" s="5">
        <f>8993 / 86400</f>
        <v>0.10408564814814815</v>
      </c>
      <c r="L840" s="5">
        <f>24894 / 86400</f>
        <v>0.28812500000000002</v>
      </c>
    </row>
    <row r="841" spans="1:12" x14ac:dyDescent="0.25">
      <c r="A841" s="3">
        <v>45705.392210648148</v>
      </c>
      <c r="B841" t="s">
        <v>80</v>
      </c>
      <c r="C841" s="3">
        <v>45705.397268518514</v>
      </c>
      <c r="D841" t="s">
        <v>128</v>
      </c>
      <c r="E841" s="4">
        <v>1.3029999999999999</v>
      </c>
      <c r="F841" s="4">
        <v>348464.50900000002</v>
      </c>
      <c r="G841" s="4">
        <v>348465.81199999998</v>
      </c>
      <c r="H841" s="5">
        <f>120 / 86400</f>
        <v>1.3888888888888889E-3</v>
      </c>
      <c r="I841" t="s">
        <v>117</v>
      </c>
      <c r="J841" t="s">
        <v>45</v>
      </c>
      <c r="K841" s="5">
        <f>437 / 86400</f>
        <v>5.0578703703703706E-3</v>
      </c>
      <c r="L841" s="5">
        <f>4709 / 86400</f>
        <v>5.4502314814814816E-2</v>
      </c>
    </row>
    <row r="842" spans="1:12" x14ac:dyDescent="0.25">
      <c r="A842" s="3">
        <v>45705.45177083333</v>
      </c>
      <c r="B842" t="s">
        <v>128</v>
      </c>
      <c r="C842" s="3">
        <v>45705.456006944441</v>
      </c>
      <c r="D842" t="s">
        <v>137</v>
      </c>
      <c r="E842" s="4">
        <v>1.248</v>
      </c>
      <c r="F842" s="4">
        <v>348465.81199999998</v>
      </c>
      <c r="G842" s="4">
        <v>348467.06</v>
      </c>
      <c r="H842" s="5">
        <f>24 / 86400</f>
        <v>2.7777777777777778E-4</v>
      </c>
      <c r="I842" t="s">
        <v>129</v>
      </c>
      <c r="J842" t="s">
        <v>162</v>
      </c>
      <c r="K842" s="5">
        <f>366 / 86400</f>
        <v>4.2361111111111115E-3</v>
      </c>
      <c r="L842" s="5">
        <f>1537 / 86400</f>
        <v>1.7789351851851851E-2</v>
      </c>
    </row>
    <row r="843" spans="1:12" x14ac:dyDescent="0.25">
      <c r="A843" s="3">
        <v>45705.473796296297</v>
      </c>
      <c r="B843" t="s">
        <v>137</v>
      </c>
      <c r="C843" s="3">
        <v>45705.473993055552</v>
      </c>
      <c r="D843" t="s">
        <v>137</v>
      </c>
      <c r="E843" s="4">
        <v>0</v>
      </c>
      <c r="F843" s="4">
        <v>348467.06</v>
      </c>
      <c r="G843" s="4">
        <v>348467.06</v>
      </c>
      <c r="H843" s="5">
        <f>0 / 86400</f>
        <v>0</v>
      </c>
      <c r="I843" t="s">
        <v>73</v>
      </c>
      <c r="J843" t="s">
        <v>73</v>
      </c>
      <c r="K843" s="5">
        <f>17 / 86400</f>
        <v>1.9675925925925926E-4</v>
      </c>
      <c r="L843" s="5">
        <f>418 / 86400</f>
        <v>4.8379629629629632E-3</v>
      </c>
    </row>
    <row r="844" spans="1:12" x14ac:dyDescent="0.25">
      <c r="A844" s="3">
        <v>45705.478831018518</v>
      </c>
      <c r="B844" t="s">
        <v>137</v>
      </c>
      <c r="C844" s="3">
        <v>45705.483657407407</v>
      </c>
      <c r="D844" t="s">
        <v>115</v>
      </c>
      <c r="E844" s="4">
        <v>0.90300000000000002</v>
      </c>
      <c r="F844" s="4">
        <v>348467.06</v>
      </c>
      <c r="G844" s="4">
        <v>348467.96299999999</v>
      </c>
      <c r="H844" s="5">
        <f>138 / 86400</f>
        <v>1.5972222222222223E-3</v>
      </c>
      <c r="I844" t="s">
        <v>152</v>
      </c>
      <c r="J844" t="s">
        <v>107</v>
      </c>
      <c r="K844" s="5">
        <f>417 / 86400</f>
        <v>4.8263888888888887E-3</v>
      </c>
      <c r="L844" s="5">
        <f>98 / 86400</f>
        <v>1.1342592592592593E-3</v>
      </c>
    </row>
    <row r="845" spans="1:12" x14ac:dyDescent="0.25">
      <c r="A845" s="3">
        <v>45705.484791666662</v>
      </c>
      <c r="B845" t="s">
        <v>115</v>
      </c>
      <c r="C845" s="3">
        <v>45705.714490740742</v>
      </c>
      <c r="D845" t="s">
        <v>74</v>
      </c>
      <c r="E845" s="4">
        <v>71.751000000000005</v>
      </c>
      <c r="F845" s="4">
        <v>348467.96299999999</v>
      </c>
      <c r="G845" s="4">
        <v>348539.71399999998</v>
      </c>
      <c r="H845" s="5">
        <f>8259 / 86400</f>
        <v>9.5590277777777774E-2</v>
      </c>
      <c r="I845" t="s">
        <v>29</v>
      </c>
      <c r="J845" t="s">
        <v>66</v>
      </c>
      <c r="K845" s="5">
        <f>19845 / 86400</f>
        <v>0.22968749999999999</v>
      </c>
      <c r="L845" s="5">
        <f>89 / 86400</f>
        <v>1.0300925925925926E-3</v>
      </c>
    </row>
    <row r="846" spans="1:12" x14ac:dyDescent="0.25">
      <c r="A846" s="3">
        <v>45705.715520833328</v>
      </c>
      <c r="B846" t="s">
        <v>74</v>
      </c>
      <c r="C846" s="3">
        <v>45705.715937500005</v>
      </c>
      <c r="D846" t="s">
        <v>74</v>
      </c>
      <c r="E846" s="4">
        <v>3.0000000000000001E-3</v>
      </c>
      <c r="F846" s="4">
        <v>348539.71399999998</v>
      </c>
      <c r="G846" s="4">
        <v>348539.717</v>
      </c>
      <c r="H846" s="5">
        <f>19 / 86400</f>
        <v>2.199074074074074E-4</v>
      </c>
      <c r="I846" t="s">
        <v>73</v>
      </c>
      <c r="J846" t="s">
        <v>73</v>
      </c>
      <c r="K846" s="5">
        <f>35 / 86400</f>
        <v>4.0509259259259258E-4</v>
      </c>
      <c r="L846" s="5">
        <f>219 / 86400</f>
        <v>2.5347222222222221E-3</v>
      </c>
    </row>
    <row r="847" spans="1:12" x14ac:dyDescent="0.25">
      <c r="A847" s="3">
        <v>45705.718472222223</v>
      </c>
      <c r="B847" t="s">
        <v>74</v>
      </c>
      <c r="C847" s="3">
        <v>45705.71873842593</v>
      </c>
      <c r="D847" t="s">
        <v>74</v>
      </c>
      <c r="E847" s="4">
        <v>1E-3</v>
      </c>
      <c r="F847" s="4">
        <v>348539.717</v>
      </c>
      <c r="G847" s="4">
        <v>348539.71799999999</v>
      </c>
      <c r="H847" s="5">
        <f>0 / 86400</f>
        <v>0</v>
      </c>
      <c r="I847" t="s">
        <v>144</v>
      </c>
      <c r="J847" t="s">
        <v>73</v>
      </c>
      <c r="K847" s="5">
        <f>22 / 86400</f>
        <v>2.5462962962962961E-4</v>
      </c>
      <c r="L847" s="5">
        <f>24300 / 86400</f>
        <v>0.28125</v>
      </c>
    </row>
    <row r="848" spans="1:12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 spans="1:12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 spans="1:12" s="10" customFormat="1" ht="20.100000000000001" customHeight="1" x14ac:dyDescent="0.35">
      <c r="A850" s="12" t="s">
        <v>467</v>
      </c>
      <c r="B850" s="12"/>
      <c r="C850" s="12"/>
      <c r="D850" s="12"/>
      <c r="E850" s="12"/>
      <c r="F850" s="12"/>
      <c r="G850" s="12"/>
      <c r="H850" s="12"/>
      <c r="I850" s="12"/>
      <c r="J850" s="12"/>
    </row>
    <row r="851" spans="1:12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 spans="1:12" ht="30" x14ac:dyDescent="0.25">
      <c r="A852" s="2" t="s">
        <v>6</v>
      </c>
      <c r="B852" s="2" t="s">
        <v>7</v>
      </c>
      <c r="C852" s="2" t="s">
        <v>8</v>
      </c>
      <c r="D852" s="2" t="s">
        <v>9</v>
      </c>
      <c r="E852" s="2" t="s">
        <v>10</v>
      </c>
      <c r="F852" s="2" t="s">
        <v>11</v>
      </c>
      <c r="G852" s="2" t="s">
        <v>12</v>
      </c>
      <c r="H852" s="2" t="s">
        <v>13</v>
      </c>
      <c r="I852" s="2" t="s">
        <v>14</v>
      </c>
      <c r="J852" s="2" t="s">
        <v>15</v>
      </c>
      <c r="K852" s="2" t="s">
        <v>16</v>
      </c>
      <c r="L852" s="2" t="s">
        <v>17</v>
      </c>
    </row>
    <row r="853" spans="1:12" x14ac:dyDescent="0.25">
      <c r="A853" s="3">
        <v>45705.002256944441</v>
      </c>
      <c r="B853" t="s">
        <v>76</v>
      </c>
      <c r="C853" s="3">
        <v>45705.002870370372</v>
      </c>
      <c r="D853" t="s">
        <v>76</v>
      </c>
      <c r="E853" s="4">
        <v>5.0000000000000001E-3</v>
      </c>
      <c r="F853" s="4">
        <v>41808.247000000003</v>
      </c>
      <c r="G853" s="4">
        <v>41808.252</v>
      </c>
      <c r="H853" s="5">
        <f>39 / 86400</f>
        <v>4.5138888888888887E-4</v>
      </c>
      <c r="I853" t="s">
        <v>73</v>
      </c>
      <c r="J853" t="s">
        <v>73</v>
      </c>
      <c r="K853" s="5">
        <f>53 / 86400</f>
        <v>6.134259259259259E-4</v>
      </c>
      <c r="L853" s="5">
        <f>86346 / 86400</f>
        <v>0.99937500000000001</v>
      </c>
    </row>
    <row r="854" spans="1:12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2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 spans="1:12" s="10" customFormat="1" ht="20.100000000000001" customHeight="1" x14ac:dyDescent="0.35">
      <c r="A856" s="12" t="s">
        <v>468</v>
      </c>
      <c r="B856" s="12"/>
      <c r="C856" s="12"/>
      <c r="D856" s="12"/>
      <c r="E856" s="12"/>
      <c r="F856" s="12"/>
      <c r="G856" s="12"/>
      <c r="H856" s="12"/>
      <c r="I856" s="12"/>
      <c r="J856" s="12"/>
    </row>
    <row r="857" spans="1:12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 spans="1:12" ht="30" x14ac:dyDescent="0.25">
      <c r="A858" s="2" t="s">
        <v>6</v>
      </c>
      <c r="B858" s="2" t="s">
        <v>7</v>
      </c>
      <c r="C858" s="2" t="s">
        <v>8</v>
      </c>
      <c r="D858" s="2" t="s">
        <v>9</v>
      </c>
      <c r="E858" s="2" t="s">
        <v>10</v>
      </c>
      <c r="F858" s="2" t="s">
        <v>11</v>
      </c>
      <c r="G858" s="2" t="s">
        <v>12</v>
      </c>
      <c r="H858" s="2" t="s">
        <v>13</v>
      </c>
      <c r="I858" s="2" t="s">
        <v>14</v>
      </c>
      <c r="J858" s="2" t="s">
        <v>15</v>
      </c>
      <c r="K858" s="2" t="s">
        <v>16</v>
      </c>
      <c r="L858" s="2" t="s">
        <v>17</v>
      </c>
    </row>
    <row r="859" spans="1:12" x14ac:dyDescent="0.25">
      <c r="A859" s="3">
        <v>45705.178449074076</v>
      </c>
      <c r="B859" t="s">
        <v>39</v>
      </c>
      <c r="C859" s="3">
        <v>45705.347627314812</v>
      </c>
      <c r="D859" t="s">
        <v>94</v>
      </c>
      <c r="E859" s="4">
        <v>84.176000000000002</v>
      </c>
      <c r="F859" s="4">
        <v>47296.035000000003</v>
      </c>
      <c r="G859" s="4">
        <v>47380.211000000003</v>
      </c>
      <c r="H859" s="5">
        <f>3737 / 86400</f>
        <v>4.3252314814814813E-2</v>
      </c>
      <c r="I859" t="s">
        <v>42</v>
      </c>
      <c r="J859" t="s">
        <v>38</v>
      </c>
      <c r="K859" s="5">
        <f>14617 / 86400</f>
        <v>0.16917824074074075</v>
      </c>
      <c r="L859" s="5">
        <f>17480 / 86400</f>
        <v>0.20231481481481481</v>
      </c>
    </row>
    <row r="860" spans="1:12" x14ac:dyDescent="0.25">
      <c r="A860" s="3">
        <v>45705.371493055558</v>
      </c>
      <c r="B860" t="s">
        <v>94</v>
      </c>
      <c r="C860" s="3">
        <v>45705.375694444447</v>
      </c>
      <c r="D860" t="s">
        <v>80</v>
      </c>
      <c r="E860" s="4">
        <v>1.361</v>
      </c>
      <c r="F860" s="4">
        <v>47380.211000000003</v>
      </c>
      <c r="G860" s="4">
        <v>47381.572</v>
      </c>
      <c r="H860" s="5">
        <f>100 / 86400</f>
        <v>1.1574074074074073E-3</v>
      </c>
      <c r="I860" t="s">
        <v>216</v>
      </c>
      <c r="J860" t="s">
        <v>66</v>
      </c>
      <c r="K860" s="5">
        <f>363 / 86400</f>
        <v>4.2013888888888891E-3</v>
      </c>
      <c r="L860" s="5">
        <f>107 / 86400</f>
        <v>1.238425925925926E-3</v>
      </c>
    </row>
    <row r="861" spans="1:12" x14ac:dyDescent="0.25">
      <c r="A861" s="3">
        <v>45705.376932870371</v>
      </c>
      <c r="B861" t="s">
        <v>80</v>
      </c>
      <c r="C861" s="3">
        <v>45705.378437499996</v>
      </c>
      <c r="D861" t="s">
        <v>80</v>
      </c>
      <c r="E861" s="4">
        <v>3.4000000000000002E-2</v>
      </c>
      <c r="F861" s="4">
        <v>47381.572</v>
      </c>
      <c r="G861" s="4">
        <v>47381.606</v>
      </c>
      <c r="H861" s="5">
        <f>59 / 86400</f>
        <v>6.8287037037037036E-4</v>
      </c>
      <c r="I861" t="s">
        <v>151</v>
      </c>
      <c r="J861" t="s">
        <v>144</v>
      </c>
      <c r="K861" s="5">
        <f>130 / 86400</f>
        <v>1.5046296296296296E-3</v>
      </c>
      <c r="L861" s="5">
        <f>69 / 86400</f>
        <v>7.9861111111111116E-4</v>
      </c>
    </row>
    <row r="862" spans="1:12" x14ac:dyDescent="0.25">
      <c r="A862" s="3">
        <v>45705.379236111112</v>
      </c>
      <c r="B862" t="s">
        <v>80</v>
      </c>
      <c r="C862" s="3">
        <v>45705.614108796297</v>
      </c>
      <c r="D862" t="s">
        <v>39</v>
      </c>
      <c r="E862" s="4">
        <v>83.305000000000007</v>
      </c>
      <c r="F862" s="4">
        <v>47381.606</v>
      </c>
      <c r="G862" s="4">
        <v>47464.911</v>
      </c>
      <c r="H862" s="5">
        <f>7998 / 86400</f>
        <v>9.256944444444444E-2</v>
      </c>
      <c r="I862" t="s">
        <v>61</v>
      </c>
      <c r="J862" t="s">
        <v>30</v>
      </c>
      <c r="K862" s="5">
        <f>20293 / 86400</f>
        <v>0.2348726851851852</v>
      </c>
      <c r="L862" s="5">
        <f>4 / 86400</f>
        <v>4.6296296296296294E-5</v>
      </c>
    </row>
    <row r="863" spans="1:12" x14ac:dyDescent="0.25">
      <c r="A863" s="3">
        <v>45705.614155092597</v>
      </c>
      <c r="B863" t="s">
        <v>39</v>
      </c>
      <c r="C863" s="3">
        <v>45705.614247685182</v>
      </c>
      <c r="D863" t="s">
        <v>39</v>
      </c>
      <c r="E863" s="4">
        <v>0</v>
      </c>
      <c r="F863" s="4">
        <v>47464.911</v>
      </c>
      <c r="G863" s="4">
        <v>47464.911</v>
      </c>
      <c r="H863" s="5">
        <f>0 / 86400</f>
        <v>0</v>
      </c>
      <c r="I863" t="s">
        <v>73</v>
      </c>
      <c r="J863" t="s">
        <v>73</v>
      </c>
      <c r="K863" s="5">
        <f>8 / 86400</f>
        <v>9.2592592592592588E-5</v>
      </c>
      <c r="L863" s="5">
        <f>271 / 86400</f>
        <v>3.1365740740740742E-3</v>
      </c>
    </row>
    <row r="864" spans="1:12" x14ac:dyDescent="0.25">
      <c r="A864" s="3">
        <v>45705.617384259254</v>
      </c>
      <c r="B864" t="s">
        <v>39</v>
      </c>
      <c r="C864" s="3">
        <v>45705.621319444443</v>
      </c>
      <c r="D864" t="s">
        <v>39</v>
      </c>
      <c r="E864" s="4">
        <v>1.3660000000000001</v>
      </c>
      <c r="F864" s="4">
        <v>47464.911</v>
      </c>
      <c r="G864" s="4">
        <v>47466.277000000002</v>
      </c>
      <c r="H864" s="5">
        <f>99 / 86400</f>
        <v>1.1458333333333333E-3</v>
      </c>
      <c r="I864" t="s">
        <v>150</v>
      </c>
      <c r="J864" t="s">
        <v>75</v>
      </c>
      <c r="K864" s="5">
        <f>340 / 86400</f>
        <v>3.9351851851851848E-3</v>
      </c>
      <c r="L864" s="5">
        <f>1292 / 86400</f>
        <v>1.4953703703703703E-2</v>
      </c>
    </row>
    <row r="865" spans="1:12" x14ac:dyDescent="0.25">
      <c r="A865" s="3">
        <v>45705.636273148149</v>
      </c>
      <c r="B865" t="s">
        <v>39</v>
      </c>
      <c r="C865" s="3">
        <v>45705.846585648149</v>
      </c>
      <c r="D865" t="s">
        <v>183</v>
      </c>
      <c r="E865" s="4">
        <v>73.290999999999997</v>
      </c>
      <c r="F865" s="4">
        <v>47466.277000000002</v>
      </c>
      <c r="G865" s="4">
        <v>47539.567999999999</v>
      </c>
      <c r="H865" s="5">
        <f>6878 / 86400</f>
        <v>7.9606481481481486E-2</v>
      </c>
      <c r="I865" t="s">
        <v>34</v>
      </c>
      <c r="J865" t="s">
        <v>30</v>
      </c>
      <c r="K865" s="5">
        <f>18171 / 86400</f>
        <v>0.21031250000000001</v>
      </c>
      <c r="L865" s="5">
        <f>82 / 86400</f>
        <v>9.4907407407407408E-4</v>
      </c>
    </row>
    <row r="866" spans="1:12" x14ac:dyDescent="0.25">
      <c r="A866" s="3">
        <v>45705.847534722227</v>
      </c>
      <c r="B866" t="s">
        <v>183</v>
      </c>
      <c r="C866" s="3">
        <v>45705.940578703703</v>
      </c>
      <c r="D866" t="s">
        <v>398</v>
      </c>
      <c r="E866" s="4">
        <v>45.540999999999997</v>
      </c>
      <c r="F866" s="4">
        <v>47539.567999999999</v>
      </c>
      <c r="G866" s="4">
        <v>47585.108999999997</v>
      </c>
      <c r="H866" s="5">
        <f>2338 / 86400</f>
        <v>2.7060185185185184E-2</v>
      </c>
      <c r="I866" t="s">
        <v>58</v>
      </c>
      <c r="J866" t="s">
        <v>20</v>
      </c>
      <c r="K866" s="5">
        <f>8038 / 86400</f>
        <v>9.3032407407407411E-2</v>
      </c>
      <c r="L866" s="5">
        <f>91 / 86400</f>
        <v>1.0532407407407407E-3</v>
      </c>
    </row>
    <row r="867" spans="1:12" x14ac:dyDescent="0.25">
      <c r="A867" s="3">
        <v>45705.941631944443</v>
      </c>
      <c r="B867" t="s">
        <v>398</v>
      </c>
      <c r="C867" s="3">
        <v>45705.94368055556</v>
      </c>
      <c r="D867" t="s">
        <v>399</v>
      </c>
      <c r="E867" s="4">
        <v>0.41399999999999998</v>
      </c>
      <c r="F867" s="4">
        <v>47585.108999999997</v>
      </c>
      <c r="G867" s="4">
        <v>47585.523000000001</v>
      </c>
      <c r="H867" s="5">
        <f>60 / 86400</f>
        <v>6.9444444444444447E-4</v>
      </c>
      <c r="I867" t="s">
        <v>66</v>
      </c>
      <c r="J867" t="s">
        <v>107</v>
      </c>
      <c r="K867" s="5">
        <f>177 / 86400</f>
        <v>2.0486111111111113E-3</v>
      </c>
      <c r="L867" s="5">
        <f>503 / 86400</f>
        <v>5.8217592592592592E-3</v>
      </c>
    </row>
    <row r="868" spans="1:12" x14ac:dyDescent="0.25">
      <c r="A868" s="3">
        <v>45705.949502314819</v>
      </c>
      <c r="B868" t="s">
        <v>399</v>
      </c>
      <c r="C868" s="3">
        <v>45705.99998842593</v>
      </c>
      <c r="D868" t="s">
        <v>77</v>
      </c>
      <c r="E868" s="4">
        <v>12.468999999999999</v>
      </c>
      <c r="F868" s="4">
        <v>47585.523000000001</v>
      </c>
      <c r="G868" s="4">
        <v>47597.991999999998</v>
      </c>
      <c r="H868" s="5">
        <f>2480 / 86400</f>
        <v>2.8703703703703703E-2</v>
      </c>
      <c r="I868" t="s">
        <v>34</v>
      </c>
      <c r="J868" t="s">
        <v>118</v>
      </c>
      <c r="K868" s="5">
        <f>4362 / 86400</f>
        <v>5.0486111111111114E-2</v>
      </c>
      <c r="L868" s="5">
        <f>0 / 86400</f>
        <v>0</v>
      </c>
    </row>
    <row r="869" spans="1:12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 spans="1:12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 spans="1:12" s="10" customFormat="1" ht="20.100000000000001" customHeight="1" x14ac:dyDescent="0.35">
      <c r="A871" s="12" t="s">
        <v>469</v>
      </c>
      <c r="B871" s="12"/>
      <c r="C871" s="12"/>
      <c r="D871" s="12"/>
      <c r="E871" s="12"/>
      <c r="F871" s="12"/>
      <c r="G871" s="12"/>
      <c r="H871" s="12"/>
      <c r="I871" s="12"/>
      <c r="J871" s="12"/>
    </row>
    <row r="872" spans="1:12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 spans="1:12" ht="30" x14ac:dyDescent="0.25">
      <c r="A873" s="2" t="s">
        <v>6</v>
      </c>
      <c r="B873" s="2" t="s">
        <v>7</v>
      </c>
      <c r="C873" s="2" t="s">
        <v>8</v>
      </c>
      <c r="D873" s="2" t="s">
        <v>9</v>
      </c>
      <c r="E873" s="2" t="s">
        <v>10</v>
      </c>
      <c r="F873" s="2" t="s">
        <v>11</v>
      </c>
      <c r="G873" s="2" t="s">
        <v>12</v>
      </c>
      <c r="H873" s="2" t="s">
        <v>13</v>
      </c>
      <c r="I873" s="2" t="s">
        <v>14</v>
      </c>
      <c r="J873" s="2" t="s">
        <v>15</v>
      </c>
      <c r="K873" s="2" t="s">
        <v>16</v>
      </c>
      <c r="L873" s="2" t="s">
        <v>17</v>
      </c>
    </row>
    <row r="874" spans="1:12" x14ac:dyDescent="0.25">
      <c r="A874" s="3">
        <v>45705.186851851853</v>
      </c>
      <c r="B874" t="s">
        <v>78</v>
      </c>
      <c r="C874" s="3">
        <v>45705.18950231481</v>
      </c>
      <c r="D874" t="s">
        <v>78</v>
      </c>
      <c r="E874" s="4">
        <v>5.0000000000000001E-3</v>
      </c>
      <c r="F874" s="4">
        <v>528692.30900000001</v>
      </c>
      <c r="G874" s="4">
        <v>528692.31400000001</v>
      </c>
      <c r="H874" s="5">
        <f>179 / 86400</f>
        <v>2.0717592592592593E-3</v>
      </c>
      <c r="I874" t="s">
        <v>144</v>
      </c>
      <c r="J874" t="s">
        <v>73</v>
      </c>
      <c r="K874" s="5">
        <f>228 / 86400</f>
        <v>2.638888888888889E-3</v>
      </c>
      <c r="L874" s="5">
        <f>16172 / 86400</f>
        <v>0.18717592592592591</v>
      </c>
    </row>
    <row r="875" spans="1:12" x14ac:dyDescent="0.25">
      <c r="A875" s="3">
        <v>45705.189826388887</v>
      </c>
      <c r="B875" t="s">
        <v>78</v>
      </c>
      <c r="C875" s="3">
        <v>45705.189849537041</v>
      </c>
      <c r="D875" t="s">
        <v>78</v>
      </c>
      <c r="E875" s="4">
        <v>0</v>
      </c>
      <c r="F875" s="4">
        <v>528692.31400000001</v>
      </c>
      <c r="G875" s="4">
        <v>528692.31400000001</v>
      </c>
      <c r="H875" s="5">
        <f>0 / 86400</f>
        <v>0</v>
      </c>
      <c r="I875" t="s">
        <v>73</v>
      </c>
      <c r="J875" t="s">
        <v>73</v>
      </c>
      <c r="K875" s="5">
        <f>2 / 86400</f>
        <v>2.3148148148148147E-5</v>
      </c>
      <c r="L875" s="5">
        <f>3 / 86400</f>
        <v>3.4722222222222222E-5</v>
      </c>
    </row>
    <row r="876" spans="1:12" x14ac:dyDescent="0.25">
      <c r="A876" s="3">
        <v>45705.189884259264</v>
      </c>
      <c r="B876" t="s">
        <v>78</v>
      </c>
      <c r="C876" s="3">
        <v>45705.190300925926</v>
      </c>
      <c r="D876" t="s">
        <v>78</v>
      </c>
      <c r="E876" s="4">
        <v>0</v>
      </c>
      <c r="F876" s="4">
        <v>528692.31400000001</v>
      </c>
      <c r="G876" s="4">
        <v>528692.31400000001</v>
      </c>
      <c r="H876" s="5">
        <f>34 / 86400</f>
        <v>3.9351851851851852E-4</v>
      </c>
      <c r="I876" t="s">
        <v>73</v>
      </c>
      <c r="J876" t="s">
        <v>73</v>
      </c>
      <c r="K876" s="5">
        <f>36 / 86400</f>
        <v>4.1666666666666669E-4</v>
      </c>
      <c r="L876" s="5">
        <f>53 / 86400</f>
        <v>6.134259259259259E-4</v>
      </c>
    </row>
    <row r="877" spans="1:12" x14ac:dyDescent="0.25">
      <c r="A877" s="3">
        <v>45705.190914351857</v>
      </c>
      <c r="B877" t="s">
        <v>78</v>
      </c>
      <c r="C877" s="3">
        <v>45705.361782407403</v>
      </c>
      <c r="D877" t="s">
        <v>94</v>
      </c>
      <c r="E877" s="4">
        <v>83.524000000000001</v>
      </c>
      <c r="F877" s="4">
        <v>528692.31400000001</v>
      </c>
      <c r="G877" s="4">
        <v>528775.83799999999</v>
      </c>
      <c r="H877" s="5">
        <f>4349 / 86400</f>
        <v>5.033564814814815E-2</v>
      </c>
      <c r="I877" t="s">
        <v>61</v>
      </c>
      <c r="J877" t="s">
        <v>20</v>
      </c>
      <c r="K877" s="5">
        <f>14763 / 86400</f>
        <v>0.17086805555555556</v>
      </c>
      <c r="L877" s="5">
        <f>54 / 86400</f>
        <v>6.2500000000000001E-4</v>
      </c>
    </row>
    <row r="878" spans="1:12" x14ac:dyDescent="0.25">
      <c r="A878" s="3">
        <v>45705.362407407403</v>
      </c>
      <c r="B878" t="s">
        <v>94</v>
      </c>
      <c r="C878" s="3">
        <v>45705.363275462965</v>
      </c>
      <c r="D878" t="s">
        <v>94</v>
      </c>
      <c r="E878" s="4">
        <v>6.0000000059604645E-2</v>
      </c>
      <c r="F878" s="4">
        <v>528775.83799999999</v>
      </c>
      <c r="G878" s="4">
        <v>528775.89800000004</v>
      </c>
      <c r="H878" s="5">
        <f>20 / 86400</f>
        <v>2.3148148148148149E-4</v>
      </c>
      <c r="I878" t="s">
        <v>66</v>
      </c>
      <c r="J878" t="s">
        <v>84</v>
      </c>
      <c r="K878" s="5">
        <f>74 / 86400</f>
        <v>8.564814814814815E-4</v>
      </c>
      <c r="L878" s="5">
        <f>2006 / 86400</f>
        <v>2.3217592592592592E-2</v>
      </c>
    </row>
    <row r="879" spans="1:12" x14ac:dyDescent="0.25">
      <c r="A879" s="3">
        <v>45705.386493055557</v>
      </c>
      <c r="B879" t="s">
        <v>94</v>
      </c>
      <c r="C879" s="3">
        <v>45705.390451388885</v>
      </c>
      <c r="D879" t="s">
        <v>80</v>
      </c>
      <c r="E879" s="4">
        <v>0.81899999988079075</v>
      </c>
      <c r="F879" s="4">
        <v>528775.89800000004</v>
      </c>
      <c r="G879" s="4">
        <v>528776.71699999995</v>
      </c>
      <c r="H879" s="5">
        <f>180 / 86400</f>
        <v>2.0833333333333333E-3</v>
      </c>
      <c r="I879" t="s">
        <v>196</v>
      </c>
      <c r="J879" t="s">
        <v>133</v>
      </c>
      <c r="K879" s="5">
        <f>341 / 86400</f>
        <v>3.9467592592592592E-3</v>
      </c>
      <c r="L879" s="5">
        <f>396 / 86400</f>
        <v>4.5833333333333334E-3</v>
      </c>
    </row>
    <row r="880" spans="1:12" x14ac:dyDescent="0.25">
      <c r="A880" s="3">
        <v>45705.395034722227</v>
      </c>
      <c r="B880" t="s">
        <v>80</v>
      </c>
      <c r="C880" s="3">
        <v>45705.395104166666</v>
      </c>
      <c r="D880" t="s">
        <v>80</v>
      </c>
      <c r="E880" s="4">
        <v>0</v>
      </c>
      <c r="F880" s="4">
        <v>528776.71699999995</v>
      </c>
      <c r="G880" s="4">
        <v>528776.71699999995</v>
      </c>
      <c r="H880" s="5">
        <f>0 / 86400</f>
        <v>0</v>
      </c>
      <c r="I880" t="s">
        <v>73</v>
      </c>
      <c r="J880" t="s">
        <v>73</v>
      </c>
      <c r="K880" s="5">
        <f>5 / 86400</f>
        <v>5.7870370370370373E-5</v>
      </c>
      <c r="L880" s="5">
        <f>16 / 86400</f>
        <v>1.8518518518518518E-4</v>
      </c>
    </row>
    <row r="881" spans="1:12" x14ac:dyDescent="0.25">
      <c r="A881" s="3">
        <v>45705.395289351851</v>
      </c>
      <c r="B881" t="s">
        <v>80</v>
      </c>
      <c r="C881" s="3">
        <v>45705.399016203708</v>
      </c>
      <c r="D881" t="s">
        <v>128</v>
      </c>
      <c r="E881" s="4">
        <v>1.2100000000596047</v>
      </c>
      <c r="F881" s="4">
        <v>528776.71699999995</v>
      </c>
      <c r="G881" s="4">
        <v>528777.92700000003</v>
      </c>
      <c r="H881" s="5">
        <f>40 / 86400</f>
        <v>4.6296296296296298E-4</v>
      </c>
      <c r="I881" t="s">
        <v>152</v>
      </c>
      <c r="J881" t="s">
        <v>75</v>
      </c>
      <c r="K881" s="5">
        <f>321 / 86400</f>
        <v>3.7152777777777778E-3</v>
      </c>
      <c r="L881" s="5">
        <f>685 / 86400</f>
        <v>7.9282407407407409E-3</v>
      </c>
    </row>
    <row r="882" spans="1:12" x14ac:dyDescent="0.25">
      <c r="A882" s="3">
        <v>45705.406944444447</v>
      </c>
      <c r="B882" t="s">
        <v>128</v>
      </c>
      <c r="C882" s="3">
        <v>45705.512060185181</v>
      </c>
      <c r="D882" t="s">
        <v>380</v>
      </c>
      <c r="E882" s="4">
        <v>47.594999999999999</v>
      </c>
      <c r="F882" s="4">
        <v>528777.92700000003</v>
      </c>
      <c r="G882" s="4">
        <v>528825.522</v>
      </c>
      <c r="H882" s="5">
        <f>2680 / 86400</f>
        <v>3.1018518518518518E-2</v>
      </c>
      <c r="I882" t="s">
        <v>99</v>
      </c>
      <c r="J882" t="s">
        <v>27</v>
      </c>
      <c r="K882" s="5">
        <f>9081 / 86400</f>
        <v>0.10510416666666667</v>
      </c>
      <c r="L882" s="5">
        <f>85 / 86400</f>
        <v>9.837962962962962E-4</v>
      </c>
    </row>
    <row r="883" spans="1:12" x14ac:dyDescent="0.25">
      <c r="A883" s="3">
        <v>45705.513043981482</v>
      </c>
      <c r="B883" t="s">
        <v>380</v>
      </c>
      <c r="C883" s="3">
        <v>45705.663993055554</v>
      </c>
      <c r="D883" t="s">
        <v>80</v>
      </c>
      <c r="E883" s="4">
        <v>59.160999999940394</v>
      </c>
      <c r="F883" s="4">
        <v>528825.522</v>
      </c>
      <c r="G883" s="4">
        <v>528884.68299999996</v>
      </c>
      <c r="H883" s="5">
        <f>4402 / 86400</f>
        <v>5.0949074074074077E-2</v>
      </c>
      <c r="I883" t="s">
        <v>61</v>
      </c>
      <c r="J883" t="s">
        <v>62</v>
      </c>
      <c r="K883" s="5">
        <f>13041 / 86400</f>
        <v>0.1509375</v>
      </c>
      <c r="L883" s="5">
        <f>375 / 86400</f>
        <v>4.340277777777778E-3</v>
      </c>
    </row>
    <row r="884" spans="1:12" x14ac:dyDescent="0.25">
      <c r="A884" s="3">
        <v>45705.668333333335</v>
      </c>
      <c r="B884" t="s">
        <v>80</v>
      </c>
      <c r="C884" s="3">
        <v>45705.668668981481</v>
      </c>
      <c r="D884" t="s">
        <v>161</v>
      </c>
      <c r="E884" s="4">
        <v>1.0000000059604644E-2</v>
      </c>
      <c r="F884" s="4">
        <v>528884.68299999996</v>
      </c>
      <c r="G884" s="4">
        <v>528884.69299999997</v>
      </c>
      <c r="H884" s="5">
        <f>0 / 86400</f>
        <v>0</v>
      </c>
      <c r="I884" t="s">
        <v>142</v>
      </c>
      <c r="J884" t="s">
        <v>144</v>
      </c>
      <c r="K884" s="5">
        <f>29 / 86400</f>
        <v>3.3564814814814812E-4</v>
      </c>
      <c r="L884" s="5">
        <f>188 / 86400</f>
        <v>2.1759259259259258E-3</v>
      </c>
    </row>
    <row r="885" spans="1:12" x14ac:dyDescent="0.25">
      <c r="A885" s="3">
        <v>45705.670844907407</v>
      </c>
      <c r="B885" t="s">
        <v>161</v>
      </c>
      <c r="C885" s="3">
        <v>45705.675486111111</v>
      </c>
      <c r="D885" t="s">
        <v>94</v>
      </c>
      <c r="E885" s="4">
        <v>0.8150000000596046</v>
      </c>
      <c r="F885" s="4">
        <v>528884.69299999997</v>
      </c>
      <c r="G885" s="4">
        <v>528885.50800000003</v>
      </c>
      <c r="H885" s="5">
        <f>200 / 86400</f>
        <v>2.3148148148148147E-3</v>
      </c>
      <c r="I885" t="s">
        <v>193</v>
      </c>
      <c r="J885" t="s">
        <v>151</v>
      </c>
      <c r="K885" s="5">
        <f>400 / 86400</f>
        <v>4.6296296296296294E-3</v>
      </c>
      <c r="L885" s="5">
        <f>1258 / 86400</f>
        <v>1.4560185185185185E-2</v>
      </c>
    </row>
    <row r="886" spans="1:12" x14ac:dyDescent="0.25">
      <c r="A886" s="3">
        <v>45705.690046296295</v>
      </c>
      <c r="B886" t="s">
        <v>94</v>
      </c>
      <c r="C886" s="3">
        <v>45705.691331018519</v>
      </c>
      <c r="D886" t="s">
        <v>372</v>
      </c>
      <c r="E886" s="4">
        <v>7.9000000000000001E-2</v>
      </c>
      <c r="F886" s="4">
        <v>528885.50800000003</v>
      </c>
      <c r="G886" s="4">
        <v>528885.58700000006</v>
      </c>
      <c r="H886" s="5">
        <f>59 / 86400</f>
        <v>6.8287037037037036E-4</v>
      </c>
      <c r="I886" t="s">
        <v>151</v>
      </c>
      <c r="J886" t="s">
        <v>84</v>
      </c>
      <c r="K886" s="5">
        <f>110 / 86400</f>
        <v>1.2731481481481483E-3</v>
      </c>
      <c r="L886" s="5">
        <f>298 / 86400</f>
        <v>3.449074074074074E-3</v>
      </c>
    </row>
    <row r="887" spans="1:12" x14ac:dyDescent="0.25">
      <c r="A887" s="3">
        <v>45705.694780092592</v>
      </c>
      <c r="B887" t="s">
        <v>372</v>
      </c>
      <c r="C887" s="3">
        <v>45705.697962962964</v>
      </c>
      <c r="D887" t="s">
        <v>80</v>
      </c>
      <c r="E887" s="4">
        <v>0.91799999994039538</v>
      </c>
      <c r="F887" s="4">
        <v>528885.58700000006</v>
      </c>
      <c r="G887" s="4">
        <v>528886.505</v>
      </c>
      <c r="H887" s="5">
        <f>59 / 86400</f>
        <v>6.8287037037037036E-4</v>
      </c>
      <c r="I887" t="s">
        <v>216</v>
      </c>
      <c r="J887" t="s">
        <v>162</v>
      </c>
      <c r="K887" s="5">
        <f>275 / 86400</f>
        <v>3.1828703703703702E-3</v>
      </c>
      <c r="L887" s="5">
        <f>87 / 86400</f>
        <v>1.0069444444444444E-3</v>
      </c>
    </row>
    <row r="888" spans="1:12" x14ac:dyDescent="0.25">
      <c r="A888" s="3">
        <v>45705.698969907404</v>
      </c>
      <c r="B888" t="s">
        <v>80</v>
      </c>
      <c r="C888" s="3">
        <v>45705.703171296293</v>
      </c>
      <c r="D888" t="s">
        <v>137</v>
      </c>
      <c r="E888" s="4">
        <v>0.26500000000000001</v>
      </c>
      <c r="F888" s="4">
        <v>528886.505</v>
      </c>
      <c r="G888" s="4">
        <v>528886.77</v>
      </c>
      <c r="H888" s="5">
        <f>259 / 86400</f>
        <v>2.9976851851851853E-3</v>
      </c>
      <c r="I888" t="s">
        <v>141</v>
      </c>
      <c r="J888" t="s">
        <v>84</v>
      </c>
      <c r="K888" s="5">
        <f>362 / 86400</f>
        <v>4.1898148148148146E-3</v>
      </c>
      <c r="L888" s="5">
        <f>685 / 86400</f>
        <v>7.9282407407407409E-3</v>
      </c>
    </row>
    <row r="889" spans="1:12" x14ac:dyDescent="0.25">
      <c r="A889" s="3">
        <v>45705.711099537039</v>
      </c>
      <c r="B889" t="s">
        <v>137</v>
      </c>
      <c r="C889" s="3">
        <v>45705.711481481485</v>
      </c>
      <c r="D889" t="s">
        <v>137</v>
      </c>
      <c r="E889" s="4">
        <v>0.08</v>
      </c>
      <c r="F889" s="4">
        <v>528886.77</v>
      </c>
      <c r="G889" s="4">
        <v>528886.85</v>
      </c>
      <c r="H889" s="5">
        <f>0 / 86400</f>
        <v>0</v>
      </c>
      <c r="I889" t="s">
        <v>30</v>
      </c>
      <c r="J889" t="s">
        <v>133</v>
      </c>
      <c r="K889" s="5">
        <f>33 / 86400</f>
        <v>3.8194444444444446E-4</v>
      </c>
      <c r="L889" s="5">
        <f>1245 / 86400</f>
        <v>1.4409722222222223E-2</v>
      </c>
    </row>
    <row r="890" spans="1:12" x14ac:dyDescent="0.25">
      <c r="A890" s="3">
        <v>45705.725891203707</v>
      </c>
      <c r="B890" t="s">
        <v>137</v>
      </c>
      <c r="C890" s="3">
        <v>45705.883668981478</v>
      </c>
      <c r="D890" t="s">
        <v>290</v>
      </c>
      <c r="E890" s="4">
        <v>66.625</v>
      </c>
      <c r="F890" s="4">
        <v>528886.85</v>
      </c>
      <c r="G890" s="4">
        <v>528953.47499999998</v>
      </c>
      <c r="H890" s="5">
        <f>5098 / 86400</f>
        <v>5.9004629629629629E-2</v>
      </c>
      <c r="I890" t="s">
        <v>58</v>
      </c>
      <c r="J890" t="s">
        <v>23</v>
      </c>
      <c r="K890" s="5">
        <f>13632 / 86400</f>
        <v>0.15777777777777777</v>
      </c>
      <c r="L890" s="5">
        <f>899 / 86400</f>
        <v>1.0405092592592593E-2</v>
      </c>
    </row>
    <row r="891" spans="1:12" x14ac:dyDescent="0.25">
      <c r="A891" s="3">
        <v>45705.894074074073</v>
      </c>
      <c r="B891" t="s">
        <v>400</v>
      </c>
      <c r="C891" s="3">
        <v>45705.895127314812</v>
      </c>
      <c r="D891" t="s">
        <v>183</v>
      </c>
      <c r="E891" s="4">
        <v>0.20200000000000001</v>
      </c>
      <c r="F891" s="4">
        <v>528953.47499999998</v>
      </c>
      <c r="G891" s="4">
        <v>528953.67700000003</v>
      </c>
      <c r="H891" s="5">
        <f>39 / 86400</f>
        <v>4.5138888888888887E-4</v>
      </c>
      <c r="I891" t="s">
        <v>30</v>
      </c>
      <c r="J891" t="s">
        <v>107</v>
      </c>
      <c r="K891" s="5">
        <f>90 / 86400</f>
        <v>1.0416666666666667E-3</v>
      </c>
      <c r="L891" s="5">
        <f>421 / 86400</f>
        <v>4.8726851851851848E-3</v>
      </c>
    </row>
    <row r="892" spans="1:12" x14ac:dyDescent="0.25">
      <c r="A892" s="3">
        <v>45705.9</v>
      </c>
      <c r="B892" t="s">
        <v>183</v>
      </c>
      <c r="C892" s="3">
        <v>45705.99998842593</v>
      </c>
      <c r="D892" t="s">
        <v>79</v>
      </c>
      <c r="E892" s="4">
        <v>51.709000000059604</v>
      </c>
      <c r="F892" s="4">
        <v>528953.67700000003</v>
      </c>
      <c r="G892" s="4">
        <v>529005.38600000006</v>
      </c>
      <c r="H892" s="5">
        <f>3223 / 86400</f>
        <v>3.7303240740740741E-2</v>
      </c>
      <c r="I892" t="s">
        <v>19</v>
      </c>
      <c r="J892" t="s">
        <v>135</v>
      </c>
      <c r="K892" s="5">
        <f>8639 / 86400</f>
        <v>9.9988425925925925E-2</v>
      </c>
      <c r="L892" s="5">
        <f>0 / 86400</f>
        <v>0</v>
      </c>
    </row>
    <row r="893" spans="1:12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 spans="1:12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 spans="1:12" s="10" customFormat="1" ht="20.100000000000001" customHeight="1" x14ac:dyDescent="0.35">
      <c r="A895" s="12" t="s">
        <v>470</v>
      </c>
      <c r="B895" s="12"/>
      <c r="C895" s="12"/>
      <c r="D895" s="12"/>
      <c r="E895" s="12"/>
      <c r="F895" s="12"/>
      <c r="G895" s="12"/>
      <c r="H895" s="12"/>
      <c r="I895" s="12"/>
      <c r="J895" s="12"/>
    </row>
    <row r="896" spans="1:12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 spans="1:12" ht="30" x14ac:dyDescent="0.25">
      <c r="A897" s="2" t="s">
        <v>6</v>
      </c>
      <c r="B897" s="2" t="s">
        <v>7</v>
      </c>
      <c r="C897" s="2" t="s">
        <v>8</v>
      </c>
      <c r="D897" s="2" t="s">
        <v>9</v>
      </c>
      <c r="E897" s="2" t="s">
        <v>10</v>
      </c>
      <c r="F897" s="2" t="s">
        <v>11</v>
      </c>
      <c r="G897" s="2" t="s">
        <v>12</v>
      </c>
      <c r="H897" s="2" t="s">
        <v>13</v>
      </c>
      <c r="I897" s="2" t="s">
        <v>14</v>
      </c>
      <c r="J897" s="2" t="s">
        <v>15</v>
      </c>
      <c r="K897" s="2" t="s">
        <v>16</v>
      </c>
      <c r="L897" s="2" t="s">
        <v>17</v>
      </c>
    </row>
    <row r="898" spans="1:12" x14ac:dyDescent="0.25">
      <c r="A898" s="3">
        <v>45705.191250000003</v>
      </c>
      <c r="B898" t="s">
        <v>28</v>
      </c>
      <c r="C898" s="3">
        <v>45705.201319444444</v>
      </c>
      <c r="D898" t="s">
        <v>121</v>
      </c>
      <c r="E898" s="4">
        <v>4.2549999999999999</v>
      </c>
      <c r="F898" s="4">
        <v>568755.027</v>
      </c>
      <c r="G898" s="4">
        <v>568759.28200000001</v>
      </c>
      <c r="H898" s="5">
        <f>299 / 86400</f>
        <v>3.460648148148148E-3</v>
      </c>
      <c r="I898" t="s">
        <v>173</v>
      </c>
      <c r="J898" t="s">
        <v>23</v>
      </c>
      <c r="K898" s="5">
        <f>869 / 86400</f>
        <v>1.005787037037037E-2</v>
      </c>
      <c r="L898" s="5">
        <f>16722 / 86400</f>
        <v>0.19354166666666667</v>
      </c>
    </row>
    <row r="899" spans="1:12" x14ac:dyDescent="0.25">
      <c r="A899" s="3">
        <v>45705.203611111108</v>
      </c>
      <c r="B899" t="s">
        <v>121</v>
      </c>
      <c r="C899" s="3">
        <v>45705.204027777778</v>
      </c>
      <c r="D899" t="s">
        <v>121</v>
      </c>
      <c r="E899" s="4">
        <v>5.0000000000000001E-3</v>
      </c>
      <c r="F899" s="4">
        <v>568759.28200000001</v>
      </c>
      <c r="G899" s="4">
        <v>568759.28700000001</v>
      </c>
      <c r="H899" s="5">
        <f>20 / 86400</f>
        <v>2.3148148148148149E-4</v>
      </c>
      <c r="I899" t="s">
        <v>142</v>
      </c>
      <c r="J899" t="s">
        <v>144</v>
      </c>
      <c r="K899" s="5">
        <f>35 / 86400</f>
        <v>4.0509259259259258E-4</v>
      </c>
      <c r="L899" s="5">
        <f>2 / 86400</f>
        <v>2.3148148148148147E-5</v>
      </c>
    </row>
    <row r="900" spans="1:12" x14ac:dyDescent="0.25">
      <c r="A900" s="3">
        <v>45705.204050925924</v>
      </c>
      <c r="B900" t="s">
        <v>121</v>
      </c>
      <c r="C900" s="3">
        <v>45705.41342592593</v>
      </c>
      <c r="D900" t="s">
        <v>80</v>
      </c>
      <c r="E900" s="4">
        <v>81.768000000000001</v>
      </c>
      <c r="F900" s="4">
        <v>568759.28700000001</v>
      </c>
      <c r="G900" s="4">
        <v>568841.05500000005</v>
      </c>
      <c r="H900" s="5">
        <f>6305 / 86400</f>
        <v>7.2974537037037032E-2</v>
      </c>
      <c r="I900" t="s">
        <v>33</v>
      </c>
      <c r="J900" t="s">
        <v>62</v>
      </c>
      <c r="K900" s="5">
        <f>18090 / 86400</f>
        <v>0.20937500000000001</v>
      </c>
      <c r="L900" s="5">
        <f>272 / 86400</f>
        <v>3.1481481481481482E-3</v>
      </c>
    </row>
    <row r="901" spans="1:12" x14ac:dyDescent="0.25">
      <c r="A901" s="3">
        <v>45705.416574074072</v>
      </c>
      <c r="B901" t="s">
        <v>80</v>
      </c>
      <c r="C901" s="3">
        <v>45705.419490740736</v>
      </c>
      <c r="D901" t="s">
        <v>94</v>
      </c>
      <c r="E901" s="4">
        <v>0.94299999999999995</v>
      </c>
      <c r="F901" s="4">
        <v>568841.05500000005</v>
      </c>
      <c r="G901" s="4">
        <v>568841.99800000002</v>
      </c>
      <c r="H901" s="5">
        <f>0 / 86400</f>
        <v>0</v>
      </c>
      <c r="I901" t="s">
        <v>232</v>
      </c>
      <c r="J901" t="s">
        <v>75</v>
      </c>
      <c r="K901" s="5">
        <f>251 / 86400</f>
        <v>2.9050925925925928E-3</v>
      </c>
      <c r="L901" s="5">
        <f>788 / 86400</f>
        <v>9.1203703703703707E-3</v>
      </c>
    </row>
    <row r="902" spans="1:12" x14ac:dyDescent="0.25">
      <c r="A902" s="3">
        <v>45705.428611111114</v>
      </c>
      <c r="B902" t="s">
        <v>94</v>
      </c>
      <c r="C902" s="3">
        <v>45705.430833333332</v>
      </c>
      <c r="D902" t="s">
        <v>377</v>
      </c>
      <c r="E902" s="4">
        <v>0.58399999999999996</v>
      </c>
      <c r="F902" s="4">
        <v>568841.99800000002</v>
      </c>
      <c r="G902" s="4">
        <v>568842.58200000005</v>
      </c>
      <c r="H902" s="5">
        <f>20 / 86400</f>
        <v>2.3148148148148149E-4</v>
      </c>
      <c r="I902" t="s">
        <v>135</v>
      </c>
      <c r="J902" t="s">
        <v>45</v>
      </c>
      <c r="K902" s="5">
        <f>192 / 86400</f>
        <v>2.2222222222222222E-3</v>
      </c>
      <c r="L902" s="5">
        <f>3726 / 86400</f>
        <v>4.3124999999999997E-2</v>
      </c>
    </row>
    <row r="903" spans="1:12" x14ac:dyDescent="0.25">
      <c r="A903" s="3">
        <v>45705.473958333328</v>
      </c>
      <c r="B903" t="s">
        <v>377</v>
      </c>
      <c r="C903" s="3">
        <v>45705.476446759261</v>
      </c>
      <c r="D903" t="s">
        <v>128</v>
      </c>
      <c r="E903" s="4">
        <v>0.73699999999999999</v>
      </c>
      <c r="F903" s="4">
        <v>568842.58200000005</v>
      </c>
      <c r="G903" s="4">
        <v>568843.31900000002</v>
      </c>
      <c r="H903" s="5">
        <f>20 / 86400</f>
        <v>2.3148148148148149E-4</v>
      </c>
      <c r="I903" t="s">
        <v>232</v>
      </c>
      <c r="J903" t="s">
        <v>162</v>
      </c>
      <c r="K903" s="5">
        <f>215 / 86400</f>
        <v>2.488425925925926E-3</v>
      </c>
      <c r="L903" s="5">
        <f>4141 / 86400</f>
        <v>4.7928240740740743E-2</v>
      </c>
    </row>
    <row r="904" spans="1:12" x14ac:dyDescent="0.25">
      <c r="A904" s="3">
        <v>45705.524375000001</v>
      </c>
      <c r="B904" t="s">
        <v>128</v>
      </c>
      <c r="C904" s="3">
        <v>45705.650578703702</v>
      </c>
      <c r="D904" t="s">
        <v>401</v>
      </c>
      <c r="E904" s="4">
        <v>50.1</v>
      </c>
      <c r="F904" s="4">
        <v>568843.31900000002</v>
      </c>
      <c r="G904" s="4">
        <v>568893.41899999999</v>
      </c>
      <c r="H904" s="5">
        <f>4059 / 86400</f>
        <v>4.6979166666666669E-2</v>
      </c>
      <c r="I904" t="s">
        <v>37</v>
      </c>
      <c r="J904" t="s">
        <v>32</v>
      </c>
      <c r="K904" s="5">
        <f>10904 / 86400</f>
        <v>0.12620370370370371</v>
      </c>
      <c r="L904" s="5">
        <f>49 / 86400</f>
        <v>5.6712962962962967E-4</v>
      </c>
    </row>
    <row r="905" spans="1:12" x14ac:dyDescent="0.25">
      <c r="A905" s="3">
        <v>45705.651145833333</v>
      </c>
      <c r="B905" t="s">
        <v>401</v>
      </c>
      <c r="C905" s="3">
        <v>45705.652754629627</v>
      </c>
      <c r="D905" t="s">
        <v>402</v>
      </c>
      <c r="E905" s="4">
        <v>0.17499999999999999</v>
      </c>
      <c r="F905" s="4">
        <v>568893.41899999999</v>
      </c>
      <c r="G905" s="4">
        <v>568893.59400000004</v>
      </c>
      <c r="H905" s="5">
        <f>80 / 86400</f>
        <v>9.2592592592592596E-4</v>
      </c>
      <c r="I905" t="s">
        <v>27</v>
      </c>
      <c r="J905" t="s">
        <v>142</v>
      </c>
      <c r="K905" s="5">
        <f>139 / 86400</f>
        <v>1.6087962962962963E-3</v>
      </c>
      <c r="L905" s="5">
        <f>316 / 86400</f>
        <v>3.6574074074074074E-3</v>
      </c>
    </row>
    <row r="906" spans="1:12" x14ac:dyDescent="0.25">
      <c r="A906" s="3">
        <v>45705.656412037039</v>
      </c>
      <c r="B906" t="s">
        <v>330</v>
      </c>
      <c r="C906" s="3">
        <v>45705.656666666662</v>
      </c>
      <c r="D906" t="s">
        <v>330</v>
      </c>
      <c r="E906" s="4">
        <v>6.0000000000000001E-3</v>
      </c>
      <c r="F906" s="4">
        <v>568893.59400000004</v>
      </c>
      <c r="G906" s="4">
        <v>568893.6</v>
      </c>
      <c r="H906" s="5">
        <f>19 / 86400</f>
        <v>2.199074074074074E-4</v>
      </c>
      <c r="I906" t="s">
        <v>73</v>
      </c>
      <c r="J906" t="s">
        <v>144</v>
      </c>
      <c r="K906" s="5">
        <f>22 / 86400</f>
        <v>2.5462962962962961E-4</v>
      </c>
      <c r="L906" s="5">
        <f>169 / 86400</f>
        <v>1.9560185185185184E-3</v>
      </c>
    </row>
    <row r="907" spans="1:12" x14ac:dyDescent="0.25">
      <c r="A907" s="3">
        <v>45705.658622685187</v>
      </c>
      <c r="B907" t="s">
        <v>381</v>
      </c>
      <c r="C907" s="3">
        <v>45705.804664351846</v>
      </c>
      <c r="D907" t="s">
        <v>183</v>
      </c>
      <c r="E907" s="4">
        <v>45.640999999999998</v>
      </c>
      <c r="F907" s="4">
        <v>568893.6</v>
      </c>
      <c r="G907" s="4">
        <v>568939.24100000004</v>
      </c>
      <c r="H907" s="5">
        <f>4998 / 86400</f>
        <v>5.7847222222222223E-2</v>
      </c>
      <c r="I907" t="s">
        <v>44</v>
      </c>
      <c r="J907" t="s">
        <v>66</v>
      </c>
      <c r="K907" s="5">
        <f>12618 / 86400</f>
        <v>0.14604166666666665</v>
      </c>
      <c r="L907" s="5">
        <f>55 / 86400</f>
        <v>6.3657407407407413E-4</v>
      </c>
    </row>
    <row r="908" spans="1:12" x14ac:dyDescent="0.25">
      <c r="A908" s="3">
        <v>45705.805300925931</v>
      </c>
      <c r="B908" t="s">
        <v>183</v>
      </c>
      <c r="C908" s="3">
        <v>45705.806261574078</v>
      </c>
      <c r="D908" t="s">
        <v>403</v>
      </c>
      <c r="E908" s="4">
        <v>0.152</v>
      </c>
      <c r="F908" s="4">
        <v>568939.24100000004</v>
      </c>
      <c r="G908" s="4">
        <v>568939.39300000004</v>
      </c>
      <c r="H908" s="5">
        <f>0 / 86400</f>
        <v>0</v>
      </c>
      <c r="I908" t="s">
        <v>45</v>
      </c>
      <c r="J908" t="s">
        <v>151</v>
      </c>
      <c r="K908" s="5">
        <f>82 / 86400</f>
        <v>9.4907407407407408E-4</v>
      </c>
      <c r="L908" s="5">
        <f>610 / 86400</f>
        <v>7.060185185185185E-3</v>
      </c>
    </row>
    <row r="909" spans="1:12" x14ac:dyDescent="0.25">
      <c r="A909" s="3">
        <v>45705.813321759255</v>
      </c>
      <c r="B909" t="s">
        <v>403</v>
      </c>
      <c r="C909" s="3">
        <v>45705.847349537042</v>
      </c>
      <c r="D909" t="s">
        <v>111</v>
      </c>
      <c r="E909" s="4">
        <v>18.071000000000002</v>
      </c>
      <c r="F909" s="4">
        <v>568939.39300000004</v>
      </c>
      <c r="G909" s="4">
        <v>568957.46400000004</v>
      </c>
      <c r="H909" s="5">
        <f>1020 / 86400</f>
        <v>1.1805555555555555E-2</v>
      </c>
      <c r="I909" t="s">
        <v>26</v>
      </c>
      <c r="J909" t="s">
        <v>135</v>
      </c>
      <c r="K909" s="5">
        <f>2940 / 86400</f>
        <v>3.4027777777777775E-2</v>
      </c>
      <c r="L909" s="5">
        <f>673 / 86400</f>
        <v>7.789351851851852E-3</v>
      </c>
    </row>
    <row r="910" spans="1:12" x14ac:dyDescent="0.25">
      <c r="A910" s="3">
        <v>45705.855138888888</v>
      </c>
      <c r="B910" t="s">
        <v>111</v>
      </c>
      <c r="C910" s="3">
        <v>45705.861655092594</v>
      </c>
      <c r="D910" t="s">
        <v>39</v>
      </c>
      <c r="E910" s="4">
        <v>2.7290000000000001</v>
      </c>
      <c r="F910" s="4">
        <v>568957.46400000004</v>
      </c>
      <c r="G910" s="4">
        <v>568960.19299999997</v>
      </c>
      <c r="H910" s="5">
        <f>220 / 86400</f>
        <v>2.5462962962962965E-3</v>
      </c>
      <c r="I910" t="s">
        <v>180</v>
      </c>
      <c r="J910" t="s">
        <v>32</v>
      </c>
      <c r="K910" s="5">
        <f>562 / 86400</f>
        <v>6.5046296296296293E-3</v>
      </c>
      <c r="L910" s="5">
        <f>11952 / 86400</f>
        <v>0.13833333333333334</v>
      </c>
    </row>
    <row r="911" spans="1:12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 spans="1:12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 spans="1:12" s="10" customFormat="1" ht="20.100000000000001" customHeight="1" x14ac:dyDescent="0.35">
      <c r="A913" s="12" t="s">
        <v>471</v>
      </c>
      <c r="B913" s="12"/>
      <c r="C913" s="12"/>
      <c r="D913" s="12"/>
      <c r="E913" s="12"/>
      <c r="F913" s="12"/>
      <c r="G913" s="12"/>
      <c r="H913" s="12"/>
      <c r="I913" s="12"/>
      <c r="J913" s="12"/>
    </row>
    <row r="914" spans="1:12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 spans="1:12" ht="30" x14ac:dyDescent="0.25">
      <c r="A915" s="2" t="s">
        <v>6</v>
      </c>
      <c r="B915" s="2" t="s">
        <v>7</v>
      </c>
      <c r="C915" s="2" t="s">
        <v>8</v>
      </c>
      <c r="D915" s="2" t="s">
        <v>9</v>
      </c>
      <c r="E915" s="2" t="s">
        <v>10</v>
      </c>
      <c r="F915" s="2" t="s">
        <v>11</v>
      </c>
      <c r="G915" s="2" t="s">
        <v>12</v>
      </c>
      <c r="H915" s="2" t="s">
        <v>13</v>
      </c>
      <c r="I915" s="2" t="s">
        <v>14</v>
      </c>
      <c r="J915" s="2" t="s">
        <v>15</v>
      </c>
      <c r="K915" s="2" t="s">
        <v>16</v>
      </c>
      <c r="L915" s="2" t="s">
        <v>17</v>
      </c>
    </row>
    <row r="916" spans="1:12" x14ac:dyDescent="0.25">
      <c r="A916" s="3">
        <v>45705.217476851853</v>
      </c>
      <c r="B916" t="s">
        <v>80</v>
      </c>
      <c r="C916" s="3">
        <v>45705.220983796295</v>
      </c>
      <c r="D916" t="s">
        <v>377</v>
      </c>
      <c r="E916" s="4">
        <v>0.83399999999999996</v>
      </c>
      <c r="F916" s="4">
        <v>516242.96899999998</v>
      </c>
      <c r="G916" s="4">
        <v>516243.80300000001</v>
      </c>
      <c r="H916" s="5">
        <f>29 / 86400</f>
        <v>3.3564814814814812E-4</v>
      </c>
      <c r="I916" t="s">
        <v>38</v>
      </c>
      <c r="J916" t="s">
        <v>118</v>
      </c>
      <c r="K916" s="5">
        <f>303 / 86400</f>
        <v>3.5069444444444445E-3</v>
      </c>
      <c r="L916" s="5">
        <f>21081 / 86400</f>
        <v>0.24399305555555556</v>
      </c>
    </row>
    <row r="917" spans="1:12" x14ac:dyDescent="0.25">
      <c r="A917" s="3">
        <v>45705.247499999998</v>
      </c>
      <c r="B917" t="s">
        <v>377</v>
      </c>
      <c r="C917" s="3">
        <v>45705.312615740739</v>
      </c>
      <c r="D917" t="s">
        <v>225</v>
      </c>
      <c r="E917" s="4">
        <v>34.247999999999998</v>
      </c>
      <c r="F917" s="4">
        <v>516243.80300000001</v>
      </c>
      <c r="G917" s="4">
        <v>516278.05099999998</v>
      </c>
      <c r="H917" s="5">
        <f>1441 / 86400</f>
        <v>1.667824074074074E-2</v>
      </c>
      <c r="I917" t="s">
        <v>92</v>
      </c>
      <c r="J917" t="s">
        <v>135</v>
      </c>
      <c r="K917" s="5">
        <f>5626 / 86400</f>
        <v>6.5115740740740738E-2</v>
      </c>
      <c r="L917" s="5">
        <f>6 / 86400</f>
        <v>6.9444444444444444E-5</v>
      </c>
    </row>
    <row r="918" spans="1:12" x14ac:dyDescent="0.25">
      <c r="A918" s="3">
        <v>45705.312685185185</v>
      </c>
      <c r="B918" t="s">
        <v>225</v>
      </c>
      <c r="C918" s="3">
        <v>45705.347129629634</v>
      </c>
      <c r="D918" t="s">
        <v>404</v>
      </c>
      <c r="E918" s="4">
        <v>8.7210000000000001</v>
      </c>
      <c r="F918" s="4">
        <v>516278.05599999998</v>
      </c>
      <c r="G918" s="4">
        <v>516286.777</v>
      </c>
      <c r="H918" s="5">
        <f>1277 / 86400</f>
        <v>1.4780092592592593E-2</v>
      </c>
      <c r="I918" t="s">
        <v>197</v>
      </c>
      <c r="J918" t="s">
        <v>45</v>
      </c>
      <c r="K918" s="5">
        <f>2976 / 86400</f>
        <v>3.4444444444444444E-2</v>
      </c>
      <c r="L918" s="5">
        <f>29 / 86400</f>
        <v>3.3564814814814812E-4</v>
      </c>
    </row>
    <row r="919" spans="1:12" x14ac:dyDescent="0.25">
      <c r="A919" s="3">
        <v>45705.34746527778</v>
      </c>
      <c r="B919" t="s">
        <v>404</v>
      </c>
      <c r="C919" s="3">
        <v>45705.348043981481</v>
      </c>
      <c r="D919" t="s">
        <v>405</v>
      </c>
      <c r="E919" s="4">
        <v>3.9E-2</v>
      </c>
      <c r="F919" s="4">
        <v>516286.924</v>
      </c>
      <c r="G919" s="4">
        <v>516286.96299999999</v>
      </c>
      <c r="H919" s="5">
        <f>0 / 86400</f>
        <v>0</v>
      </c>
      <c r="I919" t="s">
        <v>133</v>
      </c>
      <c r="J919" t="s">
        <v>84</v>
      </c>
      <c r="K919" s="5">
        <f>50 / 86400</f>
        <v>5.7870370370370367E-4</v>
      </c>
      <c r="L919" s="5">
        <f>30 / 86400</f>
        <v>3.4722222222222224E-4</v>
      </c>
    </row>
    <row r="920" spans="1:12" x14ac:dyDescent="0.25">
      <c r="A920" s="3">
        <v>45705.348391203705</v>
      </c>
      <c r="B920" t="s">
        <v>404</v>
      </c>
      <c r="C920" s="3">
        <v>45705.358449074076</v>
      </c>
      <c r="D920" t="s">
        <v>406</v>
      </c>
      <c r="E920" s="4">
        <v>1.48</v>
      </c>
      <c r="F920" s="4">
        <v>516287.20199999999</v>
      </c>
      <c r="G920" s="4">
        <v>516288.68199999997</v>
      </c>
      <c r="H920" s="5">
        <f>570 / 86400</f>
        <v>6.5972222222222222E-3</v>
      </c>
      <c r="I920" t="s">
        <v>86</v>
      </c>
      <c r="J920" t="s">
        <v>153</v>
      </c>
      <c r="K920" s="5">
        <f>869 / 86400</f>
        <v>1.005787037037037E-2</v>
      </c>
      <c r="L920" s="5">
        <f>4 / 86400</f>
        <v>4.6296296296296294E-5</v>
      </c>
    </row>
    <row r="921" spans="1:12" x14ac:dyDescent="0.25">
      <c r="A921" s="3">
        <v>45705.358495370368</v>
      </c>
      <c r="B921" t="s">
        <v>312</v>
      </c>
      <c r="C921" s="3">
        <v>45705.358900462961</v>
      </c>
      <c r="D921" t="s">
        <v>407</v>
      </c>
      <c r="E921" s="4">
        <v>0.40200000000000002</v>
      </c>
      <c r="F921" s="4">
        <v>516288.69300000003</v>
      </c>
      <c r="G921" s="4">
        <v>516289.09499999997</v>
      </c>
      <c r="H921" s="5">
        <f>0 / 86400</f>
        <v>0</v>
      </c>
      <c r="I921" t="s">
        <v>181</v>
      </c>
      <c r="J921" t="s">
        <v>227</v>
      </c>
      <c r="K921" s="5">
        <f>35 / 86400</f>
        <v>4.0509259259259258E-4</v>
      </c>
      <c r="L921" s="5">
        <f>30 / 86400</f>
        <v>3.4722222222222224E-4</v>
      </c>
    </row>
    <row r="922" spans="1:12" x14ac:dyDescent="0.25">
      <c r="A922" s="3">
        <v>45705.359247685185</v>
      </c>
      <c r="B922" t="s">
        <v>249</v>
      </c>
      <c r="C922" s="3">
        <v>45705.3597337963</v>
      </c>
      <c r="D922" t="s">
        <v>262</v>
      </c>
      <c r="E922" s="4">
        <v>0.316</v>
      </c>
      <c r="F922" s="4">
        <v>516289.196</v>
      </c>
      <c r="G922" s="4">
        <v>516289.51199999999</v>
      </c>
      <c r="H922" s="5">
        <f>0 / 86400</f>
        <v>0</v>
      </c>
      <c r="I922" t="s">
        <v>265</v>
      </c>
      <c r="J922" t="s">
        <v>232</v>
      </c>
      <c r="K922" s="5">
        <f>42 / 86400</f>
        <v>4.861111111111111E-4</v>
      </c>
      <c r="L922" s="5">
        <f>30 / 86400</f>
        <v>3.4722222222222224E-4</v>
      </c>
    </row>
    <row r="923" spans="1:12" x14ac:dyDescent="0.25">
      <c r="A923" s="3">
        <v>45705.360081018516</v>
      </c>
      <c r="B923" t="s">
        <v>262</v>
      </c>
      <c r="C923" s="3">
        <v>45705.414965277778</v>
      </c>
      <c r="D923" t="s">
        <v>408</v>
      </c>
      <c r="E923" s="4">
        <v>11.228999999999999</v>
      </c>
      <c r="F923" s="4">
        <v>516289.84600000002</v>
      </c>
      <c r="G923" s="4">
        <v>516301.07500000001</v>
      </c>
      <c r="H923" s="5">
        <f>2311 / 86400</f>
        <v>2.6747685185185187E-2</v>
      </c>
      <c r="I923" t="s">
        <v>176</v>
      </c>
      <c r="J923" t="s">
        <v>133</v>
      </c>
      <c r="K923" s="5">
        <f>4742 / 86400</f>
        <v>5.4884259259259258E-2</v>
      </c>
      <c r="L923" s="5">
        <f>5 / 86400</f>
        <v>5.7870370370370373E-5</v>
      </c>
    </row>
    <row r="924" spans="1:12" x14ac:dyDescent="0.25">
      <c r="A924" s="3">
        <v>45705.415023148147</v>
      </c>
      <c r="B924" t="s">
        <v>408</v>
      </c>
      <c r="C924" s="3">
        <v>45705.501180555555</v>
      </c>
      <c r="D924" t="s">
        <v>128</v>
      </c>
      <c r="E924" s="4">
        <v>43.685000000000002</v>
      </c>
      <c r="F924" s="4">
        <v>516301.07799999998</v>
      </c>
      <c r="G924" s="4">
        <v>516344.76299999998</v>
      </c>
      <c r="H924" s="5">
        <f>1889 / 86400</f>
        <v>2.1863425925925925E-2</v>
      </c>
      <c r="I924" t="s">
        <v>26</v>
      </c>
      <c r="J924" t="s">
        <v>38</v>
      </c>
      <c r="K924" s="5">
        <f>7444 / 86400</f>
        <v>8.6157407407407405E-2</v>
      </c>
      <c r="L924" s="5">
        <f>711 / 86400</f>
        <v>8.2291666666666659E-3</v>
      </c>
    </row>
    <row r="925" spans="1:12" x14ac:dyDescent="0.25">
      <c r="A925" s="3">
        <v>45705.509409722217</v>
      </c>
      <c r="B925" t="s">
        <v>128</v>
      </c>
      <c r="C925" s="3">
        <v>45705.512291666666</v>
      </c>
      <c r="D925" t="s">
        <v>51</v>
      </c>
      <c r="E925" s="4">
        <v>0.751</v>
      </c>
      <c r="F925" s="4">
        <v>516344.76299999998</v>
      </c>
      <c r="G925" s="4">
        <v>516345.51400000002</v>
      </c>
      <c r="H925" s="5">
        <f>60 / 86400</f>
        <v>6.9444444444444447E-4</v>
      </c>
      <c r="I925" t="s">
        <v>38</v>
      </c>
      <c r="J925" t="s">
        <v>45</v>
      </c>
      <c r="K925" s="5">
        <f>249 / 86400</f>
        <v>2.8819444444444444E-3</v>
      </c>
      <c r="L925" s="5">
        <f>1819 / 86400</f>
        <v>2.105324074074074E-2</v>
      </c>
    </row>
    <row r="926" spans="1:12" x14ac:dyDescent="0.25">
      <c r="A926" s="3">
        <v>45705.53334490741</v>
      </c>
      <c r="B926" t="s">
        <v>51</v>
      </c>
      <c r="C926" s="3">
        <v>45705.535659722227</v>
      </c>
      <c r="D926" t="s">
        <v>161</v>
      </c>
      <c r="E926" s="4">
        <v>0.86599999999999999</v>
      </c>
      <c r="F926" s="4">
        <v>516345.51400000002</v>
      </c>
      <c r="G926" s="4">
        <v>516346.38</v>
      </c>
      <c r="H926" s="5">
        <f>30 / 86400</f>
        <v>3.4722222222222224E-4</v>
      </c>
      <c r="I926" t="s">
        <v>216</v>
      </c>
      <c r="J926" t="s">
        <v>62</v>
      </c>
      <c r="K926" s="5">
        <f>200 / 86400</f>
        <v>2.3148148148148147E-3</v>
      </c>
      <c r="L926" s="5">
        <f>338 / 86400</f>
        <v>3.9120370370370368E-3</v>
      </c>
    </row>
    <row r="927" spans="1:12" x14ac:dyDescent="0.25">
      <c r="A927" s="3">
        <v>45705.539571759262</v>
      </c>
      <c r="B927" t="s">
        <v>161</v>
      </c>
      <c r="C927" s="3">
        <v>45705.542627314819</v>
      </c>
      <c r="D927" t="s">
        <v>168</v>
      </c>
      <c r="E927" s="4">
        <v>0.746</v>
      </c>
      <c r="F927" s="4">
        <v>516346.38</v>
      </c>
      <c r="G927" s="4">
        <v>516347.12599999999</v>
      </c>
      <c r="H927" s="5">
        <f>30 / 86400</f>
        <v>3.4722222222222224E-4</v>
      </c>
      <c r="I927" t="s">
        <v>135</v>
      </c>
      <c r="J927" t="s">
        <v>118</v>
      </c>
      <c r="K927" s="5">
        <f>264 / 86400</f>
        <v>3.0555555555555557E-3</v>
      </c>
      <c r="L927" s="5">
        <f>456 / 86400</f>
        <v>5.2777777777777779E-3</v>
      </c>
    </row>
    <row r="928" spans="1:12" x14ac:dyDescent="0.25">
      <c r="A928" s="3">
        <v>45705.547905092593</v>
      </c>
      <c r="B928" t="s">
        <v>168</v>
      </c>
      <c r="C928" s="3">
        <v>45705.549456018518</v>
      </c>
      <c r="D928" t="s">
        <v>164</v>
      </c>
      <c r="E928" s="4">
        <v>5.2999999999999999E-2</v>
      </c>
      <c r="F928" s="4">
        <v>516347.12599999999</v>
      </c>
      <c r="G928" s="4">
        <v>516347.179</v>
      </c>
      <c r="H928" s="5">
        <f>119 / 86400</f>
        <v>1.3773148148148147E-3</v>
      </c>
      <c r="I928" t="s">
        <v>73</v>
      </c>
      <c r="J928" t="s">
        <v>144</v>
      </c>
      <c r="K928" s="5">
        <f>134 / 86400</f>
        <v>1.5509259259259259E-3</v>
      </c>
      <c r="L928" s="5">
        <f>39 / 86400</f>
        <v>4.5138888888888887E-4</v>
      </c>
    </row>
    <row r="929" spans="1:12" x14ac:dyDescent="0.25">
      <c r="A929" s="3">
        <v>45705.549907407403</v>
      </c>
      <c r="B929" t="s">
        <v>164</v>
      </c>
      <c r="C929" s="3">
        <v>45705.550289351857</v>
      </c>
      <c r="D929" t="s">
        <v>164</v>
      </c>
      <c r="E929" s="4">
        <v>1.2E-2</v>
      </c>
      <c r="F929" s="4">
        <v>516347.179</v>
      </c>
      <c r="G929" s="4">
        <v>516347.19099999999</v>
      </c>
      <c r="H929" s="5">
        <f>1 / 86400</f>
        <v>1.1574074074074073E-5</v>
      </c>
      <c r="I929" t="s">
        <v>151</v>
      </c>
      <c r="J929" t="s">
        <v>144</v>
      </c>
      <c r="K929" s="5">
        <f>33 / 86400</f>
        <v>3.8194444444444446E-4</v>
      </c>
      <c r="L929" s="5">
        <f>328 / 86400</f>
        <v>3.7962962962962963E-3</v>
      </c>
    </row>
    <row r="930" spans="1:12" x14ac:dyDescent="0.25">
      <c r="A930" s="3">
        <v>45705.554085648153</v>
      </c>
      <c r="B930" t="s">
        <v>164</v>
      </c>
      <c r="C930" s="3">
        <v>45705.566678240742</v>
      </c>
      <c r="D930" t="s">
        <v>208</v>
      </c>
      <c r="E930" s="4">
        <v>4.2649999999999997</v>
      </c>
      <c r="F930" s="4">
        <v>516347.19099999999</v>
      </c>
      <c r="G930" s="4">
        <v>516351.45600000001</v>
      </c>
      <c r="H930" s="5">
        <f>421 / 86400</f>
        <v>4.8726851851851848E-3</v>
      </c>
      <c r="I930" t="s">
        <v>215</v>
      </c>
      <c r="J930" t="s">
        <v>75</v>
      </c>
      <c r="K930" s="5">
        <f>1088 / 86400</f>
        <v>1.2592592592592593E-2</v>
      </c>
      <c r="L930" s="5">
        <f>4 / 86400</f>
        <v>4.6296296296296294E-5</v>
      </c>
    </row>
    <row r="931" spans="1:12" x14ac:dyDescent="0.25">
      <c r="A931" s="3">
        <v>45705.566724537042</v>
      </c>
      <c r="B931" t="s">
        <v>183</v>
      </c>
      <c r="C931" s="3">
        <v>45705.572800925926</v>
      </c>
      <c r="D931" t="s">
        <v>187</v>
      </c>
      <c r="E931" s="4">
        <v>3.0510000000000002</v>
      </c>
      <c r="F931" s="4">
        <v>516351.47499999998</v>
      </c>
      <c r="G931" s="4">
        <v>516354.52600000001</v>
      </c>
      <c r="H931" s="5">
        <f>120 / 86400</f>
        <v>1.3888888888888889E-3</v>
      </c>
      <c r="I931" t="s">
        <v>106</v>
      </c>
      <c r="J931" t="s">
        <v>38</v>
      </c>
      <c r="K931" s="5">
        <f>525 / 86400</f>
        <v>6.076388888888889E-3</v>
      </c>
      <c r="L931" s="5">
        <f>30 / 86400</f>
        <v>3.4722222222222224E-4</v>
      </c>
    </row>
    <row r="932" spans="1:12" x14ac:dyDescent="0.25">
      <c r="A932" s="3">
        <v>45705.573148148149</v>
      </c>
      <c r="B932" t="s">
        <v>187</v>
      </c>
      <c r="C932" s="3">
        <v>45705.71230324074</v>
      </c>
      <c r="D932" t="s">
        <v>266</v>
      </c>
      <c r="E932" s="4">
        <v>47.942</v>
      </c>
      <c r="F932" s="4">
        <v>516354.728</v>
      </c>
      <c r="G932" s="4">
        <v>516402.67</v>
      </c>
      <c r="H932" s="5">
        <f>5079 / 86400</f>
        <v>5.8784722222222224E-2</v>
      </c>
      <c r="I932" t="s">
        <v>92</v>
      </c>
      <c r="J932" t="s">
        <v>75</v>
      </c>
      <c r="K932" s="5">
        <f>12023 / 86400</f>
        <v>0.13915509259259259</v>
      </c>
      <c r="L932" s="5">
        <f>29 / 86400</f>
        <v>3.3564814814814812E-4</v>
      </c>
    </row>
    <row r="933" spans="1:12" x14ac:dyDescent="0.25">
      <c r="A933" s="3">
        <v>45705.712638888886</v>
      </c>
      <c r="B933" t="s">
        <v>345</v>
      </c>
      <c r="C933" s="3">
        <v>45705.722650462965</v>
      </c>
      <c r="D933" t="s">
        <v>242</v>
      </c>
      <c r="E933" s="4">
        <v>1.359</v>
      </c>
      <c r="F933" s="4">
        <v>516402.85499999998</v>
      </c>
      <c r="G933" s="4">
        <v>516404.21399999998</v>
      </c>
      <c r="H933" s="5">
        <f>330 / 86400</f>
        <v>3.8194444444444443E-3</v>
      </c>
      <c r="I933" t="s">
        <v>232</v>
      </c>
      <c r="J933" t="s">
        <v>153</v>
      </c>
      <c r="K933" s="5">
        <f>865 / 86400</f>
        <v>1.0011574074074074E-2</v>
      </c>
      <c r="L933" s="5">
        <f>2 / 86400</f>
        <v>2.3148148148148147E-5</v>
      </c>
    </row>
    <row r="934" spans="1:12" x14ac:dyDescent="0.25">
      <c r="A934" s="3">
        <v>45705.722673611112</v>
      </c>
      <c r="B934" t="s">
        <v>242</v>
      </c>
      <c r="C934" s="3">
        <v>45705.835115740745</v>
      </c>
      <c r="D934" t="s">
        <v>80</v>
      </c>
      <c r="E934" s="4">
        <v>43.195</v>
      </c>
      <c r="F934" s="4">
        <v>516404.217</v>
      </c>
      <c r="G934" s="4">
        <v>516447.41200000001</v>
      </c>
      <c r="H934" s="5">
        <f>3119 / 86400</f>
        <v>3.6099537037037034E-2</v>
      </c>
      <c r="I934" t="s">
        <v>140</v>
      </c>
      <c r="J934" t="s">
        <v>62</v>
      </c>
      <c r="K934" s="5">
        <f>9715 / 86400</f>
        <v>0.11244212962962963</v>
      </c>
      <c r="L934" s="5">
        <f>1591 / 86400</f>
        <v>1.8414351851851852E-2</v>
      </c>
    </row>
    <row r="935" spans="1:12" x14ac:dyDescent="0.25">
      <c r="A935" s="3">
        <v>45705.853530092594</v>
      </c>
      <c r="B935" t="s">
        <v>80</v>
      </c>
      <c r="C935" s="3">
        <v>45705.858877314815</v>
      </c>
      <c r="D935" t="s">
        <v>51</v>
      </c>
      <c r="E935" s="4">
        <v>0.88600000000000001</v>
      </c>
      <c r="F935" s="4">
        <v>516447.41200000001</v>
      </c>
      <c r="G935" s="4">
        <v>516448.29800000001</v>
      </c>
      <c r="H935" s="5">
        <f>120 / 86400</f>
        <v>1.3888888888888889E-3</v>
      </c>
      <c r="I935" t="s">
        <v>135</v>
      </c>
      <c r="J935" t="s">
        <v>151</v>
      </c>
      <c r="K935" s="5">
        <f>462 / 86400</f>
        <v>5.347222222222222E-3</v>
      </c>
      <c r="L935" s="5">
        <f>12192 / 86400</f>
        <v>0.1411111111111111</v>
      </c>
    </row>
    <row r="936" spans="1:12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 spans="1:12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2" s="10" customFormat="1" ht="20.100000000000001" customHeight="1" x14ac:dyDescent="0.35">
      <c r="A938" s="12" t="s">
        <v>472</v>
      </c>
      <c r="B938" s="12"/>
      <c r="C938" s="12"/>
      <c r="D938" s="12"/>
      <c r="E938" s="12"/>
      <c r="F938" s="12"/>
      <c r="G938" s="12"/>
      <c r="H938" s="12"/>
      <c r="I938" s="12"/>
      <c r="J938" s="12"/>
    </row>
    <row r="939" spans="1:12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 spans="1:12" ht="30" x14ac:dyDescent="0.25">
      <c r="A940" s="2" t="s">
        <v>6</v>
      </c>
      <c r="B940" s="2" t="s">
        <v>7</v>
      </c>
      <c r="C940" s="2" t="s">
        <v>8</v>
      </c>
      <c r="D940" s="2" t="s">
        <v>9</v>
      </c>
      <c r="E940" s="2" t="s">
        <v>10</v>
      </c>
      <c r="F940" s="2" t="s">
        <v>11</v>
      </c>
      <c r="G940" s="2" t="s">
        <v>12</v>
      </c>
      <c r="H940" s="2" t="s">
        <v>13</v>
      </c>
      <c r="I940" s="2" t="s">
        <v>14</v>
      </c>
      <c r="J940" s="2" t="s">
        <v>15</v>
      </c>
      <c r="K940" s="2" t="s">
        <v>16</v>
      </c>
      <c r="L940" s="2" t="s">
        <v>17</v>
      </c>
    </row>
    <row r="941" spans="1:12" x14ac:dyDescent="0.25">
      <c r="A941" s="3">
        <v>45705.230763888889</v>
      </c>
      <c r="B941" t="s">
        <v>81</v>
      </c>
      <c r="C941" s="3">
        <v>45705.460115740745</v>
      </c>
      <c r="D941" t="s">
        <v>128</v>
      </c>
      <c r="E941" s="4">
        <v>83.98</v>
      </c>
      <c r="F941" s="4">
        <v>505879.28399999999</v>
      </c>
      <c r="G941" s="4">
        <v>505963.26400000002</v>
      </c>
      <c r="H941" s="5">
        <f>7800 / 86400</f>
        <v>9.0277777777777776E-2</v>
      </c>
      <c r="I941" t="s">
        <v>140</v>
      </c>
      <c r="J941" t="s">
        <v>30</v>
      </c>
      <c r="K941" s="5">
        <f>19816 / 86400</f>
        <v>0.22935185185185186</v>
      </c>
      <c r="L941" s="5">
        <f>19994 / 86400</f>
        <v>0.23141203703703703</v>
      </c>
    </row>
    <row r="942" spans="1:12" x14ac:dyDescent="0.25">
      <c r="A942" s="3">
        <v>45705.460763888885</v>
      </c>
      <c r="B942" t="s">
        <v>128</v>
      </c>
      <c r="C942" s="3">
        <v>45705.460787037038</v>
      </c>
      <c r="D942" t="s">
        <v>128</v>
      </c>
      <c r="E942" s="4">
        <v>0</v>
      </c>
      <c r="F942" s="4">
        <v>505963.26400000002</v>
      </c>
      <c r="G942" s="4">
        <v>505963.26400000002</v>
      </c>
      <c r="H942" s="5">
        <f>2 / 86400</f>
        <v>2.3148148148148147E-5</v>
      </c>
      <c r="I942" t="s">
        <v>73</v>
      </c>
      <c r="J942" t="s">
        <v>73</v>
      </c>
      <c r="K942" s="5">
        <f>2 / 86400</f>
        <v>2.3148148148148147E-5</v>
      </c>
      <c r="L942" s="5">
        <f>36 / 86400</f>
        <v>4.1666666666666669E-4</v>
      </c>
    </row>
    <row r="943" spans="1:12" x14ac:dyDescent="0.25">
      <c r="A943" s="3">
        <v>45705.461215277777</v>
      </c>
      <c r="B943" t="s">
        <v>128</v>
      </c>
      <c r="C943" s="3">
        <v>45705.461516203708</v>
      </c>
      <c r="D943" t="s">
        <v>128</v>
      </c>
      <c r="E943" s="4">
        <v>0</v>
      </c>
      <c r="F943" s="4">
        <v>505963.26400000002</v>
      </c>
      <c r="G943" s="4">
        <v>505963.26400000002</v>
      </c>
      <c r="H943" s="5">
        <f>25 / 86400</f>
        <v>2.8935185185185184E-4</v>
      </c>
      <c r="I943" t="s">
        <v>73</v>
      </c>
      <c r="J943" t="s">
        <v>73</v>
      </c>
      <c r="K943" s="5">
        <f>26 / 86400</f>
        <v>3.0092592592592595E-4</v>
      </c>
      <c r="L943" s="5">
        <f>56 / 86400</f>
        <v>6.4814814814814813E-4</v>
      </c>
    </row>
    <row r="944" spans="1:12" x14ac:dyDescent="0.25">
      <c r="A944" s="3">
        <v>45705.462164351848</v>
      </c>
      <c r="B944" t="s">
        <v>128</v>
      </c>
      <c r="C944" s="3">
        <v>45705.794548611113</v>
      </c>
      <c r="D944" t="s">
        <v>82</v>
      </c>
      <c r="E944" s="4">
        <v>120.508</v>
      </c>
      <c r="F944" s="4">
        <v>505963.26400000002</v>
      </c>
      <c r="G944" s="4">
        <v>506083.772</v>
      </c>
      <c r="H944" s="5">
        <f>11900 / 86400</f>
        <v>0.13773148148148148</v>
      </c>
      <c r="I944" t="s">
        <v>42</v>
      </c>
      <c r="J944" t="s">
        <v>30</v>
      </c>
      <c r="K944" s="5">
        <f>28718 / 86400</f>
        <v>0.33238425925925924</v>
      </c>
      <c r="L944" s="5">
        <f>17750 / 86400</f>
        <v>0.20543981481481483</v>
      </c>
    </row>
    <row r="945" spans="1:12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 spans="1:12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 spans="1:12" s="10" customFormat="1" ht="20.100000000000001" customHeight="1" x14ac:dyDescent="0.35">
      <c r="A947" s="12" t="s">
        <v>473</v>
      </c>
      <c r="B947" s="12"/>
      <c r="C947" s="12"/>
      <c r="D947" s="12"/>
      <c r="E947" s="12"/>
      <c r="F947" s="12"/>
      <c r="G947" s="12"/>
      <c r="H947" s="12"/>
      <c r="I947" s="12"/>
      <c r="J947" s="12"/>
    </row>
    <row r="948" spans="1:12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2" ht="30" x14ac:dyDescent="0.25">
      <c r="A949" s="2" t="s">
        <v>6</v>
      </c>
      <c r="B949" s="2" t="s">
        <v>7</v>
      </c>
      <c r="C949" s="2" t="s">
        <v>8</v>
      </c>
      <c r="D949" s="2" t="s">
        <v>9</v>
      </c>
      <c r="E949" s="2" t="s">
        <v>10</v>
      </c>
      <c r="F949" s="2" t="s">
        <v>11</v>
      </c>
      <c r="G949" s="2" t="s">
        <v>12</v>
      </c>
      <c r="H949" s="2" t="s">
        <v>13</v>
      </c>
      <c r="I949" s="2" t="s">
        <v>14</v>
      </c>
      <c r="J949" s="2" t="s">
        <v>15</v>
      </c>
      <c r="K949" s="2" t="s">
        <v>16</v>
      </c>
      <c r="L949" s="2" t="s">
        <v>17</v>
      </c>
    </row>
    <row r="950" spans="1:12" x14ac:dyDescent="0.25">
      <c r="A950" s="3">
        <v>45705.427071759259</v>
      </c>
      <c r="B950" t="s">
        <v>83</v>
      </c>
      <c r="C950" s="3">
        <v>45705.428981481484</v>
      </c>
      <c r="D950" t="s">
        <v>83</v>
      </c>
      <c r="E950" s="4">
        <v>0.01</v>
      </c>
      <c r="F950" s="4">
        <v>352508.30499999999</v>
      </c>
      <c r="G950" s="4">
        <v>352508.315</v>
      </c>
      <c r="H950" s="5">
        <f>159 / 86400</f>
        <v>1.8402777777777777E-3</v>
      </c>
      <c r="I950" t="s">
        <v>144</v>
      </c>
      <c r="J950" t="s">
        <v>73</v>
      </c>
      <c r="K950" s="5">
        <f>165 / 86400</f>
        <v>1.9097222222222222E-3</v>
      </c>
      <c r="L950" s="5">
        <f>37113 / 86400</f>
        <v>0.42954861111111109</v>
      </c>
    </row>
    <row r="951" spans="1:12" x14ac:dyDescent="0.25">
      <c r="A951" s="3">
        <v>45705.431458333333</v>
      </c>
      <c r="B951" t="s">
        <v>83</v>
      </c>
      <c r="C951" s="3">
        <v>45705.433865740742</v>
      </c>
      <c r="D951" t="s">
        <v>83</v>
      </c>
      <c r="E951" s="4">
        <v>2.4E-2</v>
      </c>
      <c r="F951" s="4">
        <v>352508.315</v>
      </c>
      <c r="G951" s="4">
        <v>352508.33899999998</v>
      </c>
      <c r="H951" s="5">
        <f>159 / 86400</f>
        <v>1.8402777777777777E-3</v>
      </c>
      <c r="I951" t="s">
        <v>84</v>
      </c>
      <c r="J951" t="s">
        <v>73</v>
      </c>
      <c r="K951" s="5">
        <f>208 / 86400</f>
        <v>2.4074074074074076E-3</v>
      </c>
      <c r="L951" s="5">
        <f>48913 / 86400</f>
        <v>0.56612268518518516</v>
      </c>
    </row>
    <row r="952" spans="1:12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 spans="1:12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 spans="1:12" s="10" customFormat="1" ht="20.100000000000001" customHeight="1" x14ac:dyDescent="0.35">
      <c r="A954" s="12" t="s">
        <v>474</v>
      </c>
      <c r="B954" s="12"/>
      <c r="C954" s="12"/>
      <c r="D954" s="12"/>
      <c r="E954" s="12"/>
      <c r="F954" s="12"/>
      <c r="G954" s="12"/>
      <c r="H954" s="12"/>
      <c r="I954" s="12"/>
      <c r="J954" s="12"/>
    </row>
    <row r="955" spans="1:12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 spans="1:12" ht="30" x14ac:dyDescent="0.25">
      <c r="A956" s="2" t="s">
        <v>6</v>
      </c>
      <c r="B956" s="2" t="s">
        <v>7</v>
      </c>
      <c r="C956" s="2" t="s">
        <v>8</v>
      </c>
      <c r="D956" s="2" t="s">
        <v>9</v>
      </c>
      <c r="E956" s="2" t="s">
        <v>10</v>
      </c>
      <c r="F956" s="2" t="s">
        <v>11</v>
      </c>
      <c r="G956" s="2" t="s">
        <v>12</v>
      </c>
      <c r="H956" s="2" t="s">
        <v>13</v>
      </c>
      <c r="I956" s="2" t="s">
        <v>14</v>
      </c>
      <c r="J956" s="2" t="s">
        <v>15</v>
      </c>
      <c r="K956" s="2" t="s">
        <v>16</v>
      </c>
      <c r="L956" s="2" t="s">
        <v>17</v>
      </c>
    </row>
    <row r="957" spans="1:12" x14ac:dyDescent="0.25">
      <c r="A957" s="3">
        <v>45705.220543981486</v>
      </c>
      <c r="B957" t="s">
        <v>85</v>
      </c>
      <c r="C957" s="3">
        <v>45705.22075231481</v>
      </c>
      <c r="D957" t="s">
        <v>85</v>
      </c>
      <c r="E957" s="4">
        <v>0</v>
      </c>
      <c r="F957" s="4">
        <v>411453.228</v>
      </c>
      <c r="G957" s="4">
        <v>411453.228</v>
      </c>
      <c r="H957" s="5">
        <f>0 / 86400</f>
        <v>0</v>
      </c>
      <c r="I957" t="s">
        <v>73</v>
      </c>
      <c r="J957" t="s">
        <v>73</v>
      </c>
      <c r="K957" s="5">
        <f>18 / 86400</f>
        <v>2.0833333333333335E-4</v>
      </c>
      <c r="L957" s="5">
        <f>19092 / 86400</f>
        <v>0.22097222222222221</v>
      </c>
    </row>
    <row r="958" spans="1:12" x14ac:dyDescent="0.25">
      <c r="A958" s="3">
        <v>45705.221180555556</v>
      </c>
      <c r="B958" t="s">
        <v>85</v>
      </c>
      <c r="C958" s="3">
        <v>45705.439722222218</v>
      </c>
      <c r="D958" t="s">
        <v>392</v>
      </c>
      <c r="E958" s="4">
        <v>95.025999999999996</v>
      </c>
      <c r="F958" s="4">
        <v>411453.228</v>
      </c>
      <c r="G958" s="4">
        <v>411548.25400000002</v>
      </c>
      <c r="H958" s="5">
        <f>6565 / 86400</f>
        <v>7.5983796296296299E-2</v>
      </c>
      <c r="I958" t="s">
        <v>60</v>
      </c>
      <c r="J958" t="s">
        <v>23</v>
      </c>
      <c r="K958" s="5">
        <f>18881 / 86400</f>
        <v>0.2185300925925926</v>
      </c>
      <c r="L958" s="5">
        <f>1211 / 86400</f>
        <v>1.4016203703703704E-2</v>
      </c>
    </row>
    <row r="959" spans="1:12" x14ac:dyDescent="0.25">
      <c r="A959" s="3">
        <v>45705.453738425931</v>
      </c>
      <c r="B959" t="s">
        <v>392</v>
      </c>
      <c r="C959" s="3">
        <v>45705.456342592588</v>
      </c>
      <c r="D959" t="s">
        <v>80</v>
      </c>
      <c r="E959" s="4">
        <v>0.33700000000000002</v>
      </c>
      <c r="F959" s="4">
        <v>411548.25400000002</v>
      </c>
      <c r="G959" s="4">
        <v>411548.59100000001</v>
      </c>
      <c r="H959" s="5">
        <f>60 / 86400</f>
        <v>6.9444444444444447E-4</v>
      </c>
      <c r="I959" t="s">
        <v>62</v>
      </c>
      <c r="J959" t="s">
        <v>142</v>
      </c>
      <c r="K959" s="5">
        <f>224 / 86400</f>
        <v>2.5925925925925925E-3</v>
      </c>
      <c r="L959" s="5">
        <f>382 / 86400</f>
        <v>4.4212962962962964E-3</v>
      </c>
    </row>
    <row r="960" spans="1:12" x14ac:dyDescent="0.25">
      <c r="A960" s="3">
        <v>45705.460763888885</v>
      </c>
      <c r="B960" t="s">
        <v>80</v>
      </c>
      <c r="C960" s="3">
        <v>45705.461701388893</v>
      </c>
      <c r="D960" t="s">
        <v>93</v>
      </c>
      <c r="E960" s="4">
        <v>3.2000000000000001E-2</v>
      </c>
      <c r="F960" s="4">
        <v>411548.59100000001</v>
      </c>
      <c r="G960" s="4">
        <v>411548.62300000002</v>
      </c>
      <c r="H960" s="5">
        <f>39 / 86400</f>
        <v>4.5138888888888887E-4</v>
      </c>
      <c r="I960" t="s">
        <v>142</v>
      </c>
      <c r="J960" t="s">
        <v>144</v>
      </c>
      <c r="K960" s="5">
        <f>80 / 86400</f>
        <v>9.2592592592592596E-4</v>
      </c>
      <c r="L960" s="5">
        <f>139 / 86400</f>
        <v>1.6087962962962963E-3</v>
      </c>
    </row>
    <row r="961" spans="1:12" x14ac:dyDescent="0.25">
      <c r="A961" s="3">
        <v>45705.463310185187</v>
      </c>
      <c r="B961" t="s">
        <v>93</v>
      </c>
      <c r="C961" s="3">
        <v>45705.463437500002</v>
      </c>
      <c r="D961" t="s">
        <v>93</v>
      </c>
      <c r="E961" s="4">
        <v>8.0000000000000002E-3</v>
      </c>
      <c r="F961" s="4">
        <v>411548.62300000002</v>
      </c>
      <c r="G961" s="4">
        <v>411548.63099999999</v>
      </c>
      <c r="H961" s="5">
        <f>0 / 86400</f>
        <v>0</v>
      </c>
      <c r="I961" t="s">
        <v>73</v>
      </c>
      <c r="J961" t="s">
        <v>84</v>
      </c>
      <c r="K961" s="5">
        <f>11 / 86400</f>
        <v>1.273148148148148E-4</v>
      </c>
      <c r="L961" s="5">
        <f>1717 / 86400</f>
        <v>1.9872685185185184E-2</v>
      </c>
    </row>
    <row r="962" spans="1:12" x14ac:dyDescent="0.25">
      <c r="A962" s="3">
        <v>45705.483310185184</v>
      </c>
      <c r="B962" t="s">
        <v>93</v>
      </c>
      <c r="C962" s="3">
        <v>45705.502395833333</v>
      </c>
      <c r="D962" t="s">
        <v>128</v>
      </c>
      <c r="E962" s="4">
        <v>1.24</v>
      </c>
      <c r="F962" s="4">
        <v>411548.63099999999</v>
      </c>
      <c r="G962" s="4">
        <v>411549.87099999998</v>
      </c>
      <c r="H962" s="5">
        <f>1319 / 86400</f>
        <v>1.5266203703703704E-2</v>
      </c>
      <c r="I962" t="s">
        <v>152</v>
      </c>
      <c r="J962" t="s">
        <v>84</v>
      </c>
      <c r="K962" s="5">
        <f>1649 / 86400</f>
        <v>1.9085648148148147E-2</v>
      </c>
      <c r="L962" s="5">
        <f>1175 / 86400</f>
        <v>1.3599537037037037E-2</v>
      </c>
    </row>
    <row r="963" spans="1:12" x14ac:dyDescent="0.25">
      <c r="A963" s="3">
        <v>45705.51599537037</v>
      </c>
      <c r="B963" t="s">
        <v>128</v>
      </c>
      <c r="C963" s="3">
        <v>45705.756874999999</v>
      </c>
      <c r="D963" t="s">
        <v>409</v>
      </c>
      <c r="E963" s="4">
        <v>112.342</v>
      </c>
      <c r="F963" s="4">
        <v>411549.87099999998</v>
      </c>
      <c r="G963" s="4">
        <v>411662.21299999999</v>
      </c>
      <c r="H963" s="5">
        <f>5759 / 86400</f>
        <v>6.6655092592592599E-2</v>
      </c>
      <c r="I963" t="s">
        <v>33</v>
      </c>
      <c r="J963" t="s">
        <v>27</v>
      </c>
      <c r="K963" s="5">
        <f>20812 / 86400</f>
        <v>0.24087962962962964</v>
      </c>
      <c r="L963" s="5">
        <f>3552 / 86400</f>
        <v>4.1111111111111112E-2</v>
      </c>
    </row>
    <row r="964" spans="1:12" x14ac:dyDescent="0.25">
      <c r="A964" s="3">
        <v>45705.797986111109</v>
      </c>
      <c r="B964" t="s">
        <v>85</v>
      </c>
      <c r="C964" s="3">
        <v>45705.799525462964</v>
      </c>
      <c r="D964" t="s">
        <v>85</v>
      </c>
      <c r="E964" s="4">
        <v>1.9E-2</v>
      </c>
      <c r="F964" s="4">
        <v>411662.21299999999</v>
      </c>
      <c r="G964" s="4">
        <v>411662.23200000002</v>
      </c>
      <c r="H964" s="5">
        <f>40 / 86400</f>
        <v>4.6296296296296298E-4</v>
      </c>
      <c r="I964" t="s">
        <v>143</v>
      </c>
      <c r="J964" t="s">
        <v>144</v>
      </c>
      <c r="K964" s="5">
        <f>132 / 86400</f>
        <v>1.5277777777777779E-3</v>
      </c>
      <c r="L964" s="5">
        <f>17320 / 86400</f>
        <v>0.20046296296296295</v>
      </c>
    </row>
    <row r="965" spans="1:12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 spans="1:12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 spans="1:12" s="10" customFormat="1" ht="20.100000000000001" customHeight="1" x14ac:dyDescent="0.35">
      <c r="A967" s="12" t="s">
        <v>475</v>
      </c>
      <c r="B967" s="12"/>
      <c r="C967" s="12"/>
      <c r="D967" s="12"/>
      <c r="E967" s="12"/>
      <c r="F967" s="12"/>
      <c r="G967" s="12"/>
      <c r="H967" s="12"/>
      <c r="I967" s="12"/>
      <c r="J967" s="12"/>
    </row>
    <row r="968" spans="1:12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 spans="1:12" ht="30" x14ac:dyDescent="0.25">
      <c r="A969" s="2" t="s">
        <v>6</v>
      </c>
      <c r="B969" s="2" t="s">
        <v>7</v>
      </c>
      <c r="C969" s="2" t="s">
        <v>8</v>
      </c>
      <c r="D969" s="2" t="s">
        <v>9</v>
      </c>
      <c r="E969" s="2" t="s">
        <v>10</v>
      </c>
      <c r="F969" s="2" t="s">
        <v>11</v>
      </c>
      <c r="G969" s="2" t="s">
        <v>12</v>
      </c>
      <c r="H969" s="2" t="s">
        <v>13</v>
      </c>
      <c r="I969" s="2" t="s">
        <v>14</v>
      </c>
      <c r="J969" s="2" t="s">
        <v>15</v>
      </c>
      <c r="K969" s="2" t="s">
        <v>16</v>
      </c>
      <c r="L969" s="2" t="s">
        <v>17</v>
      </c>
    </row>
    <row r="970" spans="1:12" x14ac:dyDescent="0.25">
      <c r="A970" s="3">
        <v>45705.348287037035</v>
      </c>
      <c r="B970" t="s">
        <v>28</v>
      </c>
      <c r="C970" s="3">
        <v>45705.359143518523</v>
      </c>
      <c r="D970" t="s">
        <v>24</v>
      </c>
      <c r="E970" s="4">
        <v>4.875</v>
      </c>
      <c r="F970" s="4">
        <v>442389.66700000002</v>
      </c>
      <c r="G970" s="4">
        <v>442394.54200000002</v>
      </c>
      <c r="H970" s="5">
        <f>60 / 86400</f>
        <v>6.9444444444444447E-4</v>
      </c>
      <c r="I970" t="s">
        <v>86</v>
      </c>
      <c r="J970" t="s">
        <v>27</v>
      </c>
      <c r="K970" s="5">
        <f>938 / 86400</f>
        <v>1.0856481481481481E-2</v>
      </c>
      <c r="L970" s="5">
        <f>30223 / 86400</f>
        <v>0.34980324074074076</v>
      </c>
    </row>
    <row r="971" spans="1:12" x14ac:dyDescent="0.25">
      <c r="A971" s="3">
        <v>45705.360659722224</v>
      </c>
      <c r="B971" t="s">
        <v>24</v>
      </c>
      <c r="C971" s="3">
        <v>45705.361064814817</v>
      </c>
      <c r="D971" t="s">
        <v>24</v>
      </c>
      <c r="E971" s="4">
        <v>4.0000000000000001E-3</v>
      </c>
      <c r="F971" s="4">
        <v>442394.54200000002</v>
      </c>
      <c r="G971" s="4">
        <v>442394.54599999997</v>
      </c>
      <c r="H971" s="5">
        <f>19 / 86400</f>
        <v>2.199074074074074E-4</v>
      </c>
      <c r="I971" t="s">
        <v>73</v>
      </c>
      <c r="J971" t="s">
        <v>73</v>
      </c>
      <c r="K971" s="5">
        <f>35 / 86400</f>
        <v>4.0509259259259258E-4</v>
      </c>
      <c r="L971" s="5">
        <f>18044 / 86400</f>
        <v>0.20884259259259258</v>
      </c>
    </row>
    <row r="972" spans="1:12" x14ac:dyDescent="0.25">
      <c r="A972" s="3">
        <v>45705.569907407407</v>
      </c>
      <c r="B972" t="s">
        <v>24</v>
      </c>
      <c r="C972" s="3">
        <v>45705.583692129629</v>
      </c>
      <c r="D972" t="s">
        <v>28</v>
      </c>
      <c r="E972" s="4">
        <v>5.3040000000000003</v>
      </c>
      <c r="F972" s="4">
        <v>442394.54599999997</v>
      </c>
      <c r="G972" s="4">
        <v>442399.85</v>
      </c>
      <c r="H972" s="5">
        <f>139 / 86400</f>
        <v>1.6087962962962963E-3</v>
      </c>
      <c r="I972" t="s">
        <v>202</v>
      </c>
      <c r="J972" t="s">
        <v>62</v>
      </c>
      <c r="K972" s="5">
        <f>1190 / 86400</f>
        <v>1.3773148148148149E-2</v>
      </c>
      <c r="L972" s="5">
        <f>35968 / 86400</f>
        <v>0.41629629629629628</v>
      </c>
    </row>
    <row r="973" spans="1:12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 spans="1:12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 spans="1:12" s="10" customFormat="1" ht="20.100000000000001" customHeight="1" x14ac:dyDescent="0.35">
      <c r="A975" s="12" t="s">
        <v>476</v>
      </c>
      <c r="B975" s="12"/>
      <c r="C975" s="12"/>
      <c r="D975" s="12"/>
      <c r="E975" s="12"/>
      <c r="F975" s="12"/>
      <c r="G975" s="12"/>
      <c r="H975" s="12"/>
      <c r="I975" s="12"/>
      <c r="J975" s="12"/>
    </row>
    <row r="976" spans="1:12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 spans="1:12" ht="30" x14ac:dyDescent="0.25">
      <c r="A977" s="2" t="s">
        <v>6</v>
      </c>
      <c r="B977" s="2" t="s">
        <v>7</v>
      </c>
      <c r="C977" s="2" t="s">
        <v>8</v>
      </c>
      <c r="D977" s="2" t="s">
        <v>9</v>
      </c>
      <c r="E977" s="2" t="s">
        <v>10</v>
      </c>
      <c r="F977" s="2" t="s">
        <v>11</v>
      </c>
      <c r="G977" s="2" t="s">
        <v>12</v>
      </c>
      <c r="H977" s="2" t="s">
        <v>13</v>
      </c>
      <c r="I977" s="2" t="s">
        <v>14</v>
      </c>
      <c r="J977" s="2" t="s">
        <v>15</v>
      </c>
      <c r="K977" s="2" t="s">
        <v>16</v>
      </c>
      <c r="L977" s="2" t="s">
        <v>17</v>
      </c>
    </row>
    <row r="978" spans="1:12" x14ac:dyDescent="0.25">
      <c r="A978" s="3">
        <v>45705.001817129625</v>
      </c>
      <c r="B978" t="s">
        <v>87</v>
      </c>
      <c r="C978" s="3">
        <v>45705.005983796298</v>
      </c>
      <c r="D978" t="s">
        <v>410</v>
      </c>
      <c r="E978" s="4">
        <v>0.77800000000000002</v>
      </c>
      <c r="F978" s="4">
        <v>474553.50900000002</v>
      </c>
      <c r="G978" s="4">
        <v>474554.28700000001</v>
      </c>
      <c r="H978" s="5">
        <f>140 / 86400</f>
        <v>1.6203703703703703E-3</v>
      </c>
      <c r="I978" t="s">
        <v>117</v>
      </c>
      <c r="J978" t="s">
        <v>107</v>
      </c>
      <c r="K978" s="5">
        <f>359 / 86400</f>
        <v>4.1550925925925922E-3</v>
      </c>
      <c r="L978" s="5">
        <f>18725 / 86400</f>
        <v>0.21672453703703703</v>
      </c>
    </row>
    <row r="979" spans="1:12" x14ac:dyDescent="0.25">
      <c r="A979" s="3">
        <v>45705.220891203702</v>
      </c>
      <c r="B979" t="s">
        <v>410</v>
      </c>
      <c r="C979" s="3">
        <v>45705.462152777778</v>
      </c>
      <c r="D979" t="s">
        <v>128</v>
      </c>
      <c r="E979" s="4">
        <v>97.504000000000005</v>
      </c>
      <c r="F979" s="4">
        <v>474554.28700000001</v>
      </c>
      <c r="G979" s="4">
        <v>474651.79100000003</v>
      </c>
      <c r="H979" s="5">
        <f>7239 / 86400</f>
        <v>8.3784722222222219E-2</v>
      </c>
      <c r="I979" t="s">
        <v>65</v>
      </c>
      <c r="J979" t="s">
        <v>32</v>
      </c>
      <c r="K979" s="5">
        <f>20844 / 86400</f>
        <v>0.24124999999999999</v>
      </c>
      <c r="L979" s="5">
        <f>168 / 86400</f>
        <v>1.9444444444444444E-3</v>
      </c>
    </row>
    <row r="980" spans="1:12" x14ac:dyDescent="0.25">
      <c r="A980" s="3">
        <v>45705.464097222226</v>
      </c>
      <c r="B980" t="s">
        <v>128</v>
      </c>
      <c r="C980" s="3">
        <v>45705.467870370368</v>
      </c>
      <c r="D980" t="s">
        <v>374</v>
      </c>
      <c r="E980" s="4">
        <v>1.0720000000000001</v>
      </c>
      <c r="F980" s="4">
        <v>474651.79100000003</v>
      </c>
      <c r="G980" s="4">
        <v>474652.86300000001</v>
      </c>
      <c r="H980" s="5">
        <f>40 / 86400</f>
        <v>4.6296296296296298E-4</v>
      </c>
      <c r="I980" t="s">
        <v>150</v>
      </c>
      <c r="J980" t="s">
        <v>162</v>
      </c>
      <c r="K980" s="5">
        <f>326 / 86400</f>
        <v>3.7731481481481483E-3</v>
      </c>
      <c r="L980" s="5">
        <f>1567 / 86400</f>
        <v>1.8136574074074076E-2</v>
      </c>
    </row>
    <row r="981" spans="1:12" x14ac:dyDescent="0.25">
      <c r="A981" s="3">
        <v>45705.48600694444</v>
      </c>
      <c r="B981" t="s">
        <v>94</v>
      </c>
      <c r="C981" s="3">
        <v>45705.488969907412</v>
      </c>
      <c r="D981" t="s">
        <v>80</v>
      </c>
      <c r="E981" s="4">
        <v>1.012</v>
      </c>
      <c r="F981" s="4">
        <v>474652.86300000001</v>
      </c>
      <c r="G981" s="4">
        <v>474653.875</v>
      </c>
      <c r="H981" s="5">
        <f>20 / 86400</f>
        <v>2.3148148148148149E-4</v>
      </c>
      <c r="I981" t="s">
        <v>147</v>
      </c>
      <c r="J981" t="s">
        <v>75</v>
      </c>
      <c r="K981" s="5">
        <f>256 / 86400</f>
        <v>2.9629629629629628E-3</v>
      </c>
      <c r="L981" s="5">
        <f>830 / 86400</f>
        <v>9.6064814814814815E-3</v>
      </c>
    </row>
    <row r="982" spans="1:12" x14ac:dyDescent="0.25">
      <c r="A982" s="3">
        <v>45705.498576388884</v>
      </c>
      <c r="B982" t="s">
        <v>80</v>
      </c>
      <c r="C982" s="3">
        <v>45705.5002662037</v>
      </c>
      <c r="D982" t="s">
        <v>411</v>
      </c>
      <c r="E982" s="4">
        <v>0.22800000000000001</v>
      </c>
      <c r="F982" s="4">
        <v>474653.875</v>
      </c>
      <c r="G982" s="4">
        <v>474654.103</v>
      </c>
      <c r="H982" s="5">
        <f>40 / 86400</f>
        <v>4.6296296296296298E-4</v>
      </c>
      <c r="I982" t="s">
        <v>135</v>
      </c>
      <c r="J982" t="s">
        <v>153</v>
      </c>
      <c r="K982" s="5">
        <f>145 / 86400</f>
        <v>1.6782407407407408E-3</v>
      </c>
      <c r="L982" s="5">
        <f>225 / 86400</f>
        <v>2.6041666666666665E-3</v>
      </c>
    </row>
    <row r="983" spans="1:12" x14ac:dyDescent="0.25">
      <c r="A983" s="3">
        <v>45705.502870370372</v>
      </c>
      <c r="B983" t="s">
        <v>411</v>
      </c>
      <c r="C983" s="3">
        <v>45705.74795138889</v>
      </c>
      <c r="D983" t="s">
        <v>87</v>
      </c>
      <c r="E983" s="4">
        <v>89.933000000000007</v>
      </c>
      <c r="F983" s="4">
        <v>474654.103</v>
      </c>
      <c r="G983" s="4">
        <v>474744.03600000002</v>
      </c>
      <c r="H983" s="5">
        <f>7961 / 86400</f>
        <v>9.2141203703703697E-2</v>
      </c>
      <c r="I983" t="s">
        <v>52</v>
      </c>
      <c r="J983" t="s">
        <v>30</v>
      </c>
      <c r="K983" s="5">
        <f>21175 / 86400</f>
        <v>0.24508101851851852</v>
      </c>
      <c r="L983" s="5">
        <f>424 / 86400</f>
        <v>4.9074074074074072E-3</v>
      </c>
    </row>
    <row r="984" spans="1:12" x14ac:dyDescent="0.25">
      <c r="A984" s="3">
        <v>45705.752858796295</v>
      </c>
      <c r="B984" t="s">
        <v>87</v>
      </c>
      <c r="C984" s="3">
        <v>45705.758622685185</v>
      </c>
      <c r="D984" t="s">
        <v>88</v>
      </c>
      <c r="E984" s="4">
        <v>0.77200000000000002</v>
      </c>
      <c r="F984" s="4">
        <v>474744.03600000002</v>
      </c>
      <c r="G984" s="4">
        <v>474744.80800000002</v>
      </c>
      <c r="H984" s="5">
        <f>180 / 86400</f>
        <v>2.0833333333333333E-3</v>
      </c>
      <c r="I984" t="s">
        <v>32</v>
      </c>
      <c r="J984" t="s">
        <v>153</v>
      </c>
      <c r="K984" s="5">
        <f>497 / 86400</f>
        <v>5.7523148148148151E-3</v>
      </c>
      <c r="L984" s="5">
        <f>20854 / 86400</f>
        <v>0.24136574074074074</v>
      </c>
    </row>
    <row r="985" spans="1:12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2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 spans="1:12" s="10" customFormat="1" ht="20.100000000000001" customHeight="1" x14ac:dyDescent="0.35">
      <c r="A987" s="12" t="s">
        <v>477</v>
      </c>
      <c r="B987" s="12"/>
      <c r="C987" s="12"/>
      <c r="D987" s="12"/>
      <c r="E987" s="12"/>
      <c r="F987" s="12"/>
      <c r="G987" s="12"/>
      <c r="H987" s="12"/>
      <c r="I987" s="12"/>
      <c r="J987" s="12"/>
    </row>
    <row r="988" spans="1:12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 spans="1:12" ht="30" x14ac:dyDescent="0.25">
      <c r="A989" s="2" t="s">
        <v>6</v>
      </c>
      <c r="B989" s="2" t="s">
        <v>7</v>
      </c>
      <c r="C989" s="2" t="s">
        <v>8</v>
      </c>
      <c r="D989" s="2" t="s">
        <v>9</v>
      </c>
      <c r="E989" s="2" t="s">
        <v>10</v>
      </c>
      <c r="F989" s="2" t="s">
        <v>11</v>
      </c>
      <c r="G989" s="2" t="s">
        <v>12</v>
      </c>
      <c r="H989" s="2" t="s">
        <v>13</v>
      </c>
      <c r="I989" s="2" t="s">
        <v>14</v>
      </c>
      <c r="J989" s="2" t="s">
        <v>15</v>
      </c>
      <c r="K989" s="2" t="s">
        <v>16</v>
      </c>
      <c r="L989" s="2" t="s">
        <v>17</v>
      </c>
    </row>
    <row r="990" spans="1:12" x14ac:dyDescent="0.25">
      <c r="A990" s="3">
        <v>45705.166319444441</v>
      </c>
      <c r="B990" t="s">
        <v>82</v>
      </c>
      <c r="C990" s="3">
        <v>45705.180902777778</v>
      </c>
      <c r="D990" t="s">
        <v>412</v>
      </c>
      <c r="E990" s="4">
        <v>4.1420000000000003</v>
      </c>
      <c r="F990" s="4">
        <v>414822.32799999998</v>
      </c>
      <c r="G990" s="4">
        <v>414826.47</v>
      </c>
      <c r="H990" s="5">
        <f>519 / 86400</f>
        <v>6.0069444444444441E-3</v>
      </c>
      <c r="I990" t="s">
        <v>181</v>
      </c>
      <c r="J990" t="s">
        <v>162</v>
      </c>
      <c r="K990" s="5">
        <f>1260 / 86400</f>
        <v>1.4583333333333334E-2</v>
      </c>
      <c r="L990" s="5">
        <f>14597 / 86400</f>
        <v>0.16894675925925925</v>
      </c>
    </row>
    <row r="991" spans="1:12" x14ac:dyDescent="0.25">
      <c r="A991" s="3">
        <v>45705.183530092589</v>
      </c>
      <c r="B991" t="s">
        <v>412</v>
      </c>
      <c r="C991" s="3">
        <v>45705.245023148149</v>
      </c>
      <c r="D991" t="s">
        <v>331</v>
      </c>
      <c r="E991" s="4">
        <v>32.365000000000002</v>
      </c>
      <c r="F991" s="4">
        <v>414826.47</v>
      </c>
      <c r="G991" s="4">
        <v>414858.83500000002</v>
      </c>
      <c r="H991" s="5">
        <f>1240 / 86400</f>
        <v>1.4351851851851852E-2</v>
      </c>
      <c r="I991" t="s">
        <v>29</v>
      </c>
      <c r="J991" t="s">
        <v>135</v>
      </c>
      <c r="K991" s="5">
        <f>5313 / 86400</f>
        <v>6.1493055555555558E-2</v>
      </c>
      <c r="L991" s="5">
        <f>61 / 86400</f>
        <v>7.0601851851851847E-4</v>
      </c>
    </row>
    <row r="992" spans="1:12" x14ac:dyDescent="0.25">
      <c r="A992" s="3">
        <v>45705.245729166665</v>
      </c>
      <c r="B992" t="s">
        <v>331</v>
      </c>
      <c r="C992" s="3">
        <v>45705.245891203704</v>
      </c>
      <c r="D992" t="s">
        <v>381</v>
      </c>
      <c r="E992" s="4">
        <v>6.0000000000000001E-3</v>
      </c>
      <c r="F992" s="4">
        <v>414858.83500000002</v>
      </c>
      <c r="G992" s="4">
        <v>414858.84100000001</v>
      </c>
      <c r="H992" s="5">
        <f>0 / 86400</f>
        <v>0</v>
      </c>
      <c r="I992" t="s">
        <v>73</v>
      </c>
      <c r="J992" t="s">
        <v>143</v>
      </c>
      <c r="K992" s="5">
        <f>13 / 86400</f>
        <v>1.5046296296296297E-4</v>
      </c>
      <c r="L992" s="5">
        <f>390 / 86400</f>
        <v>4.5138888888888885E-3</v>
      </c>
    </row>
    <row r="993" spans="1:12" x14ac:dyDescent="0.25">
      <c r="A993" s="3">
        <v>45705.250405092593</v>
      </c>
      <c r="B993" t="s">
        <v>381</v>
      </c>
      <c r="C993" s="3">
        <v>45705.250648148147</v>
      </c>
      <c r="D993" t="s">
        <v>381</v>
      </c>
      <c r="E993" s="4">
        <v>7.0000000000000001E-3</v>
      </c>
      <c r="F993" s="4">
        <v>414858.84100000001</v>
      </c>
      <c r="G993" s="4">
        <v>414858.848</v>
      </c>
      <c r="H993" s="5">
        <f>19 / 86400</f>
        <v>2.199074074074074E-4</v>
      </c>
      <c r="I993" t="s">
        <v>73</v>
      </c>
      <c r="J993" t="s">
        <v>144</v>
      </c>
      <c r="K993" s="5">
        <f>21 / 86400</f>
        <v>2.4305555555555555E-4</v>
      </c>
      <c r="L993" s="5">
        <f>182 / 86400</f>
        <v>2.1064814814814813E-3</v>
      </c>
    </row>
    <row r="994" spans="1:12" x14ac:dyDescent="0.25">
      <c r="A994" s="3">
        <v>45705.252754629633</v>
      </c>
      <c r="B994" t="s">
        <v>381</v>
      </c>
      <c r="C994" s="3">
        <v>45705.360891203702</v>
      </c>
      <c r="D994" t="s">
        <v>80</v>
      </c>
      <c r="E994" s="4">
        <v>49.343000000000004</v>
      </c>
      <c r="F994" s="4">
        <v>414858.848</v>
      </c>
      <c r="G994" s="4">
        <v>414908.19099999999</v>
      </c>
      <c r="H994" s="5">
        <f>3093 / 86400</f>
        <v>3.5798611111111114E-2</v>
      </c>
      <c r="I994" t="s">
        <v>29</v>
      </c>
      <c r="J994" t="s">
        <v>27</v>
      </c>
      <c r="K994" s="5">
        <f>9342 / 86400</f>
        <v>0.108125</v>
      </c>
      <c r="L994" s="5">
        <f>934 / 86400</f>
        <v>1.0810185185185185E-2</v>
      </c>
    </row>
    <row r="995" spans="1:12" x14ac:dyDescent="0.25">
      <c r="A995" s="3">
        <v>45705.371701388889</v>
      </c>
      <c r="B995" t="s">
        <v>80</v>
      </c>
      <c r="C995" s="3">
        <v>45705.377210648148</v>
      </c>
      <c r="D995" t="s">
        <v>130</v>
      </c>
      <c r="E995" s="4">
        <v>1.4039999999999999</v>
      </c>
      <c r="F995" s="4">
        <v>414908.19099999999</v>
      </c>
      <c r="G995" s="4">
        <v>414909.59499999997</v>
      </c>
      <c r="H995" s="5">
        <f>98 / 86400</f>
        <v>1.1342592592592593E-3</v>
      </c>
      <c r="I995" t="s">
        <v>150</v>
      </c>
      <c r="J995" t="s">
        <v>45</v>
      </c>
      <c r="K995" s="5">
        <f>476 / 86400</f>
        <v>5.5092592592592589E-3</v>
      </c>
      <c r="L995" s="5">
        <f>2873 / 86400</f>
        <v>3.3252314814814818E-2</v>
      </c>
    </row>
    <row r="996" spans="1:12" x14ac:dyDescent="0.25">
      <c r="A996" s="3">
        <v>45705.410462962958</v>
      </c>
      <c r="B996" t="s">
        <v>130</v>
      </c>
      <c r="C996" s="3">
        <v>45705.411111111112</v>
      </c>
      <c r="D996" t="s">
        <v>128</v>
      </c>
      <c r="E996" s="4">
        <v>4.7E-2</v>
      </c>
      <c r="F996" s="4">
        <v>414909.59499999997</v>
      </c>
      <c r="G996" s="4">
        <v>414909.64199999999</v>
      </c>
      <c r="H996" s="5">
        <f>19 / 86400</f>
        <v>2.199074074074074E-4</v>
      </c>
      <c r="I996" t="s">
        <v>62</v>
      </c>
      <c r="J996" t="s">
        <v>84</v>
      </c>
      <c r="K996" s="5">
        <f>56 / 86400</f>
        <v>6.4814814814814813E-4</v>
      </c>
      <c r="L996" s="5">
        <f>292 / 86400</f>
        <v>3.3796296296296296E-3</v>
      </c>
    </row>
    <row r="997" spans="1:12" x14ac:dyDescent="0.25">
      <c r="A997" s="3">
        <v>45705.414490740739</v>
      </c>
      <c r="B997" t="s">
        <v>128</v>
      </c>
      <c r="C997" s="3">
        <v>45705.417291666672</v>
      </c>
      <c r="D997" t="s">
        <v>413</v>
      </c>
      <c r="E997" s="4">
        <v>0.73499999999999999</v>
      </c>
      <c r="F997" s="4">
        <v>414909.64199999999</v>
      </c>
      <c r="G997" s="4">
        <v>414910.37699999998</v>
      </c>
      <c r="H997" s="5">
        <f>39 / 86400</f>
        <v>4.5138888888888887E-4</v>
      </c>
      <c r="I997" t="s">
        <v>141</v>
      </c>
      <c r="J997" t="s">
        <v>45</v>
      </c>
      <c r="K997" s="5">
        <f>241 / 86400</f>
        <v>2.7893518518518519E-3</v>
      </c>
      <c r="L997" s="5">
        <f>338 / 86400</f>
        <v>3.9120370370370368E-3</v>
      </c>
    </row>
    <row r="998" spans="1:12" x14ac:dyDescent="0.25">
      <c r="A998" s="3">
        <v>45705.421203703707</v>
      </c>
      <c r="B998" t="s">
        <v>413</v>
      </c>
      <c r="C998" s="3">
        <v>45705.421354166669</v>
      </c>
      <c r="D998" t="s">
        <v>164</v>
      </c>
      <c r="E998" s="4">
        <v>4.0000000000000001E-3</v>
      </c>
      <c r="F998" s="4">
        <v>414910.37699999998</v>
      </c>
      <c r="G998" s="4">
        <v>414910.38099999999</v>
      </c>
      <c r="H998" s="5">
        <f>0 / 86400</f>
        <v>0</v>
      </c>
      <c r="I998" t="s">
        <v>73</v>
      </c>
      <c r="J998" t="s">
        <v>144</v>
      </c>
      <c r="K998" s="5">
        <f>12 / 86400</f>
        <v>1.3888888888888889E-4</v>
      </c>
      <c r="L998" s="5">
        <f>759 / 86400</f>
        <v>8.7847222222222215E-3</v>
      </c>
    </row>
    <row r="999" spans="1:12" x14ac:dyDescent="0.25">
      <c r="A999" s="3">
        <v>45705.430138888885</v>
      </c>
      <c r="B999" t="s">
        <v>164</v>
      </c>
      <c r="C999" s="3">
        <v>45705.431631944448</v>
      </c>
      <c r="D999" t="s">
        <v>51</v>
      </c>
      <c r="E999" s="4">
        <v>0.41099999999999998</v>
      </c>
      <c r="F999" s="4">
        <v>414910.38099999999</v>
      </c>
      <c r="G999" s="4">
        <v>414910.79200000002</v>
      </c>
      <c r="H999" s="5">
        <f>40 / 86400</f>
        <v>4.6296296296296298E-4</v>
      </c>
      <c r="I999" t="s">
        <v>206</v>
      </c>
      <c r="J999" t="s">
        <v>162</v>
      </c>
      <c r="K999" s="5">
        <f>128 / 86400</f>
        <v>1.4814814814814814E-3</v>
      </c>
      <c r="L999" s="5">
        <f>2498 / 86400</f>
        <v>2.8912037037037038E-2</v>
      </c>
    </row>
    <row r="1000" spans="1:12" x14ac:dyDescent="0.25">
      <c r="A1000" s="3">
        <v>45705.460543981477</v>
      </c>
      <c r="B1000" t="s">
        <v>51</v>
      </c>
      <c r="C1000" s="3">
        <v>45705.463634259257</v>
      </c>
      <c r="D1000" t="s">
        <v>413</v>
      </c>
      <c r="E1000" s="4">
        <v>0.72299999999999998</v>
      </c>
      <c r="F1000" s="4">
        <v>414910.79200000002</v>
      </c>
      <c r="G1000" s="4">
        <v>414911.51500000001</v>
      </c>
      <c r="H1000" s="5">
        <f>39 / 86400</f>
        <v>4.5138888888888887E-4</v>
      </c>
      <c r="I1000" t="s">
        <v>141</v>
      </c>
      <c r="J1000" t="s">
        <v>118</v>
      </c>
      <c r="K1000" s="5">
        <f>266 / 86400</f>
        <v>3.0787037037037037E-3</v>
      </c>
      <c r="L1000" s="5">
        <f>362 / 86400</f>
        <v>4.1898148148148146E-3</v>
      </c>
    </row>
    <row r="1001" spans="1:12" x14ac:dyDescent="0.25">
      <c r="A1001" s="3">
        <v>45705.467824074076</v>
      </c>
      <c r="B1001" t="s">
        <v>413</v>
      </c>
      <c r="C1001" s="3">
        <v>45705.467997685184</v>
      </c>
      <c r="D1001" t="s">
        <v>413</v>
      </c>
      <c r="E1001" s="4">
        <v>1E-3</v>
      </c>
      <c r="F1001" s="4">
        <v>414911.51500000001</v>
      </c>
      <c r="G1001" s="4">
        <v>414911.516</v>
      </c>
      <c r="H1001" s="5">
        <f>0 / 86400</f>
        <v>0</v>
      </c>
      <c r="I1001" t="s">
        <v>73</v>
      </c>
      <c r="J1001" t="s">
        <v>73</v>
      </c>
      <c r="K1001" s="5">
        <f>14 / 86400</f>
        <v>1.6203703703703703E-4</v>
      </c>
      <c r="L1001" s="5">
        <f>68 / 86400</f>
        <v>7.8703703703703705E-4</v>
      </c>
    </row>
    <row r="1002" spans="1:12" x14ac:dyDescent="0.25">
      <c r="A1002" s="3">
        <v>45705.468784722223</v>
      </c>
      <c r="B1002" t="s">
        <v>413</v>
      </c>
      <c r="C1002" s="3">
        <v>45705.513217592597</v>
      </c>
      <c r="D1002" t="s">
        <v>111</v>
      </c>
      <c r="E1002" s="4">
        <v>22.658999999999999</v>
      </c>
      <c r="F1002" s="4">
        <v>414911.516</v>
      </c>
      <c r="G1002" s="4">
        <v>414934.17499999999</v>
      </c>
      <c r="H1002" s="5">
        <f>1159 / 86400</f>
        <v>1.3414351851851853E-2</v>
      </c>
      <c r="I1002" t="s">
        <v>19</v>
      </c>
      <c r="J1002" t="s">
        <v>38</v>
      </c>
      <c r="K1002" s="5">
        <f>3838 / 86400</f>
        <v>4.4421296296296299E-2</v>
      </c>
      <c r="L1002" s="5">
        <f>363 / 86400</f>
        <v>4.2013888888888891E-3</v>
      </c>
    </row>
    <row r="1003" spans="1:12" x14ac:dyDescent="0.25">
      <c r="A1003" s="3">
        <v>45705.517418981486</v>
      </c>
      <c r="B1003" t="s">
        <v>111</v>
      </c>
      <c r="C1003" s="3">
        <v>45705.521932870368</v>
      </c>
      <c r="D1003" t="s">
        <v>82</v>
      </c>
      <c r="E1003" s="4">
        <v>1.6950000000000001</v>
      </c>
      <c r="F1003" s="4">
        <v>414934.17499999999</v>
      </c>
      <c r="G1003" s="4">
        <v>414935.87</v>
      </c>
      <c r="H1003" s="5">
        <f>60 / 86400</f>
        <v>6.9444444444444447E-4</v>
      </c>
      <c r="I1003" t="s">
        <v>294</v>
      </c>
      <c r="J1003" t="s">
        <v>62</v>
      </c>
      <c r="K1003" s="5">
        <f>390 / 86400</f>
        <v>4.5138888888888885E-3</v>
      </c>
      <c r="L1003" s="5">
        <f>455 / 86400</f>
        <v>5.2662037037037035E-3</v>
      </c>
    </row>
    <row r="1004" spans="1:12" x14ac:dyDescent="0.25">
      <c r="A1004" s="3">
        <v>45705.527199074073</v>
      </c>
      <c r="B1004" t="s">
        <v>82</v>
      </c>
      <c r="C1004" s="3">
        <v>45705.528634259259</v>
      </c>
      <c r="D1004" t="s">
        <v>82</v>
      </c>
      <c r="E1004" s="4">
        <v>2.1000000000000001E-2</v>
      </c>
      <c r="F1004" s="4">
        <v>414935.87</v>
      </c>
      <c r="G1004" s="4">
        <v>414935.891</v>
      </c>
      <c r="H1004" s="5">
        <f>79 / 86400</f>
        <v>9.1435185185185185E-4</v>
      </c>
      <c r="I1004" t="s">
        <v>142</v>
      </c>
      <c r="J1004" t="s">
        <v>144</v>
      </c>
      <c r="K1004" s="5">
        <f>124 / 86400</f>
        <v>1.4351851851851852E-3</v>
      </c>
      <c r="L1004" s="5">
        <f>505 / 86400</f>
        <v>5.8449074074074072E-3</v>
      </c>
    </row>
    <row r="1005" spans="1:12" x14ac:dyDescent="0.25">
      <c r="A1005" s="3">
        <v>45705.534479166672</v>
      </c>
      <c r="B1005" t="s">
        <v>82</v>
      </c>
      <c r="C1005" s="3">
        <v>45705.53502314815</v>
      </c>
      <c r="D1005" t="s">
        <v>82</v>
      </c>
      <c r="E1005" s="4">
        <v>1E-3</v>
      </c>
      <c r="F1005" s="4">
        <v>414935.891</v>
      </c>
      <c r="G1005" s="4">
        <v>414935.89199999999</v>
      </c>
      <c r="H1005" s="5">
        <f>39 / 86400</f>
        <v>4.5138888888888887E-4</v>
      </c>
      <c r="I1005" t="s">
        <v>73</v>
      </c>
      <c r="J1005" t="s">
        <v>73</v>
      </c>
      <c r="K1005" s="5">
        <f>47 / 86400</f>
        <v>5.4398148148148144E-4</v>
      </c>
      <c r="L1005" s="5">
        <f>8849 / 86400</f>
        <v>0.10241898148148149</v>
      </c>
    </row>
    <row r="1006" spans="1:12" x14ac:dyDescent="0.25">
      <c r="A1006" s="3">
        <v>45705.637442129635</v>
      </c>
      <c r="B1006" t="s">
        <v>82</v>
      </c>
      <c r="C1006" s="3">
        <v>45705.676041666666</v>
      </c>
      <c r="D1006" t="s">
        <v>35</v>
      </c>
      <c r="E1006" s="4">
        <v>20.32</v>
      </c>
      <c r="F1006" s="4">
        <v>414935.89199999999</v>
      </c>
      <c r="G1006" s="4">
        <v>414956.212</v>
      </c>
      <c r="H1006" s="5">
        <f>1059 / 86400</f>
        <v>1.2256944444444445E-2</v>
      </c>
      <c r="I1006" t="s">
        <v>99</v>
      </c>
      <c r="J1006" t="s">
        <v>135</v>
      </c>
      <c r="K1006" s="5">
        <f>3335 / 86400</f>
        <v>3.8599537037037036E-2</v>
      </c>
      <c r="L1006" s="5">
        <f>49 / 86400</f>
        <v>5.6712962962962967E-4</v>
      </c>
    </row>
    <row r="1007" spans="1:12" x14ac:dyDescent="0.25">
      <c r="A1007" s="3">
        <v>45705.676608796297</v>
      </c>
      <c r="B1007" t="s">
        <v>35</v>
      </c>
      <c r="C1007" s="3">
        <v>45705.676620370374</v>
      </c>
      <c r="D1007" t="s">
        <v>35</v>
      </c>
      <c r="E1007" s="4">
        <v>0</v>
      </c>
      <c r="F1007" s="4">
        <v>414956.212</v>
      </c>
      <c r="G1007" s="4">
        <v>414956.212</v>
      </c>
      <c r="H1007" s="5">
        <f>0 / 86400</f>
        <v>0</v>
      </c>
      <c r="I1007" t="s">
        <v>73</v>
      </c>
      <c r="J1007" t="s">
        <v>73</v>
      </c>
      <c r="K1007" s="5">
        <f>1 / 86400</f>
        <v>1.1574074074074073E-5</v>
      </c>
      <c r="L1007" s="5">
        <f>94 / 86400</f>
        <v>1.0879629629629629E-3</v>
      </c>
    </row>
    <row r="1008" spans="1:12" x14ac:dyDescent="0.25">
      <c r="A1008" s="3">
        <v>45705.677708333329</v>
      </c>
      <c r="B1008" t="s">
        <v>35</v>
      </c>
      <c r="C1008" s="3">
        <v>45705.677997685183</v>
      </c>
      <c r="D1008" t="s">
        <v>35</v>
      </c>
      <c r="E1008" s="4">
        <v>1.4E-2</v>
      </c>
      <c r="F1008" s="4">
        <v>414956.212</v>
      </c>
      <c r="G1008" s="4">
        <v>414956.22600000002</v>
      </c>
      <c r="H1008" s="5">
        <f>19 / 86400</f>
        <v>2.199074074074074E-4</v>
      </c>
      <c r="I1008" t="s">
        <v>73</v>
      </c>
      <c r="J1008" t="s">
        <v>143</v>
      </c>
      <c r="K1008" s="5">
        <f>25 / 86400</f>
        <v>2.8935185185185184E-4</v>
      </c>
      <c r="L1008" s="5">
        <f>3 / 86400</f>
        <v>3.4722222222222222E-5</v>
      </c>
    </row>
    <row r="1009" spans="1:12" x14ac:dyDescent="0.25">
      <c r="A1009" s="3">
        <v>45705.678032407406</v>
      </c>
      <c r="B1009" t="s">
        <v>35</v>
      </c>
      <c r="C1009" s="3">
        <v>45705.678124999999</v>
      </c>
      <c r="D1009" t="s">
        <v>35</v>
      </c>
      <c r="E1009" s="4">
        <v>3.0000000000000001E-3</v>
      </c>
      <c r="F1009" s="4">
        <v>414956.22600000002</v>
      </c>
      <c r="G1009" s="4">
        <v>414956.22899999999</v>
      </c>
      <c r="H1009" s="5">
        <f>0 / 86400</f>
        <v>0</v>
      </c>
      <c r="I1009" t="s">
        <v>73</v>
      </c>
      <c r="J1009" t="s">
        <v>144</v>
      </c>
      <c r="K1009" s="5">
        <f>8 / 86400</f>
        <v>9.2592592592592588E-5</v>
      </c>
      <c r="L1009" s="5">
        <f>63 / 86400</f>
        <v>7.291666666666667E-4</v>
      </c>
    </row>
    <row r="1010" spans="1:12" x14ac:dyDescent="0.25">
      <c r="A1010" s="3">
        <v>45705.678854166668</v>
      </c>
      <c r="B1010" t="s">
        <v>210</v>
      </c>
      <c r="C1010" s="3">
        <v>45705.6793287037</v>
      </c>
      <c r="D1010" t="s">
        <v>210</v>
      </c>
      <c r="E1010" s="4">
        <v>5.0000000000000001E-3</v>
      </c>
      <c r="F1010" s="4">
        <v>414956.22899999999</v>
      </c>
      <c r="G1010" s="4">
        <v>414956.234</v>
      </c>
      <c r="H1010" s="5">
        <f>39 / 86400</f>
        <v>4.5138888888888887E-4</v>
      </c>
      <c r="I1010" t="s">
        <v>73</v>
      </c>
      <c r="J1010" t="s">
        <v>73</v>
      </c>
      <c r="K1010" s="5">
        <f>41 / 86400</f>
        <v>4.7453703703703704E-4</v>
      </c>
      <c r="L1010" s="5">
        <f>75 / 86400</f>
        <v>8.6805555555555551E-4</v>
      </c>
    </row>
    <row r="1011" spans="1:12" x14ac:dyDescent="0.25">
      <c r="A1011" s="3">
        <v>45705.680196759262</v>
      </c>
      <c r="B1011" t="s">
        <v>35</v>
      </c>
      <c r="C1011" s="3">
        <v>45705.680289351847</v>
      </c>
      <c r="D1011" t="s">
        <v>35</v>
      </c>
      <c r="E1011" s="4">
        <v>3.0000000000000001E-3</v>
      </c>
      <c r="F1011" s="4">
        <v>414956.234</v>
      </c>
      <c r="G1011" s="4">
        <v>414956.23700000002</v>
      </c>
      <c r="H1011" s="5">
        <f>0 / 86400</f>
        <v>0</v>
      </c>
      <c r="I1011" t="s">
        <v>73</v>
      </c>
      <c r="J1011" t="s">
        <v>144</v>
      </c>
      <c r="K1011" s="5">
        <f>8 / 86400</f>
        <v>9.2592592592592588E-5</v>
      </c>
      <c r="L1011" s="5">
        <f>86 / 86400</f>
        <v>9.9537037037037042E-4</v>
      </c>
    </row>
    <row r="1012" spans="1:12" x14ac:dyDescent="0.25">
      <c r="A1012" s="3">
        <v>45705.681284722217</v>
      </c>
      <c r="B1012" t="s">
        <v>35</v>
      </c>
      <c r="C1012" s="3">
        <v>45705.681956018518</v>
      </c>
      <c r="D1012" t="s">
        <v>35</v>
      </c>
      <c r="E1012" s="4">
        <v>1E-3</v>
      </c>
      <c r="F1012" s="4">
        <v>414956.23700000002</v>
      </c>
      <c r="G1012" s="4">
        <v>414956.23800000001</v>
      </c>
      <c r="H1012" s="5">
        <f>39 / 86400</f>
        <v>4.5138888888888887E-4</v>
      </c>
      <c r="I1012" t="s">
        <v>73</v>
      </c>
      <c r="J1012" t="s">
        <v>73</v>
      </c>
      <c r="K1012" s="5">
        <f>58 / 86400</f>
        <v>6.7129629629629625E-4</v>
      </c>
      <c r="L1012" s="5">
        <f>38 / 86400</f>
        <v>4.3981481481481481E-4</v>
      </c>
    </row>
    <row r="1013" spans="1:12" x14ac:dyDescent="0.25">
      <c r="A1013" s="3">
        <v>45705.682395833333</v>
      </c>
      <c r="B1013" t="s">
        <v>210</v>
      </c>
      <c r="C1013" s="3">
        <v>45705.682488425926</v>
      </c>
      <c r="D1013" t="s">
        <v>35</v>
      </c>
      <c r="E1013" s="4">
        <v>5.0000000000000001E-3</v>
      </c>
      <c r="F1013" s="4">
        <v>414956.23800000001</v>
      </c>
      <c r="G1013" s="4">
        <v>414956.24300000002</v>
      </c>
      <c r="H1013" s="5">
        <f>0 / 86400</f>
        <v>0</v>
      </c>
      <c r="I1013" t="s">
        <v>73</v>
      </c>
      <c r="J1013" t="s">
        <v>143</v>
      </c>
      <c r="K1013" s="5">
        <f>8 / 86400</f>
        <v>9.2592592592592588E-5</v>
      </c>
      <c r="L1013" s="5">
        <f>126 / 86400</f>
        <v>1.4583333333333334E-3</v>
      </c>
    </row>
    <row r="1014" spans="1:12" x14ac:dyDescent="0.25">
      <c r="A1014" s="3">
        <v>45705.683946759258</v>
      </c>
      <c r="B1014" t="s">
        <v>35</v>
      </c>
      <c r="C1014" s="3">
        <v>45705.684062500004</v>
      </c>
      <c r="D1014" t="s">
        <v>35</v>
      </c>
      <c r="E1014" s="4">
        <v>3.0000000000000001E-3</v>
      </c>
      <c r="F1014" s="4">
        <v>414956.24300000002</v>
      </c>
      <c r="G1014" s="4">
        <v>414956.24599999998</v>
      </c>
      <c r="H1014" s="5">
        <f>0 / 86400</f>
        <v>0</v>
      </c>
      <c r="I1014" t="s">
        <v>143</v>
      </c>
      <c r="J1014" t="s">
        <v>144</v>
      </c>
      <c r="K1014" s="5">
        <f>10 / 86400</f>
        <v>1.1574074074074075E-4</v>
      </c>
      <c r="L1014" s="5">
        <f>70 / 86400</f>
        <v>8.1018518518518516E-4</v>
      </c>
    </row>
    <row r="1015" spans="1:12" x14ac:dyDescent="0.25">
      <c r="A1015" s="3">
        <v>45705.684872685189</v>
      </c>
      <c r="B1015" t="s">
        <v>210</v>
      </c>
      <c r="C1015" s="3">
        <v>45705.684965277775</v>
      </c>
      <c r="D1015" t="s">
        <v>210</v>
      </c>
      <c r="E1015" s="4">
        <v>6.0000000000000001E-3</v>
      </c>
      <c r="F1015" s="4">
        <v>414956.24599999998</v>
      </c>
      <c r="G1015" s="4">
        <v>414956.25199999998</v>
      </c>
      <c r="H1015" s="5">
        <f>0 / 86400</f>
        <v>0</v>
      </c>
      <c r="I1015" t="s">
        <v>73</v>
      </c>
      <c r="J1015" t="s">
        <v>84</v>
      </c>
      <c r="K1015" s="5">
        <f>8 / 86400</f>
        <v>9.2592592592592588E-5</v>
      </c>
      <c r="L1015" s="5">
        <f>87 / 86400</f>
        <v>1.0069444444444444E-3</v>
      </c>
    </row>
    <row r="1016" spans="1:12" x14ac:dyDescent="0.25">
      <c r="A1016" s="3">
        <v>45705.685972222222</v>
      </c>
      <c r="B1016" t="s">
        <v>210</v>
      </c>
      <c r="C1016" s="3">
        <v>45705.742662037039</v>
      </c>
      <c r="D1016" t="s">
        <v>225</v>
      </c>
      <c r="E1016" s="4">
        <v>31.236999999999998</v>
      </c>
      <c r="F1016" s="4">
        <v>414956.25199999998</v>
      </c>
      <c r="G1016" s="4">
        <v>414987.489</v>
      </c>
      <c r="H1016" s="5">
        <f>1459 / 86400</f>
        <v>1.6886574074074075E-2</v>
      </c>
      <c r="I1016" t="s">
        <v>92</v>
      </c>
      <c r="J1016" t="s">
        <v>141</v>
      </c>
      <c r="K1016" s="5">
        <f>4897 / 86400</f>
        <v>5.6678240740740737E-2</v>
      </c>
      <c r="L1016" s="5">
        <f>290 / 86400</f>
        <v>3.3564814814814816E-3</v>
      </c>
    </row>
    <row r="1017" spans="1:12" x14ac:dyDescent="0.25">
      <c r="A1017" s="3">
        <v>45705.746018518519</v>
      </c>
      <c r="B1017" t="s">
        <v>225</v>
      </c>
      <c r="C1017" s="3">
        <v>45705.746215277773</v>
      </c>
      <c r="D1017" t="s">
        <v>225</v>
      </c>
      <c r="E1017" s="4">
        <v>8.0000000000000002E-3</v>
      </c>
      <c r="F1017" s="4">
        <v>414987.489</v>
      </c>
      <c r="G1017" s="4">
        <v>414987.49699999997</v>
      </c>
      <c r="H1017" s="5">
        <f>0 / 86400</f>
        <v>0</v>
      </c>
      <c r="I1017" t="s">
        <v>144</v>
      </c>
      <c r="J1017" t="s">
        <v>143</v>
      </c>
      <c r="K1017" s="5">
        <f>17 / 86400</f>
        <v>1.9675925925925926E-4</v>
      </c>
      <c r="L1017" s="5">
        <f>641 / 86400</f>
        <v>7.4189814814814813E-3</v>
      </c>
    </row>
    <row r="1018" spans="1:12" x14ac:dyDescent="0.25">
      <c r="A1018" s="3">
        <v>45705.753634259258</v>
      </c>
      <c r="B1018" t="s">
        <v>225</v>
      </c>
      <c r="C1018" s="3">
        <v>45705.826111111106</v>
      </c>
      <c r="D1018" t="s">
        <v>35</v>
      </c>
      <c r="E1018" s="4">
        <v>30.975000000000001</v>
      </c>
      <c r="F1018" s="4">
        <v>414987.49699999997</v>
      </c>
      <c r="G1018" s="4">
        <v>415018.47200000001</v>
      </c>
      <c r="H1018" s="5">
        <f>1899 / 86400</f>
        <v>2.1979166666666668E-2</v>
      </c>
      <c r="I1018" t="s">
        <v>99</v>
      </c>
      <c r="J1018" t="s">
        <v>23</v>
      </c>
      <c r="K1018" s="5">
        <f>6262 / 86400</f>
        <v>7.2476851851851848E-2</v>
      </c>
      <c r="L1018" s="5">
        <f>190 / 86400</f>
        <v>2.1990740740740742E-3</v>
      </c>
    </row>
    <row r="1019" spans="1:12" x14ac:dyDescent="0.25">
      <c r="A1019" s="3">
        <v>45705.828310185185</v>
      </c>
      <c r="B1019" t="s">
        <v>35</v>
      </c>
      <c r="C1019" s="3">
        <v>45705.828425925924</v>
      </c>
      <c r="D1019" t="s">
        <v>35</v>
      </c>
      <c r="E1019" s="4">
        <v>7.0000000000000001E-3</v>
      </c>
      <c r="F1019" s="4">
        <v>415018.47200000001</v>
      </c>
      <c r="G1019" s="4">
        <v>415018.47899999999</v>
      </c>
      <c r="H1019" s="5">
        <f>0 / 86400</f>
        <v>0</v>
      </c>
      <c r="I1019" t="s">
        <v>73</v>
      </c>
      <c r="J1019" t="s">
        <v>84</v>
      </c>
      <c r="K1019" s="5">
        <f>10 / 86400</f>
        <v>1.1574074074074075E-4</v>
      </c>
      <c r="L1019" s="5">
        <f>293 / 86400</f>
        <v>3.3912037037037036E-3</v>
      </c>
    </row>
    <row r="1020" spans="1:12" x14ac:dyDescent="0.25">
      <c r="A1020" s="3">
        <v>45705.831817129627</v>
      </c>
      <c r="B1020" t="s">
        <v>35</v>
      </c>
      <c r="C1020" s="3">
        <v>45705.831967592589</v>
      </c>
      <c r="D1020" t="s">
        <v>210</v>
      </c>
      <c r="E1020" s="4">
        <v>5.0000000000000001E-3</v>
      </c>
      <c r="F1020" s="4">
        <v>415018.47899999999</v>
      </c>
      <c r="G1020" s="4">
        <v>415018.484</v>
      </c>
      <c r="H1020" s="5">
        <f>0 / 86400</f>
        <v>0</v>
      </c>
      <c r="I1020" t="s">
        <v>73</v>
      </c>
      <c r="J1020" t="s">
        <v>143</v>
      </c>
      <c r="K1020" s="5">
        <f>12 / 86400</f>
        <v>1.3888888888888889E-4</v>
      </c>
      <c r="L1020" s="5">
        <f>190 / 86400</f>
        <v>2.1990740740740742E-3</v>
      </c>
    </row>
    <row r="1021" spans="1:12" x14ac:dyDescent="0.25">
      <c r="A1021" s="3">
        <v>45705.834166666667</v>
      </c>
      <c r="B1021" t="s">
        <v>210</v>
      </c>
      <c r="C1021" s="3">
        <v>45705.984594907408</v>
      </c>
      <c r="D1021" t="s">
        <v>111</v>
      </c>
      <c r="E1021" s="4">
        <v>70.674999999999997</v>
      </c>
      <c r="F1021" s="4">
        <v>415018.484</v>
      </c>
      <c r="G1021" s="4">
        <v>415089.15899999999</v>
      </c>
      <c r="H1021" s="5">
        <f>4398 / 86400</f>
        <v>5.0902777777777776E-2</v>
      </c>
      <c r="I1021" t="s">
        <v>90</v>
      </c>
      <c r="J1021" t="s">
        <v>20</v>
      </c>
      <c r="K1021" s="5">
        <f>12997 / 86400</f>
        <v>0.15042824074074074</v>
      </c>
      <c r="L1021" s="5">
        <f>380 / 86400</f>
        <v>4.3981481481481484E-3</v>
      </c>
    </row>
    <row r="1022" spans="1:12" x14ac:dyDescent="0.25">
      <c r="A1022" s="3">
        <v>45705.988993055551</v>
      </c>
      <c r="B1022" t="s">
        <v>111</v>
      </c>
      <c r="C1022" s="3">
        <v>45705.989282407405</v>
      </c>
      <c r="D1022" t="s">
        <v>111</v>
      </c>
      <c r="E1022" s="4">
        <v>5.0999999999999997E-2</v>
      </c>
      <c r="F1022" s="4">
        <v>415089.15899999999</v>
      </c>
      <c r="G1022" s="4">
        <v>415089.21</v>
      </c>
      <c r="H1022" s="5">
        <f>0 / 86400</f>
        <v>0</v>
      </c>
      <c r="I1022" t="s">
        <v>118</v>
      </c>
      <c r="J1022" t="s">
        <v>107</v>
      </c>
      <c r="K1022" s="5">
        <f>24 / 86400</f>
        <v>2.7777777777777778E-4</v>
      </c>
      <c r="L1022" s="5">
        <f>781 / 86400</f>
        <v>9.0393518518518522E-3</v>
      </c>
    </row>
    <row r="1023" spans="1:12" x14ac:dyDescent="0.25">
      <c r="A1023" s="3">
        <v>45705.99832175926</v>
      </c>
      <c r="B1023" t="s">
        <v>111</v>
      </c>
      <c r="C1023" s="3">
        <v>45705.99998842593</v>
      </c>
      <c r="D1023" t="s">
        <v>89</v>
      </c>
      <c r="E1023" s="4">
        <v>0.66600000000000004</v>
      </c>
      <c r="F1023" s="4">
        <v>415089.21</v>
      </c>
      <c r="G1023" s="4">
        <v>415089.87599999999</v>
      </c>
      <c r="H1023" s="5">
        <f>59 / 86400</f>
        <v>6.8287037037037036E-4</v>
      </c>
      <c r="I1023" t="s">
        <v>251</v>
      </c>
      <c r="J1023" t="s">
        <v>32</v>
      </c>
      <c r="K1023" s="5">
        <f>144 / 86400</f>
        <v>1.6666666666666668E-3</v>
      </c>
      <c r="L1023" s="5">
        <f>0 / 86400</f>
        <v>0</v>
      </c>
    </row>
    <row r="1024" spans="1:12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2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 spans="1:12" s="10" customFormat="1" ht="20.100000000000001" customHeight="1" x14ac:dyDescent="0.35">
      <c r="A1026" s="12" t="s">
        <v>478</v>
      </c>
      <c r="B1026" s="12"/>
      <c r="C1026" s="12"/>
      <c r="D1026" s="12"/>
      <c r="E1026" s="12"/>
      <c r="F1026" s="12"/>
      <c r="G1026" s="12"/>
      <c r="H1026" s="12"/>
      <c r="I1026" s="12"/>
      <c r="J1026" s="12"/>
    </row>
    <row r="1027" spans="1:12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2" ht="30" x14ac:dyDescent="0.25">
      <c r="A1028" s="2" t="s">
        <v>6</v>
      </c>
      <c r="B1028" s="2" t="s">
        <v>7</v>
      </c>
      <c r="C1028" s="2" t="s">
        <v>8</v>
      </c>
      <c r="D1028" s="2" t="s">
        <v>9</v>
      </c>
      <c r="E1028" s="2" t="s">
        <v>10</v>
      </c>
      <c r="F1028" s="2" t="s">
        <v>11</v>
      </c>
      <c r="G1028" s="2" t="s">
        <v>12</v>
      </c>
      <c r="H1028" s="2" t="s">
        <v>13</v>
      </c>
      <c r="I1028" s="2" t="s">
        <v>14</v>
      </c>
      <c r="J1028" s="2" t="s">
        <v>15</v>
      </c>
      <c r="K1028" s="2" t="s">
        <v>16</v>
      </c>
      <c r="L1028" s="2" t="s">
        <v>17</v>
      </c>
    </row>
    <row r="1029" spans="1:12" x14ac:dyDescent="0.25">
      <c r="A1029" s="3">
        <v>45705.17287037037</v>
      </c>
      <c r="B1029" t="s">
        <v>28</v>
      </c>
      <c r="C1029" s="3">
        <v>45705.17387731481</v>
      </c>
      <c r="D1029" t="s">
        <v>28</v>
      </c>
      <c r="E1029" s="4">
        <v>1.4E-2</v>
      </c>
      <c r="F1029" s="4">
        <v>328809.90500000003</v>
      </c>
      <c r="G1029" s="4">
        <v>328809.91899999999</v>
      </c>
      <c r="H1029" s="5">
        <f>79 / 86400</f>
        <v>9.1435185185185185E-4</v>
      </c>
      <c r="I1029" t="s">
        <v>73</v>
      </c>
      <c r="J1029" t="s">
        <v>144</v>
      </c>
      <c r="K1029" s="5">
        <f>87 / 86400</f>
        <v>1.0069444444444444E-3</v>
      </c>
      <c r="L1029" s="5">
        <f>14981 / 86400</f>
        <v>0.1733912037037037</v>
      </c>
    </row>
    <row r="1030" spans="1:12" x14ac:dyDescent="0.25">
      <c r="A1030" s="3">
        <v>45705.174398148149</v>
      </c>
      <c r="B1030" t="s">
        <v>28</v>
      </c>
      <c r="C1030" s="3">
        <v>45705.34103009259</v>
      </c>
      <c r="D1030" t="s">
        <v>94</v>
      </c>
      <c r="E1030" s="4">
        <v>81.703999999999994</v>
      </c>
      <c r="F1030" s="4">
        <v>328809.91899999999</v>
      </c>
      <c r="G1030" s="4">
        <v>328891.62300000002</v>
      </c>
      <c r="H1030" s="5">
        <f>3181 / 86400</f>
        <v>3.681712962962963E-2</v>
      </c>
      <c r="I1030" t="s">
        <v>99</v>
      </c>
      <c r="J1030" t="s">
        <v>20</v>
      </c>
      <c r="K1030" s="5">
        <f>14397 / 86400</f>
        <v>0.16663194444444446</v>
      </c>
      <c r="L1030" s="5">
        <f>3609 / 86400</f>
        <v>4.1770833333333333E-2</v>
      </c>
    </row>
    <row r="1031" spans="1:12" x14ac:dyDescent="0.25">
      <c r="A1031" s="3">
        <v>45705.38280092593</v>
      </c>
      <c r="B1031" t="s">
        <v>94</v>
      </c>
      <c r="C1031" s="3">
        <v>45705.386030092588</v>
      </c>
      <c r="D1031" t="s">
        <v>80</v>
      </c>
      <c r="E1031" s="4">
        <v>0.97599999999999998</v>
      </c>
      <c r="F1031" s="4">
        <v>328891.62300000002</v>
      </c>
      <c r="G1031" s="4">
        <v>328892.59899999999</v>
      </c>
      <c r="H1031" s="5">
        <f>20 / 86400</f>
        <v>2.3148148148148149E-4</v>
      </c>
      <c r="I1031" t="s">
        <v>199</v>
      </c>
      <c r="J1031" t="s">
        <v>66</v>
      </c>
      <c r="K1031" s="5">
        <f>279 / 86400</f>
        <v>3.2291666666666666E-3</v>
      </c>
      <c r="L1031" s="5">
        <f>168 / 86400</f>
        <v>1.9444444444444444E-3</v>
      </c>
    </row>
    <row r="1032" spans="1:12" x14ac:dyDescent="0.25">
      <c r="A1032" s="3">
        <v>45705.387974537036</v>
      </c>
      <c r="B1032" t="s">
        <v>80</v>
      </c>
      <c r="C1032" s="3">
        <v>45705.392384259263</v>
      </c>
      <c r="D1032" t="s">
        <v>128</v>
      </c>
      <c r="E1032" s="4">
        <v>1.306</v>
      </c>
      <c r="F1032" s="4">
        <v>328892.59899999999</v>
      </c>
      <c r="G1032" s="4">
        <v>328893.90500000003</v>
      </c>
      <c r="H1032" s="5">
        <f>39 / 86400</f>
        <v>4.5138888888888887E-4</v>
      </c>
      <c r="I1032" t="s">
        <v>163</v>
      </c>
      <c r="J1032" t="s">
        <v>162</v>
      </c>
      <c r="K1032" s="5">
        <f>381 / 86400</f>
        <v>4.409722222222222E-3</v>
      </c>
      <c r="L1032" s="5">
        <f>2859 / 86400</f>
        <v>3.3090277777777781E-2</v>
      </c>
    </row>
    <row r="1033" spans="1:12" x14ac:dyDescent="0.25">
      <c r="A1033" s="3">
        <v>45705.425474537042</v>
      </c>
      <c r="B1033" t="s">
        <v>128</v>
      </c>
      <c r="C1033" s="3">
        <v>45705.540312500001</v>
      </c>
      <c r="D1033" t="s">
        <v>414</v>
      </c>
      <c r="E1033" s="4">
        <v>51.176000000000002</v>
      </c>
      <c r="F1033" s="4">
        <v>328893.90500000003</v>
      </c>
      <c r="G1033" s="4">
        <v>328945.08100000001</v>
      </c>
      <c r="H1033" s="5">
        <f>2779 / 86400</f>
        <v>3.2164351851851854E-2</v>
      </c>
      <c r="I1033" t="s">
        <v>95</v>
      </c>
      <c r="J1033" t="s">
        <v>27</v>
      </c>
      <c r="K1033" s="5">
        <f>9922 / 86400</f>
        <v>0.11483796296296296</v>
      </c>
      <c r="L1033" s="5">
        <f>1201 / 86400</f>
        <v>1.3900462962962963E-2</v>
      </c>
    </row>
    <row r="1034" spans="1:12" x14ac:dyDescent="0.25">
      <c r="A1034" s="3">
        <v>45705.554212962961</v>
      </c>
      <c r="B1034" t="s">
        <v>414</v>
      </c>
      <c r="C1034" s="3">
        <v>45705.669363425928</v>
      </c>
      <c r="D1034" t="s">
        <v>24</v>
      </c>
      <c r="E1034" s="4">
        <v>35.165999999999997</v>
      </c>
      <c r="F1034" s="4">
        <v>328945.08100000001</v>
      </c>
      <c r="G1034" s="4">
        <v>328980.24699999997</v>
      </c>
      <c r="H1034" s="5">
        <f>3762 / 86400</f>
        <v>4.3541666666666666E-2</v>
      </c>
      <c r="I1034" t="s">
        <v>173</v>
      </c>
      <c r="J1034" t="s">
        <v>66</v>
      </c>
      <c r="K1034" s="5">
        <f>9948 / 86400</f>
        <v>0.11513888888888889</v>
      </c>
      <c r="L1034" s="5">
        <f>205 / 86400</f>
        <v>2.3726851851851851E-3</v>
      </c>
    </row>
    <row r="1035" spans="1:12" x14ac:dyDescent="0.25">
      <c r="A1035" s="3">
        <v>45705.671736111108</v>
      </c>
      <c r="B1035" t="s">
        <v>24</v>
      </c>
      <c r="C1035" s="3">
        <v>45705.673935185187</v>
      </c>
      <c r="D1035" t="s">
        <v>28</v>
      </c>
      <c r="E1035" s="4">
        <v>0.51</v>
      </c>
      <c r="F1035" s="4">
        <v>328980.24699999997</v>
      </c>
      <c r="G1035" s="4">
        <v>328980.75699999998</v>
      </c>
      <c r="H1035" s="5">
        <f>20 / 86400</f>
        <v>2.3148148148148149E-4</v>
      </c>
      <c r="I1035" t="s">
        <v>20</v>
      </c>
      <c r="J1035" t="s">
        <v>118</v>
      </c>
      <c r="K1035" s="5">
        <f>190 / 86400</f>
        <v>2.1990740740740742E-3</v>
      </c>
      <c r="L1035" s="5">
        <f>125 / 86400</f>
        <v>1.4467592592592592E-3</v>
      </c>
    </row>
    <row r="1036" spans="1:12" x14ac:dyDescent="0.25">
      <c r="A1036" s="3">
        <v>45705.675381944442</v>
      </c>
      <c r="B1036" t="s">
        <v>28</v>
      </c>
      <c r="C1036" s="3">
        <v>45705.682754629626</v>
      </c>
      <c r="D1036" t="s">
        <v>382</v>
      </c>
      <c r="E1036" s="4">
        <v>5.202</v>
      </c>
      <c r="F1036" s="4">
        <v>328980.75699999998</v>
      </c>
      <c r="G1036" s="4">
        <v>328985.95899999997</v>
      </c>
      <c r="H1036" s="5">
        <f>119 / 86400</f>
        <v>1.3773148148148147E-3</v>
      </c>
      <c r="I1036" t="s">
        <v>92</v>
      </c>
      <c r="J1036" t="s">
        <v>150</v>
      </c>
      <c r="K1036" s="5">
        <f>637 / 86400</f>
        <v>7.3726851851851852E-3</v>
      </c>
      <c r="L1036" s="5">
        <f>132 / 86400</f>
        <v>1.5277777777777779E-3</v>
      </c>
    </row>
    <row r="1037" spans="1:12" x14ac:dyDescent="0.25">
      <c r="A1037" s="3">
        <v>45705.684282407412</v>
      </c>
      <c r="B1037" t="s">
        <v>382</v>
      </c>
      <c r="C1037" s="3">
        <v>45705.838009259256</v>
      </c>
      <c r="D1037" t="s">
        <v>415</v>
      </c>
      <c r="E1037" s="4">
        <v>54.856999999999999</v>
      </c>
      <c r="F1037" s="4">
        <v>328985.95899999997</v>
      </c>
      <c r="G1037" s="4">
        <v>329040.81599999999</v>
      </c>
      <c r="H1037" s="5">
        <f>5590 / 86400</f>
        <v>6.4699074074074076E-2</v>
      </c>
      <c r="I1037" t="s">
        <v>91</v>
      </c>
      <c r="J1037" t="s">
        <v>30</v>
      </c>
      <c r="K1037" s="5">
        <f>13282 / 86400</f>
        <v>0.15372685185185186</v>
      </c>
      <c r="L1037" s="5">
        <f>35 / 86400</f>
        <v>4.0509259259259258E-4</v>
      </c>
    </row>
    <row r="1038" spans="1:12" x14ac:dyDescent="0.25">
      <c r="A1038" s="3">
        <v>45705.838414351849</v>
      </c>
      <c r="B1038" t="s">
        <v>415</v>
      </c>
      <c r="C1038" s="3">
        <v>45705.998356481483</v>
      </c>
      <c r="D1038" t="s">
        <v>24</v>
      </c>
      <c r="E1038" s="4">
        <v>72.527000000000001</v>
      </c>
      <c r="F1038" s="4">
        <v>329040.81599999999</v>
      </c>
      <c r="G1038" s="4">
        <v>329113.34299999999</v>
      </c>
      <c r="H1038" s="5">
        <f>5139 / 86400</f>
        <v>5.9479166666666666E-2</v>
      </c>
      <c r="I1038" t="s">
        <v>22</v>
      </c>
      <c r="J1038" t="s">
        <v>27</v>
      </c>
      <c r="K1038" s="5">
        <f>13818 / 86400</f>
        <v>0.15993055555555555</v>
      </c>
      <c r="L1038" s="5">
        <f>141 / 86400</f>
        <v>1.6319444444444445E-3</v>
      </c>
    </row>
    <row r="1039" spans="1:12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2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2" s="10" customFormat="1" ht="20.100000000000001" customHeight="1" x14ac:dyDescent="0.35">
      <c r="A1041" s="12" t="s">
        <v>479</v>
      </c>
      <c r="B1041" s="12"/>
      <c r="C1041" s="12"/>
      <c r="D1041" s="12"/>
      <c r="E1041" s="12"/>
      <c r="F1041" s="12"/>
      <c r="G1041" s="12"/>
      <c r="H1041" s="12"/>
      <c r="I1041" s="12"/>
      <c r="J1041" s="12"/>
    </row>
    <row r="1042" spans="1:12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2" ht="30" x14ac:dyDescent="0.25">
      <c r="A1043" s="2" t="s">
        <v>6</v>
      </c>
      <c r="B1043" s="2" t="s">
        <v>7</v>
      </c>
      <c r="C1043" s="2" t="s">
        <v>8</v>
      </c>
      <c r="D1043" s="2" t="s">
        <v>9</v>
      </c>
      <c r="E1043" s="2" t="s">
        <v>10</v>
      </c>
      <c r="F1043" s="2" t="s">
        <v>11</v>
      </c>
      <c r="G1043" s="2" t="s">
        <v>12</v>
      </c>
      <c r="H1043" s="2" t="s">
        <v>13</v>
      </c>
      <c r="I1043" s="2" t="s">
        <v>14</v>
      </c>
      <c r="J1043" s="2" t="s">
        <v>15</v>
      </c>
      <c r="K1043" s="2" t="s">
        <v>16</v>
      </c>
      <c r="L1043" s="2" t="s">
        <v>17</v>
      </c>
    </row>
    <row r="1044" spans="1:12" x14ac:dyDescent="0.25">
      <c r="A1044" s="3">
        <v>45705.275358796294</v>
      </c>
      <c r="B1044" t="s">
        <v>28</v>
      </c>
      <c r="C1044" s="3">
        <v>45705.284537037034</v>
      </c>
      <c r="D1044" t="s">
        <v>174</v>
      </c>
      <c r="E1044" s="4">
        <v>0.59199999999999997</v>
      </c>
      <c r="F1044" s="4">
        <v>360855.364</v>
      </c>
      <c r="G1044" s="4">
        <v>360855.95600000001</v>
      </c>
      <c r="H1044" s="5">
        <f>620 / 86400</f>
        <v>7.1759259259259259E-3</v>
      </c>
      <c r="I1044" t="s">
        <v>232</v>
      </c>
      <c r="J1044" t="s">
        <v>84</v>
      </c>
      <c r="K1044" s="5">
        <f>793 / 86400</f>
        <v>9.1782407407407403E-3</v>
      </c>
      <c r="L1044" s="5">
        <f>23797 / 86400</f>
        <v>0.27542824074074074</v>
      </c>
    </row>
    <row r="1045" spans="1:12" x14ac:dyDescent="0.25">
      <c r="A1045" s="3">
        <v>45705.28460648148</v>
      </c>
      <c r="B1045" t="s">
        <v>174</v>
      </c>
      <c r="C1045" s="3">
        <v>45705.284687499996</v>
      </c>
      <c r="D1045" t="s">
        <v>174</v>
      </c>
      <c r="E1045" s="4">
        <v>0</v>
      </c>
      <c r="F1045" s="4">
        <v>360855.95600000001</v>
      </c>
      <c r="G1045" s="4">
        <v>360855.95600000001</v>
      </c>
      <c r="H1045" s="5">
        <f>0 / 86400</f>
        <v>0</v>
      </c>
      <c r="I1045" t="s">
        <v>73</v>
      </c>
      <c r="J1045" t="s">
        <v>73</v>
      </c>
      <c r="K1045" s="5">
        <f>7 / 86400</f>
        <v>8.1018518518518516E-5</v>
      </c>
      <c r="L1045" s="5">
        <f>23 / 86400</f>
        <v>2.6620370370370372E-4</v>
      </c>
    </row>
    <row r="1046" spans="1:12" x14ac:dyDescent="0.25">
      <c r="A1046" s="3">
        <v>45705.284953703704</v>
      </c>
      <c r="B1046" t="s">
        <v>174</v>
      </c>
      <c r="C1046" s="3">
        <v>45705.285081018519</v>
      </c>
      <c r="D1046" t="s">
        <v>174</v>
      </c>
      <c r="E1046" s="4">
        <v>0.01</v>
      </c>
      <c r="F1046" s="4">
        <v>360855.95600000001</v>
      </c>
      <c r="G1046" s="4">
        <v>360855.96600000001</v>
      </c>
      <c r="H1046" s="5">
        <f>0 / 86400</f>
        <v>0</v>
      </c>
      <c r="I1046" t="s">
        <v>73</v>
      </c>
      <c r="J1046" t="s">
        <v>84</v>
      </c>
      <c r="K1046" s="5">
        <f>11 / 86400</f>
        <v>1.273148148148148E-4</v>
      </c>
      <c r="L1046" s="5">
        <f>836 / 86400</f>
        <v>9.6759259259259264E-3</v>
      </c>
    </row>
    <row r="1047" spans="1:12" x14ac:dyDescent="0.25">
      <c r="A1047" s="3">
        <v>45705.294756944444</v>
      </c>
      <c r="B1047" t="s">
        <v>174</v>
      </c>
      <c r="C1047" s="3">
        <v>45705.414502314816</v>
      </c>
      <c r="D1047" t="s">
        <v>94</v>
      </c>
      <c r="E1047" s="4">
        <v>59.241999999999997</v>
      </c>
      <c r="F1047" s="4">
        <v>360855.96600000001</v>
      </c>
      <c r="G1047" s="4">
        <v>360915.20799999998</v>
      </c>
      <c r="H1047" s="5">
        <f>2841 / 86400</f>
        <v>3.2881944444444443E-2</v>
      </c>
      <c r="I1047" t="s">
        <v>65</v>
      </c>
      <c r="J1047" t="s">
        <v>38</v>
      </c>
      <c r="K1047" s="5">
        <f>10346 / 86400</f>
        <v>0.11974537037037038</v>
      </c>
      <c r="L1047" s="5">
        <f>2762 / 86400</f>
        <v>3.1967592592592596E-2</v>
      </c>
    </row>
    <row r="1048" spans="1:12" x14ac:dyDescent="0.25">
      <c r="A1048" s="3">
        <v>45705.446469907409</v>
      </c>
      <c r="B1048" t="s">
        <v>94</v>
      </c>
      <c r="C1048" s="3">
        <v>45705.447719907403</v>
      </c>
      <c r="D1048" t="s">
        <v>94</v>
      </c>
      <c r="E1048" s="4">
        <v>8.8999999999999996E-2</v>
      </c>
      <c r="F1048" s="4">
        <v>360915.20799999998</v>
      </c>
      <c r="G1048" s="4">
        <v>360915.29700000002</v>
      </c>
      <c r="H1048" s="5">
        <f>59 / 86400</f>
        <v>6.8287037037037036E-4</v>
      </c>
      <c r="I1048" t="s">
        <v>133</v>
      </c>
      <c r="J1048" t="s">
        <v>84</v>
      </c>
      <c r="K1048" s="5">
        <f>108 / 86400</f>
        <v>1.25E-3</v>
      </c>
      <c r="L1048" s="5">
        <f>986 / 86400</f>
        <v>1.1412037037037037E-2</v>
      </c>
    </row>
    <row r="1049" spans="1:12" x14ac:dyDescent="0.25">
      <c r="A1049" s="3">
        <v>45705.459131944444</v>
      </c>
      <c r="B1049" t="s">
        <v>94</v>
      </c>
      <c r="C1049" s="3">
        <v>45705.464247685188</v>
      </c>
      <c r="D1049" t="s">
        <v>128</v>
      </c>
      <c r="E1049" s="4">
        <v>1.206</v>
      </c>
      <c r="F1049" s="4">
        <v>360915.29700000002</v>
      </c>
      <c r="G1049" s="4">
        <v>360916.50300000003</v>
      </c>
      <c r="H1049" s="5">
        <f>119 / 86400</f>
        <v>1.3773148148148147E-3</v>
      </c>
      <c r="I1049" t="s">
        <v>163</v>
      </c>
      <c r="J1049" t="s">
        <v>118</v>
      </c>
      <c r="K1049" s="5">
        <f>442 / 86400</f>
        <v>5.115740740740741E-3</v>
      </c>
      <c r="L1049" s="5">
        <f>639 / 86400</f>
        <v>7.3958333333333333E-3</v>
      </c>
    </row>
    <row r="1050" spans="1:12" x14ac:dyDescent="0.25">
      <c r="A1050" s="3">
        <v>45705.471643518518</v>
      </c>
      <c r="B1050" t="s">
        <v>128</v>
      </c>
      <c r="C1050" s="3">
        <v>45705.479722222226</v>
      </c>
      <c r="D1050" t="s">
        <v>164</v>
      </c>
      <c r="E1050" s="4">
        <v>0.80600000000000005</v>
      </c>
      <c r="F1050" s="4">
        <v>360916.50300000003</v>
      </c>
      <c r="G1050" s="4">
        <v>360917.30900000001</v>
      </c>
      <c r="H1050" s="5">
        <f>460 / 86400</f>
        <v>5.324074074074074E-3</v>
      </c>
      <c r="I1050" t="s">
        <v>20</v>
      </c>
      <c r="J1050" t="s">
        <v>148</v>
      </c>
      <c r="K1050" s="5">
        <f>698 / 86400</f>
        <v>8.0787037037037043E-3</v>
      </c>
      <c r="L1050" s="5">
        <f>99 / 86400</f>
        <v>1.1458333333333333E-3</v>
      </c>
    </row>
    <row r="1051" spans="1:12" x14ac:dyDescent="0.25">
      <c r="A1051" s="3">
        <v>45705.480868055558</v>
      </c>
      <c r="B1051" t="s">
        <v>164</v>
      </c>
      <c r="C1051" s="3">
        <v>45705.481053240743</v>
      </c>
      <c r="D1051" t="s">
        <v>164</v>
      </c>
      <c r="E1051" s="4">
        <v>5.0000000000000001E-3</v>
      </c>
      <c r="F1051" s="4">
        <v>360917.30900000001</v>
      </c>
      <c r="G1051" s="4">
        <v>360917.31400000001</v>
      </c>
      <c r="H1051" s="5">
        <f>0 / 86400</f>
        <v>0</v>
      </c>
      <c r="I1051" t="s">
        <v>73</v>
      </c>
      <c r="J1051" t="s">
        <v>144</v>
      </c>
      <c r="K1051" s="5">
        <f>16 / 86400</f>
        <v>1.8518518518518518E-4</v>
      </c>
      <c r="L1051" s="5">
        <f>155 / 86400</f>
        <v>1.7939814814814815E-3</v>
      </c>
    </row>
    <row r="1052" spans="1:12" x14ac:dyDescent="0.25">
      <c r="A1052" s="3">
        <v>45705.482847222222</v>
      </c>
      <c r="B1052" t="s">
        <v>164</v>
      </c>
      <c r="C1052" s="3">
        <v>45705.482939814814</v>
      </c>
      <c r="D1052" t="s">
        <v>164</v>
      </c>
      <c r="E1052" s="4">
        <v>0</v>
      </c>
      <c r="F1052" s="4">
        <v>360917.31400000001</v>
      </c>
      <c r="G1052" s="4">
        <v>360917.31400000001</v>
      </c>
      <c r="H1052" s="5">
        <f>0 / 86400</f>
        <v>0</v>
      </c>
      <c r="I1052" t="s">
        <v>73</v>
      </c>
      <c r="J1052" t="s">
        <v>73</v>
      </c>
      <c r="K1052" s="5">
        <f>8 / 86400</f>
        <v>9.2592592592592588E-5</v>
      </c>
      <c r="L1052" s="5">
        <f>17 / 86400</f>
        <v>1.9675925925925926E-4</v>
      </c>
    </row>
    <row r="1053" spans="1:12" x14ac:dyDescent="0.25">
      <c r="A1053" s="3">
        <v>45705.483136574076</v>
      </c>
      <c r="B1053" t="s">
        <v>164</v>
      </c>
      <c r="C1053" s="3">
        <v>45705.724108796298</v>
      </c>
      <c r="D1053" t="s">
        <v>80</v>
      </c>
      <c r="E1053" s="4">
        <v>99.757999999999996</v>
      </c>
      <c r="F1053" s="4">
        <v>360917.31400000001</v>
      </c>
      <c r="G1053" s="4">
        <v>361017.07199999999</v>
      </c>
      <c r="H1053" s="5">
        <f>6318 / 86400</f>
        <v>7.3124999999999996E-2</v>
      </c>
      <c r="I1053" t="s">
        <v>33</v>
      </c>
      <c r="J1053" t="s">
        <v>32</v>
      </c>
      <c r="K1053" s="5">
        <f>20820 / 86400</f>
        <v>0.24097222222222223</v>
      </c>
      <c r="L1053" s="5">
        <f>835 / 86400</f>
        <v>9.6643518518518511E-3</v>
      </c>
    </row>
    <row r="1054" spans="1:12" x14ac:dyDescent="0.25">
      <c r="A1054" s="3">
        <v>45705.733773148153</v>
      </c>
      <c r="B1054" t="s">
        <v>80</v>
      </c>
      <c r="C1054" s="3">
        <v>45705.735439814816</v>
      </c>
      <c r="D1054" t="s">
        <v>161</v>
      </c>
      <c r="E1054" s="4">
        <v>5.0999999999999997E-2</v>
      </c>
      <c r="F1054" s="4">
        <v>361017.07199999999</v>
      </c>
      <c r="G1054" s="4">
        <v>361017.12300000002</v>
      </c>
      <c r="H1054" s="5">
        <f>119 / 86400</f>
        <v>1.3773148148148147E-3</v>
      </c>
      <c r="I1054" t="s">
        <v>118</v>
      </c>
      <c r="J1054" t="s">
        <v>144</v>
      </c>
      <c r="K1054" s="5">
        <f>143 / 86400</f>
        <v>1.6550925925925926E-3</v>
      </c>
      <c r="L1054" s="5">
        <f>1946 / 86400</f>
        <v>2.252314814814815E-2</v>
      </c>
    </row>
    <row r="1055" spans="1:12" x14ac:dyDescent="0.25">
      <c r="A1055" s="3">
        <v>45705.757962962962</v>
      </c>
      <c r="B1055" t="s">
        <v>161</v>
      </c>
      <c r="C1055" s="3">
        <v>45705.939525462964</v>
      </c>
      <c r="D1055" t="s">
        <v>174</v>
      </c>
      <c r="E1055" s="4">
        <v>74.995000000000005</v>
      </c>
      <c r="F1055" s="4">
        <v>361017.12300000002</v>
      </c>
      <c r="G1055" s="4">
        <v>361092.11800000002</v>
      </c>
      <c r="H1055" s="5">
        <f>5502 / 86400</f>
        <v>6.368055555555556E-2</v>
      </c>
      <c r="I1055" t="s">
        <v>92</v>
      </c>
      <c r="J1055" t="s">
        <v>32</v>
      </c>
      <c r="K1055" s="5">
        <f>15687 / 86400</f>
        <v>0.18156249999999999</v>
      </c>
      <c r="L1055" s="5">
        <f>211 / 86400</f>
        <v>2.4421296296296296E-3</v>
      </c>
    </row>
    <row r="1056" spans="1:12" x14ac:dyDescent="0.25">
      <c r="A1056" s="3">
        <v>45705.941967592589</v>
      </c>
      <c r="B1056" t="s">
        <v>174</v>
      </c>
      <c r="C1056" s="3">
        <v>45705.942731481482</v>
      </c>
      <c r="D1056" t="s">
        <v>174</v>
      </c>
      <c r="E1056" s="4">
        <v>6.6000000000000003E-2</v>
      </c>
      <c r="F1056" s="4">
        <v>361092.11800000002</v>
      </c>
      <c r="G1056" s="4">
        <v>361092.18400000001</v>
      </c>
      <c r="H1056" s="5">
        <f>19 / 86400</f>
        <v>2.199074074074074E-4</v>
      </c>
      <c r="I1056" t="s">
        <v>118</v>
      </c>
      <c r="J1056" t="s">
        <v>148</v>
      </c>
      <c r="K1056" s="5">
        <f>66 / 86400</f>
        <v>7.6388888888888893E-4</v>
      </c>
      <c r="L1056" s="5">
        <f>112 / 86400</f>
        <v>1.2962962962962963E-3</v>
      </c>
    </row>
    <row r="1057" spans="1:12" x14ac:dyDescent="0.25">
      <c r="A1057" s="3">
        <v>45705.944027777776</v>
      </c>
      <c r="B1057" t="s">
        <v>174</v>
      </c>
      <c r="C1057" s="3">
        <v>45705.945358796293</v>
      </c>
      <c r="D1057" t="s">
        <v>174</v>
      </c>
      <c r="E1057" s="4">
        <v>0</v>
      </c>
      <c r="F1057" s="4">
        <v>361092.18400000001</v>
      </c>
      <c r="G1057" s="4">
        <v>361092.18400000001</v>
      </c>
      <c r="H1057" s="5">
        <f>100 / 86400</f>
        <v>1.1574074074074073E-3</v>
      </c>
      <c r="I1057" t="s">
        <v>73</v>
      </c>
      <c r="J1057" t="s">
        <v>73</v>
      </c>
      <c r="K1057" s="5">
        <f>115 / 86400</f>
        <v>1.3310185185185185E-3</v>
      </c>
      <c r="L1057" s="5">
        <f>5 / 86400</f>
        <v>5.7870370370370373E-5</v>
      </c>
    </row>
    <row r="1058" spans="1:12" x14ac:dyDescent="0.25">
      <c r="A1058" s="3">
        <v>45705.945416666669</v>
      </c>
      <c r="B1058" t="s">
        <v>174</v>
      </c>
      <c r="C1058" s="3">
        <v>45705.949293981481</v>
      </c>
      <c r="D1058" t="s">
        <v>28</v>
      </c>
      <c r="E1058" s="4">
        <v>0.63600000000000001</v>
      </c>
      <c r="F1058" s="4">
        <v>361092.18400000001</v>
      </c>
      <c r="G1058" s="4">
        <v>361092.82</v>
      </c>
      <c r="H1058" s="5">
        <f>179 / 86400</f>
        <v>2.0717592592592593E-3</v>
      </c>
      <c r="I1058" t="s">
        <v>129</v>
      </c>
      <c r="J1058" t="s">
        <v>151</v>
      </c>
      <c r="K1058" s="5">
        <f>335 / 86400</f>
        <v>3.8773148148148148E-3</v>
      </c>
      <c r="L1058" s="5">
        <f>4380 / 86400</f>
        <v>5.0694444444444445E-2</v>
      </c>
    </row>
    <row r="1059" spans="1:12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</row>
    <row r="1060" spans="1:12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</row>
    <row r="1061" spans="1:12" s="10" customFormat="1" ht="20.100000000000001" customHeight="1" x14ac:dyDescent="0.35">
      <c r="A1061" s="12" t="s">
        <v>480</v>
      </c>
      <c r="B1061" s="12"/>
      <c r="C1061" s="12"/>
      <c r="D1061" s="12"/>
      <c r="E1061" s="12"/>
      <c r="F1061" s="12"/>
      <c r="G1061" s="12"/>
      <c r="H1061" s="12"/>
      <c r="I1061" s="12"/>
      <c r="J1061" s="12"/>
    </row>
    <row r="1062" spans="1:12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</row>
    <row r="1063" spans="1:12" ht="30" x14ac:dyDescent="0.25">
      <c r="A1063" s="2" t="s">
        <v>6</v>
      </c>
      <c r="B1063" s="2" t="s">
        <v>7</v>
      </c>
      <c r="C1063" s="2" t="s">
        <v>8</v>
      </c>
      <c r="D1063" s="2" t="s">
        <v>9</v>
      </c>
      <c r="E1063" s="2" t="s">
        <v>10</v>
      </c>
      <c r="F1063" s="2" t="s">
        <v>11</v>
      </c>
      <c r="G1063" s="2" t="s">
        <v>12</v>
      </c>
      <c r="H1063" s="2" t="s">
        <v>13</v>
      </c>
      <c r="I1063" s="2" t="s">
        <v>14</v>
      </c>
      <c r="J1063" s="2" t="s">
        <v>15</v>
      </c>
      <c r="K1063" s="2" t="s">
        <v>16</v>
      </c>
      <c r="L1063" s="2" t="s">
        <v>17</v>
      </c>
    </row>
    <row r="1064" spans="1:12" x14ac:dyDescent="0.25">
      <c r="A1064" s="3">
        <v>45705.276423611111</v>
      </c>
      <c r="B1064" t="s">
        <v>93</v>
      </c>
      <c r="C1064" s="3">
        <v>45705.360856481479</v>
      </c>
      <c r="D1064" t="s">
        <v>154</v>
      </c>
      <c r="E1064" s="4">
        <v>40.146999999999998</v>
      </c>
      <c r="F1064" s="4">
        <v>81917.442999999999</v>
      </c>
      <c r="G1064" s="4">
        <v>81957.59</v>
      </c>
      <c r="H1064" s="5">
        <f>2339 / 86400</f>
        <v>2.7071759259259261E-2</v>
      </c>
      <c r="I1064" t="s">
        <v>64</v>
      </c>
      <c r="J1064" t="s">
        <v>20</v>
      </c>
      <c r="K1064" s="5">
        <f>7294 / 86400</f>
        <v>8.44212962962963E-2</v>
      </c>
      <c r="L1064" s="5">
        <f>25836 / 86400</f>
        <v>0.29902777777777778</v>
      </c>
    </row>
    <row r="1065" spans="1:12" x14ac:dyDescent="0.25">
      <c r="A1065" s="3">
        <v>45705.383460648147</v>
      </c>
      <c r="B1065" t="s">
        <v>154</v>
      </c>
      <c r="C1065" s="3">
        <v>45705.469189814816</v>
      </c>
      <c r="D1065" t="s">
        <v>80</v>
      </c>
      <c r="E1065" s="4">
        <v>41.283999999999999</v>
      </c>
      <c r="F1065" s="4">
        <v>81957.59</v>
      </c>
      <c r="G1065" s="4">
        <v>81998.873999999996</v>
      </c>
      <c r="H1065" s="5">
        <f>2279 / 86400</f>
        <v>2.6377314814814815E-2</v>
      </c>
      <c r="I1065" t="s">
        <v>29</v>
      </c>
      <c r="J1065" t="s">
        <v>20</v>
      </c>
      <c r="K1065" s="5">
        <f>7407 / 86400</f>
        <v>8.5729166666666662E-2</v>
      </c>
      <c r="L1065" s="5">
        <f>3165 / 86400</f>
        <v>3.6631944444444446E-2</v>
      </c>
    </row>
    <row r="1066" spans="1:12" x14ac:dyDescent="0.25">
      <c r="A1066" s="3">
        <v>45705.50582175926</v>
      </c>
      <c r="B1066" t="s">
        <v>80</v>
      </c>
      <c r="C1066" s="3">
        <v>45705.50953703704</v>
      </c>
      <c r="D1066" t="s">
        <v>397</v>
      </c>
      <c r="E1066" s="4">
        <v>0.32300000000000001</v>
      </c>
      <c r="F1066" s="4">
        <v>81998.873999999996</v>
      </c>
      <c r="G1066" s="4">
        <v>81999.197</v>
      </c>
      <c r="H1066" s="5">
        <f>199 / 86400</f>
        <v>2.3032407407407407E-3</v>
      </c>
      <c r="I1066" t="s">
        <v>129</v>
      </c>
      <c r="J1066" t="s">
        <v>148</v>
      </c>
      <c r="K1066" s="5">
        <f>321 / 86400</f>
        <v>3.7152777777777778E-3</v>
      </c>
      <c r="L1066" s="5">
        <f>266 / 86400</f>
        <v>3.0787037037037037E-3</v>
      </c>
    </row>
    <row r="1067" spans="1:12" x14ac:dyDescent="0.25">
      <c r="A1067" s="3">
        <v>45705.512615740736</v>
      </c>
      <c r="B1067" t="s">
        <v>397</v>
      </c>
      <c r="C1067" s="3">
        <v>45705.517175925925</v>
      </c>
      <c r="D1067" t="s">
        <v>93</v>
      </c>
      <c r="E1067" s="4">
        <v>1.169</v>
      </c>
      <c r="F1067" s="4">
        <v>81999.197</v>
      </c>
      <c r="G1067" s="4">
        <v>82000.365999999995</v>
      </c>
      <c r="H1067" s="5">
        <f>159 / 86400</f>
        <v>1.8402777777777777E-3</v>
      </c>
      <c r="I1067" t="s">
        <v>294</v>
      </c>
      <c r="J1067" t="s">
        <v>45</v>
      </c>
      <c r="K1067" s="5">
        <f>394 / 86400</f>
        <v>4.5601851851851853E-3</v>
      </c>
      <c r="L1067" s="5">
        <f>7873 / 86400</f>
        <v>9.1122685185185182E-2</v>
      </c>
    </row>
    <row r="1068" spans="1:12" x14ac:dyDescent="0.25">
      <c r="A1068" s="3">
        <v>45705.608298611114</v>
      </c>
      <c r="B1068" t="s">
        <v>93</v>
      </c>
      <c r="C1068" s="3">
        <v>45705.850659722222</v>
      </c>
      <c r="D1068" t="s">
        <v>397</v>
      </c>
      <c r="E1068" s="4">
        <v>94.549000000000007</v>
      </c>
      <c r="F1068" s="4">
        <v>82000.365999999995</v>
      </c>
      <c r="G1068" s="4">
        <v>82094.914999999994</v>
      </c>
      <c r="H1068" s="5">
        <f>7137 / 86400</f>
        <v>8.2604166666666673E-2</v>
      </c>
      <c r="I1068" t="s">
        <v>19</v>
      </c>
      <c r="J1068" t="s">
        <v>62</v>
      </c>
      <c r="K1068" s="5">
        <f>20940 / 86400</f>
        <v>0.24236111111111111</v>
      </c>
      <c r="L1068" s="5">
        <f>175 / 86400</f>
        <v>2.0254629629629629E-3</v>
      </c>
    </row>
    <row r="1069" spans="1:12" x14ac:dyDescent="0.25">
      <c r="A1069" s="3">
        <v>45705.852685185186</v>
      </c>
      <c r="B1069" t="s">
        <v>397</v>
      </c>
      <c r="C1069" s="3">
        <v>45705.852719907409</v>
      </c>
      <c r="D1069" t="s">
        <v>397</v>
      </c>
      <c r="E1069" s="4">
        <v>0</v>
      </c>
      <c r="F1069" s="4">
        <v>82094.914999999994</v>
      </c>
      <c r="G1069" s="4">
        <v>82094.914999999994</v>
      </c>
      <c r="H1069" s="5">
        <f>0 / 86400</f>
        <v>0</v>
      </c>
      <c r="I1069" t="s">
        <v>73</v>
      </c>
      <c r="J1069" t="s">
        <v>73</v>
      </c>
      <c r="K1069" s="5">
        <f>2 / 86400</f>
        <v>2.3148148148148147E-5</v>
      </c>
      <c r="L1069" s="5">
        <f>222 / 86400</f>
        <v>2.5694444444444445E-3</v>
      </c>
    </row>
    <row r="1070" spans="1:12" x14ac:dyDescent="0.25">
      <c r="A1070" s="3">
        <v>45705.85528935185</v>
      </c>
      <c r="B1070" t="s">
        <v>397</v>
      </c>
      <c r="C1070" s="3">
        <v>45705.855370370366</v>
      </c>
      <c r="D1070" t="s">
        <v>397</v>
      </c>
      <c r="E1070" s="4">
        <v>0</v>
      </c>
      <c r="F1070" s="4">
        <v>82094.914999999994</v>
      </c>
      <c r="G1070" s="4">
        <v>82094.914999999994</v>
      </c>
      <c r="H1070" s="5">
        <f>0 / 86400</f>
        <v>0</v>
      </c>
      <c r="I1070" t="s">
        <v>73</v>
      </c>
      <c r="J1070" t="s">
        <v>73</v>
      </c>
      <c r="K1070" s="5">
        <f>6 / 86400</f>
        <v>6.9444444444444444E-5</v>
      </c>
      <c r="L1070" s="5">
        <f>54 / 86400</f>
        <v>6.2500000000000001E-4</v>
      </c>
    </row>
    <row r="1071" spans="1:12" x14ac:dyDescent="0.25">
      <c r="A1071" s="3">
        <v>45705.855995370366</v>
      </c>
      <c r="B1071" t="s">
        <v>397</v>
      </c>
      <c r="C1071" s="3">
        <v>45705.86173611111</v>
      </c>
      <c r="D1071" t="s">
        <v>93</v>
      </c>
      <c r="E1071" s="4">
        <v>1.1819999999999999</v>
      </c>
      <c r="F1071" s="4">
        <v>82094.914999999994</v>
      </c>
      <c r="G1071" s="4">
        <v>82096.096999999994</v>
      </c>
      <c r="H1071" s="5">
        <f>260 / 86400</f>
        <v>3.0092592592592593E-3</v>
      </c>
      <c r="I1071" t="s">
        <v>199</v>
      </c>
      <c r="J1071" t="s">
        <v>133</v>
      </c>
      <c r="K1071" s="5">
        <f>495 / 86400</f>
        <v>5.7291666666666663E-3</v>
      </c>
      <c r="L1071" s="5">
        <f>692 / 86400</f>
        <v>8.0092592592592594E-3</v>
      </c>
    </row>
    <row r="1072" spans="1:12" x14ac:dyDescent="0.25">
      <c r="A1072" s="3">
        <v>45705.869745370372</v>
      </c>
      <c r="B1072" t="s">
        <v>93</v>
      </c>
      <c r="C1072" s="3">
        <v>45705.870567129634</v>
      </c>
      <c r="D1072" t="s">
        <v>93</v>
      </c>
      <c r="E1072" s="4">
        <v>2.5000000000000001E-2</v>
      </c>
      <c r="F1072" s="4">
        <v>82096.096999999994</v>
      </c>
      <c r="G1072" s="4">
        <v>82096.122000000003</v>
      </c>
      <c r="H1072" s="5">
        <f>0 / 86400</f>
        <v>0</v>
      </c>
      <c r="I1072" t="s">
        <v>143</v>
      </c>
      <c r="J1072" t="s">
        <v>144</v>
      </c>
      <c r="K1072" s="5">
        <f>71 / 86400</f>
        <v>8.2175925925925927E-4</v>
      </c>
      <c r="L1072" s="5">
        <f>11182 / 86400</f>
        <v>0.12942129629629628</v>
      </c>
    </row>
    <row r="1073" spans="1:12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</row>
    <row r="1074" spans="1:12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</row>
    <row r="1075" spans="1:12" s="10" customFormat="1" ht="20.100000000000001" customHeight="1" x14ac:dyDescent="0.35">
      <c r="A1075" s="12" t="s">
        <v>481</v>
      </c>
      <c r="B1075" s="12"/>
      <c r="C1075" s="12"/>
      <c r="D1075" s="12"/>
      <c r="E1075" s="12"/>
      <c r="F1075" s="12"/>
      <c r="G1075" s="12"/>
      <c r="H1075" s="12"/>
      <c r="I1075" s="12"/>
      <c r="J1075" s="12"/>
    </row>
    <row r="1076" spans="1:12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</row>
    <row r="1077" spans="1:12" ht="30" x14ac:dyDescent="0.25">
      <c r="A1077" s="2" t="s">
        <v>6</v>
      </c>
      <c r="B1077" s="2" t="s">
        <v>7</v>
      </c>
      <c r="C1077" s="2" t="s">
        <v>8</v>
      </c>
      <c r="D1077" s="2" t="s">
        <v>9</v>
      </c>
      <c r="E1077" s="2" t="s">
        <v>10</v>
      </c>
      <c r="F1077" s="2" t="s">
        <v>11</v>
      </c>
      <c r="G1077" s="2" t="s">
        <v>12</v>
      </c>
      <c r="H1077" s="2" t="s">
        <v>13</v>
      </c>
      <c r="I1077" s="2" t="s">
        <v>14</v>
      </c>
      <c r="J1077" s="2" t="s">
        <v>15</v>
      </c>
      <c r="K1077" s="2" t="s">
        <v>16</v>
      </c>
      <c r="L1077" s="2" t="s">
        <v>17</v>
      </c>
    </row>
    <row r="1078" spans="1:12" x14ac:dyDescent="0.25">
      <c r="A1078" s="3">
        <v>45705.203611111108</v>
      </c>
      <c r="B1078" t="s">
        <v>94</v>
      </c>
      <c r="C1078" s="3">
        <v>45705.214305555557</v>
      </c>
      <c r="D1078" t="s">
        <v>164</v>
      </c>
      <c r="E1078" s="4">
        <v>0.59299999999999997</v>
      </c>
      <c r="F1078" s="4">
        <v>470499.68300000002</v>
      </c>
      <c r="G1078" s="4">
        <v>470500.27600000001</v>
      </c>
      <c r="H1078" s="5">
        <f>719 / 86400</f>
        <v>8.3217592592592596E-3</v>
      </c>
      <c r="I1078" t="s">
        <v>20</v>
      </c>
      <c r="J1078" t="s">
        <v>143</v>
      </c>
      <c r="K1078" s="5">
        <f>924 / 86400</f>
        <v>1.0694444444444444E-2</v>
      </c>
      <c r="L1078" s="5">
        <f>17732 / 86400</f>
        <v>0.20523148148148149</v>
      </c>
    </row>
    <row r="1079" spans="1:12" x14ac:dyDescent="0.25">
      <c r="A1079" s="3">
        <v>45705.215925925921</v>
      </c>
      <c r="B1079" t="s">
        <v>164</v>
      </c>
      <c r="C1079" s="3">
        <v>45705.445509259254</v>
      </c>
      <c r="D1079" t="s">
        <v>130</v>
      </c>
      <c r="E1079" s="4">
        <v>101.551</v>
      </c>
      <c r="F1079" s="4">
        <v>470500.27600000001</v>
      </c>
      <c r="G1079" s="4">
        <v>470601.82699999999</v>
      </c>
      <c r="H1079" s="5">
        <f>6721 / 86400</f>
        <v>7.7789351851851846E-2</v>
      </c>
      <c r="I1079" t="s">
        <v>95</v>
      </c>
      <c r="J1079" t="s">
        <v>23</v>
      </c>
      <c r="K1079" s="5">
        <f>19835 / 86400</f>
        <v>0.22957175925925927</v>
      </c>
      <c r="L1079" s="5">
        <f>1568 / 86400</f>
        <v>1.8148148148148149E-2</v>
      </c>
    </row>
    <row r="1080" spans="1:12" x14ac:dyDescent="0.25">
      <c r="A1080" s="3">
        <v>45705.46365740741</v>
      </c>
      <c r="B1080" t="s">
        <v>130</v>
      </c>
      <c r="C1080" s="3">
        <v>45705.467291666668</v>
      </c>
      <c r="D1080" t="s">
        <v>94</v>
      </c>
      <c r="E1080" s="4">
        <v>0.98799999999999999</v>
      </c>
      <c r="F1080" s="4">
        <v>470601.82699999999</v>
      </c>
      <c r="G1080" s="4">
        <v>470602.815</v>
      </c>
      <c r="H1080" s="5">
        <f>20 / 86400</f>
        <v>2.3148148148148149E-4</v>
      </c>
      <c r="I1080" t="s">
        <v>163</v>
      </c>
      <c r="J1080" t="s">
        <v>45</v>
      </c>
      <c r="K1080" s="5">
        <f>313 / 86400</f>
        <v>3.6226851851851854E-3</v>
      </c>
      <c r="L1080" s="5">
        <f>342 / 86400</f>
        <v>3.9583333333333337E-3</v>
      </c>
    </row>
    <row r="1081" spans="1:12" x14ac:dyDescent="0.25">
      <c r="A1081" s="3">
        <v>45705.471250000002</v>
      </c>
      <c r="B1081" t="s">
        <v>94</v>
      </c>
      <c r="C1081" s="3">
        <v>45705.473923611113</v>
      </c>
      <c r="D1081" t="s">
        <v>41</v>
      </c>
      <c r="E1081" s="4">
        <v>0.42499999999999999</v>
      </c>
      <c r="F1081" s="4">
        <v>470602.815</v>
      </c>
      <c r="G1081" s="4">
        <v>470603.24</v>
      </c>
      <c r="H1081" s="5">
        <f>60 / 86400</f>
        <v>6.9444444444444447E-4</v>
      </c>
      <c r="I1081" t="s">
        <v>62</v>
      </c>
      <c r="J1081" t="s">
        <v>151</v>
      </c>
      <c r="K1081" s="5">
        <f>231 / 86400</f>
        <v>2.673611111111111E-3</v>
      </c>
      <c r="L1081" s="5">
        <f>1942 / 86400</f>
        <v>2.2476851851851852E-2</v>
      </c>
    </row>
    <row r="1082" spans="1:12" x14ac:dyDescent="0.25">
      <c r="A1082" s="3">
        <v>45705.496400462958</v>
      </c>
      <c r="B1082" t="s">
        <v>41</v>
      </c>
      <c r="C1082" s="3">
        <v>45705.757326388892</v>
      </c>
      <c r="D1082" t="s">
        <v>80</v>
      </c>
      <c r="E1082" s="4">
        <v>100.008</v>
      </c>
      <c r="F1082" s="4">
        <v>470603.24</v>
      </c>
      <c r="G1082" s="4">
        <v>470703.24800000002</v>
      </c>
      <c r="H1082" s="5">
        <f>8201 / 86400</f>
        <v>9.4918981481481479E-2</v>
      </c>
      <c r="I1082" t="s">
        <v>95</v>
      </c>
      <c r="J1082" t="s">
        <v>62</v>
      </c>
      <c r="K1082" s="5">
        <f>22544 / 86400</f>
        <v>0.26092592592592595</v>
      </c>
      <c r="L1082" s="5">
        <f>1254 / 86400</f>
        <v>1.4513888888888889E-2</v>
      </c>
    </row>
    <row r="1083" spans="1:12" x14ac:dyDescent="0.25">
      <c r="A1083" s="3">
        <v>45705.771840277783</v>
      </c>
      <c r="B1083" t="s">
        <v>80</v>
      </c>
      <c r="C1083" s="3">
        <v>45705.77542824074</v>
      </c>
      <c r="D1083" t="s">
        <v>41</v>
      </c>
      <c r="E1083" s="4">
        <v>1.0089999999999999</v>
      </c>
      <c r="F1083" s="4">
        <v>470703.24800000002</v>
      </c>
      <c r="G1083" s="4">
        <v>470704.25699999998</v>
      </c>
      <c r="H1083" s="5">
        <f>80 / 86400</f>
        <v>9.2592592592592596E-4</v>
      </c>
      <c r="I1083" t="s">
        <v>265</v>
      </c>
      <c r="J1083" t="s">
        <v>162</v>
      </c>
      <c r="K1083" s="5">
        <f>310 / 86400</f>
        <v>3.5879629629629629E-3</v>
      </c>
      <c r="L1083" s="5">
        <f>54 / 86400</f>
        <v>6.2500000000000001E-4</v>
      </c>
    </row>
    <row r="1084" spans="1:12" x14ac:dyDescent="0.25">
      <c r="A1084" s="3">
        <v>45705.776053240741</v>
      </c>
      <c r="B1084" t="s">
        <v>41</v>
      </c>
      <c r="C1084" s="3">
        <v>45705.77815972222</v>
      </c>
      <c r="D1084" t="s">
        <v>41</v>
      </c>
      <c r="E1084" s="4">
        <v>1.6E-2</v>
      </c>
      <c r="F1084" s="4">
        <v>470704.25699999998</v>
      </c>
      <c r="G1084" s="4">
        <v>470704.27299999999</v>
      </c>
      <c r="H1084" s="5">
        <f>139 / 86400</f>
        <v>1.6087962962962963E-3</v>
      </c>
      <c r="I1084" t="s">
        <v>142</v>
      </c>
      <c r="J1084" t="s">
        <v>73</v>
      </c>
      <c r="K1084" s="5">
        <f>182 / 86400</f>
        <v>2.1064814814814813E-3</v>
      </c>
      <c r="L1084" s="5">
        <f>8647 / 86400</f>
        <v>0.10008101851851851</v>
      </c>
    </row>
    <row r="1085" spans="1:12" x14ac:dyDescent="0.25">
      <c r="A1085" s="3">
        <v>45705.878240740742</v>
      </c>
      <c r="B1085" t="s">
        <v>41</v>
      </c>
      <c r="C1085" s="3">
        <v>45705.88108796296</v>
      </c>
      <c r="D1085" t="s">
        <v>41</v>
      </c>
      <c r="E1085" s="4">
        <v>0</v>
      </c>
      <c r="F1085" s="4">
        <v>470704.27299999999</v>
      </c>
      <c r="G1085" s="4">
        <v>470704.27299999999</v>
      </c>
      <c r="H1085" s="5">
        <f>239 / 86400</f>
        <v>2.7662037037037039E-3</v>
      </c>
      <c r="I1085" t="s">
        <v>73</v>
      </c>
      <c r="J1085" t="s">
        <v>73</v>
      </c>
      <c r="K1085" s="5">
        <f>246 / 86400</f>
        <v>2.8472222222222223E-3</v>
      </c>
      <c r="L1085" s="5">
        <f>189 / 86400</f>
        <v>2.1875000000000002E-3</v>
      </c>
    </row>
    <row r="1086" spans="1:12" x14ac:dyDescent="0.25">
      <c r="A1086" s="3">
        <v>45705.883275462962</v>
      </c>
      <c r="B1086" t="s">
        <v>41</v>
      </c>
      <c r="C1086" s="3">
        <v>45705.883333333331</v>
      </c>
      <c r="D1086" t="s">
        <v>41</v>
      </c>
      <c r="E1086" s="4">
        <v>0</v>
      </c>
      <c r="F1086" s="4">
        <v>470704.27299999999</v>
      </c>
      <c r="G1086" s="4">
        <v>470704.27299999999</v>
      </c>
      <c r="H1086" s="5">
        <f>0 / 86400</f>
        <v>0</v>
      </c>
      <c r="I1086" t="s">
        <v>73</v>
      </c>
      <c r="J1086" t="s">
        <v>73</v>
      </c>
      <c r="K1086" s="5">
        <f>4 / 86400</f>
        <v>4.6296296296296294E-5</v>
      </c>
      <c r="L1086" s="5">
        <f>108 / 86400</f>
        <v>1.25E-3</v>
      </c>
    </row>
    <row r="1087" spans="1:12" x14ac:dyDescent="0.25">
      <c r="A1087" s="3">
        <v>45705.884583333333</v>
      </c>
      <c r="B1087" t="s">
        <v>41</v>
      </c>
      <c r="C1087" s="3">
        <v>45705.887118055558</v>
      </c>
      <c r="D1087" t="s">
        <v>41</v>
      </c>
      <c r="E1087" s="4">
        <v>0</v>
      </c>
      <c r="F1087" s="4">
        <v>470704.27299999999</v>
      </c>
      <c r="G1087" s="4">
        <v>470704.27299999999</v>
      </c>
      <c r="H1087" s="5">
        <f>199 / 86400</f>
        <v>2.3032407407407407E-3</v>
      </c>
      <c r="I1087" t="s">
        <v>73</v>
      </c>
      <c r="J1087" t="s">
        <v>73</v>
      </c>
      <c r="K1087" s="5">
        <f>219 / 86400</f>
        <v>2.5347222222222221E-3</v>
      </c>
      <c r="L1087" s="5">
        <f>4 / 86400</f>
        <v>4.6296296296296294E-5</v>
      </c>
    </row>
    <row r="1088" spans="1:12" x14ac:dyDescent="0.25">
      <c r="A1088" s="3">
        <v>45705.887164351851</v>
      </c>
      <c r="B1088" t="s">
        <v>41</v>
      </c>
      <c r="C1088" s="3">
        <v>45705.887673611112</v>
      </c>
      <c r="D1088" t="s">
        <v>41</v>
      </c>
      <c r="E1088" s="4">
        <v>0</v>
      </c>
      <c r="F1088" s="4">
        <v>470704.27299999999</v>
      </c>
      <c r="G1088" s="4">
        <v>470704.27299999999</v>
      </c>
      <c r="H1088" s="5">
        <f>39 / 86400</f>
        <v>4.5138888888888887E-4</v>
      </c>
      <c r="I1088" t="s">
        <v>73</v>
      </c>
      <c r="J1088" t="s">
        <v>73</v>
      </c>
      <c r="K1088" s="5">
        <f>44 / 86400</f>
        <v>5.0925925925925921E-4</v>
      </c>
      <c r="L1088" s="5">
        <f>556 / 86400</f>
        <v>6.4351851851851853E-3</v>
      </c>
    </row>
    <row r="1089" spans="1:12" x14ac:dyDescent="0.25">
      <c r="A1089" s="3">
        <v>45705.894108796296</v>
      </c>
      <c r="B1089" t="s">
        <v>41</v>
      </c>
      <c r="C1089" s="3">
        <v>45705.894548611112</v>
      </c>
      <c r="D1089" t="s">
        <v>41</v>
      </c>
      <c r="E1089" s="4">
        <v>0</v>
      </c>
      <c r="F1089" s="4">
        <v>470704.27299999999</v>
      </c>
      <c r="G1089" s="4">
        <v>470704.27299999999</v>
      </c>
      <c r="H1089" s="5">
        <f>19 / 86400</f>
        <v>2.199074074074074E-4</v>
      </c>
      <c r="I1089" t="s">
        <v>73</v>
      </c>
      <c r="J1089" t="s">
        <v>73</v>
      </c>
      <c r="K1089" s="5">
        <f>38 / 86400</f>
        <v>4.3981481481481481E-4</v>
      </c>
      <c r="L1089" s="5">
        <f>203 / 86400</f>
        <v>2.3495370370370371E-3</v>
      </c>
    </row>
    <row r="1090" spans="1:12" x14ac:dyDescent="0.25">
      <c r="A1090" s="3">
        <v>45705.896898148145</v>
      </c>
      <c r="B1090" t="s">
        <v>41</v>
      </c>
      <c r="C1090" s="3">
        <v>45705.897974537038</v>
      </c>
      <c r="D1090" t="s">
        <v>41</v>
      </c>
      <c r="E1090" s="4">
        <v>6.3E-2</v>
      </c>
      <c r="F1090" s="4">
        <v>470704.27299999999</v>
      </c>
      <c r="G1090" s="4">
        <v>470704.33600000001</v>
      </c>
      <c r="H1090" s="5">
        <f>39 / 86400</f>
        <v>4.5138888888888887E-4</v>
      </c>
      <c r="I1090" t="s">
        <v>151</v>
      </c>
      <c r="J1090" t="s">
        <v>143</v>
      </c>
      <c r="K1090" s="5">
        <f>93 / 86400</f>
        <v>1.0763888888888889E-3</v>
      </c>
      <c r="L1090" s="5">
        <f>8814 / 86400</f>
        <v>0.10201388888888889</v>
      </c>
    </row>
    <row r="1091" spans="1:12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</row>
    <row r="1092" spans="1:12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</row>
    <row r="1093" spans="1:12" s="10" customFormat="1" ht="20.100000000000001" customHeight="1" x14ac:dyDescent="0.35">
      <c r="A1093" s="12" t="s">
        <v>482</v>
      </c>
      <c r="B1093" s="12"/>
      <c r="C1093" s="12"/>
      <c r="D1093" s="12"/>
      <c r="E1093" s="12"/>
      <c r="F1093" s="12"/>
      <c r="G1093" s="12"/>
      <c r="H1093" s="12"/>
      <c r="I1093" s="12"/>
      <c r="J1093" s="12"/>
    </row>
    <row r="1094" spans="1:12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</row>
    <row r="1095" spans="1:12" ht="30" x14ac:dyDescent="0.25">
      <c r="A1095" s="2" t="s">
        <v>6</v>
      </c>
      <c r="B1095" s="2" t="s">
        <v>7</v>
      </c>
      <c r="C1095" s="2" t="s">
        <v>8</v>
      </c>
      <c r="D1095" s="2" t="s">
        <v>9</v>
      </c>
      <c r="E1095" s="2" t="s">
        <v>10</v>
      </c>
      <c r="F1095" s="2" t="s">
        <v>11</v>
      </c>
      <c r="G1095" s="2" t="s">
        <v>12</v>
      </c>
      <c r="H1095" s="2" t="s">
        <v>13</v>
      </c>
      <c r="I1095" s="2" t="s">
        <v>14</v>
      </c>
      <c r="J1095" s="2" t="s">
        <v>15</v>
      </c>
      <c r="K1095" s="2" t="s">
        <v>16</v>
      </c>
      <c r="L1095" s="2" t="s">
        <v>17</v>
      </c>
    </row>
    <row r="1096" spans="1:12" x14ac:dyDescent="0.25">
      <c r="A1096" s="3">
        <v>45705.282164351855</v>
      </c>
      <c r="B1096" t="s">
        <v>96</v>
      </c>
      <c r="C1096" s="3">
        <v>45705.28261574074</v>
      </c>
      <c r="D1096" t="s">
        <v>96</v>
      </c>
      <c r="E1096" s="4">
        <v>0</v>
      </c>
      <c r="F1096" s="4">
        <v>428213.33600000001</v>
      </c>
      <c r="G1096" s="4">
        <v>428213.33600000001</v>
      </c>
      <c r="H1096" s="5">
        <f>19 / 86400</f>
        <v>2.199074074074074E-4</v>
      </c>
      <c r="I1096" t="s">
        <v>73</v>
      </c>
      <c r="J1096" t="s">
        <v>73</v>
      </c>
      <c r="K1096" s="5">
        <f>38 / 86400</f>
        <v>4.3981481481481481E-4</v>
      </c>
      <c r="L1096" s="5">
        <f>27198 / 86400</f>
        <v>0.31479166666666669</v>
      </c>
    </row>
    <row r="1097" spans="1:12" x14ac:dyDescent="0.25">
      <c r="A1097" s="3">
        <v>45705.315243055556</v>
      </c>
      <c r="B1097" t="s">
        <v>96</v>
      </c>
      <c r="C1097" s="3">
        <v>45705.591099537036</v>
      </c>
      <c r="D1097" t="s">
        <v>96</v>
      </c>
      <c r="E1097" s="4">
        <v>0</v>
      </c>
      <c r="F1097" s="4">
        <v>428213.33600000001</v>
      </c>
      <c r="G1097" s="4">
        <v>428213.33600000001</v>
      </c>
      <c r="H1097" s="5">
        <f>23829 / 86400</f>
        <v>0.27579861111111109</v>
      </c>
      <c r="I1097" t="s">
        <v>73</v>
      </c>
      <c r="J1097" t="s">
        <v>73</v>
      </c>
      <c r="K1097" s="5">
        <f>23834 / 86400</f>
        <v>0.27585648148148151</v>
      </c>
      <c r="L1097" s="5">
        <f>232 / 86400</f>
        <v>2.685185185185185E-3</v>
      </c>
    </row>
    <row r="1098" spans="1:12" x14ac:dyDescent="0.25">
      <c r="A1098" s="3">
        <v>45705.593784722223</v>
      </c>
      <c r="B1098" t="s">
        <v>96</v>
      </c>
      <c r="C1098" s="3">
        <v>45705.594351851847</v>
      </c>
      <c r="D1098" t="s">
        <v>96</v>
      </c>
      <c r="E1098" s="4">
        <v>0</v>
      </c>
      <c r="F1098" s="4">
        <v>428213.33600000001</v>
      </c>
      <c r="G1098" s="4">
        <v>428213.33600000001</v>
      </c>
      <c r="H1098" s="5">
        <f>39 / 86400</f>
        <v>4.5138888888888887E-4</v>
      </c>
      <c r="I1098" t="s">
        <v>73</v>
      </c>
      <c r="J1098" t="s">
        <v>73</v>
      </c>
      <c r="K1098" s="5">
        <f>48 / 86400</f>
        <v>5.5555555555555556E-4</v>
      </c>
      <c r="L1098" s="5">
        <f>535 / 86400</f>
        <v>6.1921296296296299E-3</v>
      </c>
    </row>
    <row r="1099" spans="1:12" x14ac:dyDescent="0.25">
      <c r="A1099" s="3">
        <v>45705.600543981476</v>
      </c>
      <c r="B1099" t="s">
        <v>96</v>
      </c>
      <c r="C1099" s="3">
        <v>45705.604004629626</v>
      </c>
      <c r="D1099" t="s">
        <v>96</v>
      </c>
      <c r="E1099" s="4">
        <v>0</v>
      </c>
      <c r="F1099" s="4">
        <v>428213.33600000001</v>
      </c>
      <c r="G1099" s="4">
        <v>428213.33600000001</v>
      </c>
      <c r="H1099" s="5">
        <f>279 / 86400</f>
        <v>3.2291666666666666E-3</v>
      </c>
      <c r="I1099" t="s">
        <v>73</v>
      </c>
      <c r="J1099" t="s">
        <v>73</v>
      </c>
      <c r="K1099" s="5">
        <f>298 / 86400</f>
        <v>3.449074074074074E-3</v>
      </c>
      <c r="L1099" s="5">
        <f>2083 / 86400</f>
        <v>2.4108796296296295E-2</v>
      </c>
    </row>
    <row r="1100" spans="1:12" x14ac:dyDescent="0.25">
      <c r="A1100" s="3">
        <v>45705.628113425926</v>
      </c>
      <c r="B1100" t="s">
        <v>96</v>
      </c>
      <c r="C1100" s="3">
        <v>45705.635520833333</v>
      </c>
      <c r="D1100" t="s">
        <v>96</v>
      </c>
      <c r="E1100" s="4">
        <v>0</v>
      </c>
      <c r="F1100" s="4">
        <v>428213.33600000001</v>
      </c>
      <c r="G1100" s="4">
        <v>428213.33600000001</v>
      </c>
      <c r="H1100" s="5">
        <f>619 / 86400</f>
        <v>7.1643518518518514E-3</v>
      </c>
      <c r="I1100" t="s">
        <v>73</v>
      </c>
      <c r="J1100" t="s">
        <v>73</v>
      </c>
      <c r="K1100" s="5">
        <f>639 / 86400</f>
        <v>7.3958333333333333E-3</v>
      </c>
      <c r="L1100" s="5">
        <f>680 / 86400</f>
        <v>7.8703703703703696E-3</v>
      </c>
    </row>
    <row r="1101" spans="1:12" x14ac:dyDescent="0.25">
      <c r="A1101" s="3">
        <v>45705.643391203703</v>
      </c>
      <c r="B1101" t="s">
        <v>96</v>
      </c>
      <c r="C1101" s="3">
        <v>45705.646053240736</v>
      </c>
      <c r="D1101" t="s">
        <v>96</v>
      </c>
      <c r="E1101" s="4">
        <v>0</v>
      </c>
      <c r="F1101" s="4">
        <v>428213.33600000001</v>
      </c>
      <c r="G1101" s="4">
        <v>428213.33600000001</v>
      </c>
      <c r="H1101" s="5">
        <f>219 / 86400</f>
        <v>2.5347222222222221E-3</v>
      </c>
      <c r="I1101" t="s">
        <v>73</v>
      </c>
      <c r="J1101" t="s">
        <v>73</v>
      </c>
      <c r="K1101" s="5">
        <f>229 / 86400</f>
        <v>2.650462962962963E-3</v>
      </c>
      <c r="L1101" s="5">
        <f>254 / 86400</f>
        <v>2.9398148148148148E-3</v>
      </c>
    </row>
    <row r="1102" spans="1:12" x14ac:dyDescent="0.25">
      <c r="A1102" s="3">
        <v>45705.648993055554</v>
      </c>
      <c r="B1102" t="s">
        <v>96</v>
      </c>
      <c r="C1102" s="3">
        <v>45705.65121527778</v>
      </c>
      <c r="D1102" t="s">
        <v>96</v>
      </c>
      <c r="E1102" s="4">
        <v>0</v>
      </c>
      <c r="F1102" s="4">
        <v>428213.33600000001</v>
      </c>
      <c r="G1102" s="4">
        <v>428213.33600000001</v>
      </c>
      <c r="H1102" s="5">
        <f>179 / 86400</f>
        <v>2.0717592592592593E-3</v>
      </c>
      <c r="I1102" t="s">
        <v>73</v>
      </c>
      <c r="J1102" t="s">
        <v>73</v>
      </c>
      <c r="K1102" s="5">
        <f>192 / 86400</f>
        <v>2.2222222222222222E-3</v>
      </c>
      <c r="L1102" s="5">
        <f>362 / 86400</f>
        <v>4.1898148148148146E-3</v>
      </c>
    </row>
    <row r="1103" spans="1:12" x14ac:dyDescent="0.25">
      <c r="A1103" s="3">
        <v>45705.655405092592</v>
      </c>
      <c r="B1103" t="s">
        <v>96</v>
      </c>
      <c r="C1103" s="3">
        <v>45705.655601851853</v>
      </c>
      <c r="D1103" t="s">
        <v>96</v>
      </c>
      <c r="E1103" s="4">
        <v>0</v>
      </c>
      <c r="F1103" s="4">
        <v>428213.33600000001</v>
      </c>
      <c r="G1103" s="4">
        <v>428213.33600000001</v>
      </c>
      <c r="H1103" s="5">
        <f>0 / 86400</f>
        <v>0</v>
      </c>
      <c r="I1103" t="s">
        <v>73</v>
      </c>
      <c r="J1103" t="s">
        <v>73</v>
      </c>
      <c r="K1103" s="5">
        <f>17 / 86400</f>
        <v>1.9675925925925926E-4</v>
      </c>
      <c r="L1103" s="5">
        <f>392 / 86400</f>
        <v>4.5370370370370373E-3</v>
      </c>
    </row>
    <row r="1104" spans="1:12" x14ac:dyDescent="0.25">
      <c r="A1104" s="3">
        <v>45705.660138888888</v>
      </c>
      <c r="B1104" t="s">
        <v>96</v>
      </c>
      <c r="C1104" s="3">
        <v>45705.660324074073</v>
      </c>
      <c r="D1104" t="s">
        <v>96</v>
      </c>
      <c r="E1104" s="4">
        <v>0</v>
      </c>
      <c r="F1104" s="4">
        <v>428213.33600000001</v>
      </c>
      <c r="G1104" s="4">
        <v>428213.33600000001</v>
      </c>
      <c r="H1104" s="5">
        <f>0 / 86400</f>
        <v>0</v>
      </c>
      <c r="I1104" t="s">
        <v>73</v>
      </c>
      <c r="J1104" t="s">
        <v>73</v>
      </c>
      <c r="K1104" s="5">
        <f>16 / 86400</f>
        <v>1.8518518518518518E-4</v>
      </c>
      <c r="L1104" s="5">
        <f>527 / 86400</f>
        <v>6.099537037037037E-3</v>
      </c>
    </row>
    <row r="1105" spans="1:12" x14ac:dyDescent="0.25">
      <c r="A1105" s="3">
        <v>45705.66642361111</v>
      </c>
      <c r="B1105" t="s">
        <v>96</v>
      </c>
      <c r="C1105" s="3">
        <v>45705.666527777779</v>
      </c>
      <c r="D1105" t="s">
        <v>96</v>
      </c>
      <c r="E1105" s="4">
        <v>0</v>
      </c>
      <c r="F1105" s="4">
        <v>428213.33600000001</v>
      </c>
      <c r="G1105" s="4">
        <v>428213.33600000001</v>
      </c>
      <c r="H1105" s="5">
        <f>0 / 86400</f>
        <v>0</v>
      </c>
      <c r="I1105" t="s">
        <v>73</v>
      </c>
      <c r="J1105" t="s">
        <v>73</v>
      </c>
      <c r="K1105" s="5">
        <f>9 / 86400</f>
        <v>1.0416666666666667E-4</v>
      </c>
      <c r="L1105" s="5">
        <f>70 / 86400</f>
        <v>8.1018518518518516E-4</v>
      </c>
    </row>
    <row r="1106" spans="1:12" x14ac:dyDescent="0.25">
      <c r="A1106" s="3">
        <v>45705.667337962965</v>
      </c>
      <c r="B1106" t="s">
        <v>96</v>
      </c>
      <c r="C1106" s="3">
        <v>45705.667442129634</v>
      </c>
      <c r="D1106" t="s">
        <v>96</v>
      </c>
      <c r="E1106" s="4">
        <v>0</v>
      </c>
      <c r="F1106" s="4">
        <v>428213.33600000001</v>
      </c>
      <c r="G1106" s="4">
        <v>428213.33600000001</v>
      </c>
      <c r="H1106" s="5">
        <f>0 / 86400</f>
        <v>0</v>
      </c>
      <c r="I1106" t="s">
        <v>73</v>
      </c>
      <c r="J1106" t="s">
        <v>73</v>
      </c>
      <c r="K1106" s="5">
        <f>8 / 86400</f>
        <v>9.2592592592592588E-5</v>
      </c>
      <c r="L1106" s="5">
        <f>149 / 86400</f>
        <v>1.724537037037037E-3</v>
      </c>
    </row>
    <row r="1107" spans="1:12" x14ac:dyDescent="0.25">
      <c r="A1107" s="3">
        <v>45705.669166666667</v>
      </c>
      <c r="B1107" t="s">
        <v>96</v>
      </c>
      <c r="C1107" s="3">
        <v>45705.669259259259</v>
      </c>
      <c r="D1107" t="s">
        <v>96</v>
      </c>
      <c r="E1107" s="4">
        <v>0</v>
      </c>
      <c r="F1107" s="4">
        <v>428213.33600000001</v>
      </c>
      <c r="G1107" s="4">
        <v>428213.33600000001</v>
      </c>
      <c r="H1107" s="5">
        <f>0 / 86400</f>
        <v>0</v>
      </c>
      <c r="I1107" t="s">
        <v>73</v>
      </c>
      <c r="J1107" t="s">
        <v>73</v>
      </c>
      <c r="K1107" s="5">
        <f>8 / 86400</f>
        <v>9.2592592592592588E-5</v>
      </c>
      <c r="L1107" s="5">
        <f>517 / 86400</f>
        <v>5.9837962962962961E-3</v>
      </c>
    </row>
    <row r="1108" spans="1:12" x14ac:dyDescent="0.25">
      <c r="A1108" s="3">
        <v>45705.675243055557</v>
      </c>
      <c r="B1108" t="s">
        <v>96</v>
      </c>
      <c r="C1108" s="3">
        <v>45705.781215277777</v>
      </c>
      <c r="D1108" t="s">
        <v>96</v>
      </c>
      <c r="E1108" s="4">
        <v>0</v>
      </c>
      <c r="F1108" s="4">
        <v>428213.33600000001</v>
      </c>
      <c r="G1108" s="4">
        <v>428213.33600000001</v>
      </c>
      <c r="H1108" s="5">
        <f>9149 / 86400</f>
        <v>0.10589120370370371</v>
      </c>
      <c r="I1108" t="s">
        <v>73</v>
      </c>
      <c r="J1108" t="s">
        <v>73</v>
      </c>
      <c r="K1108" s="5">
        <f>9156 / 86400</f>
        <v>0.10597222222222222</v>
      </c>
      <c r="L1108" s="5">
        <f>94 / 86400</f>
        <v>1.0879629629629629E-3</v>
      </c>
    </row>
    <row r="1109" spans="1:12" x14ac:dyDescent="0.25">
      <c r="A1109" s="3">
        <v>45705.78230324074</v>
      </c>
      <c r="B1109" t="s">
        <v>96</v>
      </c>
      <c r="C1109" s="3">
        <v>45705.990277777775</v>
      </c>
      <c r="D1109" t="s">
        <v>96</v>
      </c>
      <c r="E1109" s="4">
        <v>0</v>
      </c>
      <c r="F1109" s="4">
        <v>428213.33600000001</v>
      </c>
      <c r="G1109" s="4">
        <v>428213.33600000001</v>
      </c>
      <c r="H1109" s="5">
        <f>17949 / 86400</f>
        <v>0.20774305555555556</v>
      </c>
      <c r="I1109" t="s">
        <v>73</v>
      </c>
      <c r="J1109" t="s">
        <v>73</v>
      </c>
      <c r="K1109" s="5">
        <f>17969 / 86400</f>
        <v>0.20797453703703703</v>
      </c>
      <c r="L1109" s="5">
        <f>839 / 86400</f>
        <v>9.7106481481481488E-3</v>
      </c>
    </row>
    <row r="1110" spans="1:12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</row>
    <row r="1111" spans="1:12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</row>
    <row r="1112" spans="1:12" s="10" customFormat="1" ht="20.100000000000001" customHeight="1" x14ac:dyDescent="0.35">
      <c r="A1112" s="12" t="s">
        <v>483</v>
      </c>
      <c r="B1112" s="12"/>
      <c r="C1112" s="12"/>
      <c r="D1112" s="12"/>
      <c r="E1112" s="12"/>
      <c r="F1112" s="12"/>
      <c r="G1112" s="12"/>
      <c r="H1112" s="12"/>
      <c r="I1112" s="12"/>
      <c r="J1112" s="12"/>
    </row>
    <row r="1113" spans="1:12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</row>
    <row r="1114" spans="1:12" ht="30" x14ac:dyDescent="0.25">
      <c r="A1114" s="2" t="s">
        <v>6</v>
      </c>
      <c r="B1114" s="2" t="s">
        <v>7</v>
      </c>
      <c r="C1114" s="2" t="s">
        <v>8</v>
      </c>
      <c r="D1114" s="2" t="s">
        <v>9</v>
      </c>
      <c r="E1114" s="2" t="s">
        <v>10</v>
      </c>
      <c r="F1114" s="2" t="s">
        <v>11</v>
      </c>
      <c r="G1114" s="2" t="s">
        <v>12</v>
      </c>
      <c r="H1114" s="2" t="s">
        <v>13</v>
      </c>
      <c r="I1114" s="2" t="s">
        <v>14</v>
      </c>
      <c r="J1114" s="2" t="s">
        <v>15</v>
      </c>
      <c r="K1114" s="2" t="s">
        <v>16</v>
      </c>
      <c r="L1114" s="2" t="s">
        <v>17</v>
      </c>
    </row>
    <row r="1115" spans="1:12" x14ac:dyDescent="0.25">
      <c r="A1115" s="3">
        <v>45705.351400462961</v>
      </c>
      <c r="B1115" t="s">
        <v>28</v>
      </c>
      <c r="C1115" s="3">
        <v>45705.390520833331</v>
      </c>
      <c r="D1115" t="s">
        <v>416</v>
      </c>
      <c r="E1115" s="4">
        <v>15.7</v>
      </c>
      <c r="F1115" s="4">
        <v>576155.14800000004</v>
      </c>
      <c r="G1115" s="4">
        <v>576170.848</v>
      </c>
      <c r="H1115" s="5">
        <f>641 / 86400</f>
        <v>7.4189814814814813E-3</v>
      </c>
      <c r="I1115" t="s">
        <v>97</v>
      </c>
      <c r="J1115" t="s">
        <v>32</v>
      </c>
      <c r="K1115" s="5">
        <f>3380 / 86400</f>
        <v>3.9120370370370368E-2</v>
      </c>
      <c r="L1115" s="5">
        <f>30507 / 86400</f>
        <v>0.35309027777777779</v>
      </c>
    </row>
    <row r="1116" spans="1:12" x14ac:dyDescent="0.25">
      <c r="A1116" s="3">
        <v>45705.392210648148</v>
      </c>
      <c r="B1116" t="s">
        <v>416</v>
      </c>
      <c r="C1116" s="3">
        <v>45705.393310185187</v>
      </c>
      <c r="D1116" t="s">
        <v>416</v>
      </c>
      <c r="E1116" s="4">
        <v>6.0000000000000001E-3</v>
      </c>
      <c r="F1116" s="4">
        <v>576170.848</v>
      </c>
      <c r="G1116" s="4">
        <v>576170.85400000005</v>
      </c>
      <c r="H1116" s="5">
        <f>79 / 86400</f>
        <v>9.1435185185185185E-4</v>
      </c>
      <c r="I1116" t="s">
        <v>73</v>
      </c>
      <c r="J1116" t="s">
        <v>73</v>
      </c>
      <c r="K1116" s="5">
        <f>94 / 86400</f>
        <v>1.0879629629629629E-3</v>
      </c>
      <c r="L1116" s="5">
        <f>4934 / 86400</f>
        <v>5.710648148148148E-2</v>
      </c>
    </row>
    <row r="1117" spans="1:12" x14ac:dyDescent="0.25">
      <c r="A1117" s="3">
        <v>45705.450416666667</v>
      </c>
      <c r="B1117" t="s">
        <v>416</v>
      </c>
      <c r="C1117" s="3">
        <v>45705.462187500001</v>
      </c>
      <c r="D1117" t="s">
        <v>416</v>
      </c>
      <c r="E1117" s="4">
        <v>2.7370000000000001</v>
      </c>
      <c r="F1117" s="4">
        <v>576170.85400000005</v>
      </c>
      <c r="G1117" s="4">
        <v>576173.59100000001</v>
      </c>
      <c r="H1117" s="5">
        <f>339 / 86400</f>
        <v>3.9236111111111112E-3</v>
      </c>
      <c r="I1117" t="s">
        <v>181</v>
      </c>
      <c r="J1117" t="s">
        <v>118</v>
      </c>
      <c r="K1117" s="5">
        <f>1016 / 86400</f>
        <v>1.1759259259259259E-2</v>
      </c>
      <c r="L1117" s="5">
        <f>19510 / 86400</f>
        <v>0.2258101851851852</v>
      </c>
    </row>
    <row r="1118" spans="1:12" x14ac:dyDescent="0.25">
      <c r="A1118" s="3">
        <v>45705.687997685185</v>
      </c>
      <c r="B1118" t="s">
        <v>416</v>
      </c>
      <c r="C1118" s="3">
        <v>45705.746134259258</v>
      </c>
      <c r="D1118" t="s">
        <v>174</v>
      </c>
      <c r="E1118" s="4">
        <v>19.484000000000002</v>
      </c>
      <c r="F1118" s="4">
        <v>576173.59100000001</v>
      </c>
      <c r="G1118" s="4">
        <v>576193.07499999995</v>
      </c>
      <c r="H1118" s="5">
        <f>1299 / 86400</f>
        <v>1.5034722222222222E-2</v>
      </c>
      <c r="I1118" t="s">
        <v>285</v>
      </c>
      <c r="J1118" t="s">
        <v>75</v>
      </c>
      <c r="K1118" s="5">
        <f>5022 / 86400</f>
        <v>5.8125000000000003E-2</v>
      </c>
      <c r="L1118" s="5">
        <f>659 / 86400</f>
        <v>7.6273148148148151E-3</v>
      </c>
    </row>
    <row r="1119" spans="1:12" x14ac:dyDescent="0.25">
      <c r="A1119" s="3">
        <v>45705.753761574073</v>
      </c>
      <c r="B1119" t="s">
        <v>174</v>
      </c>
      <c r="C1119" s="3">
        <v>45705.761597222227</v>
      </c>
      <c r="D1119" t="s">
        <v>174</v>
      </c>
      <c r="E1119" s="4">
        <v>0</v>
      </c>
      <c r="F1119" s="4">
        <v>576193.07499999995</v>
      </c>
      <c r="G1119" s="4">
        <v>576193.07499999995</v>
      </c>
      <c r="H1119" s="5">
        <f>659 / 86400</f>
        <v>7.6273148148148151E-3</v>
      </c>
      <c r="I1119" t="s">
        <v>73</v>
      </c>
      <c r="J1119" t="s">
        <v>73</v>
      </c>
      <c r="K1119" s="5">
        <f>676 / 86400</f>
        <v>7.8240740740740736E-3</v>
      </c>
      <c r="L1119" s="5">
        <f>2271 / 86400</f>
        <v>2.6284722222222223E-2</v>
      </c>
    </row>
    <row r="1120" spans="1:12" x14ac:dyDescent="0.25">
      <c r="A1120" s="3">
        <v>45705.787881944445</v>
      </c>
      <c r="B1120" t="s">
        <v>174</v>
      </c>
      <c r="C1120" s="3">
        <v>45705.789363425924</v>
      </c>
      <c r="D1120" t="s">
        <v>174</v>
      </c>
      <c r="E1120" s="4">
        <v>1.7000000000000001E-2</v>
      </c>
      <c r="F1120" s="4">
        <v>576193.07499999995</v>
      </c>
      <c r="G1120" s="4">
        <v>576193.09199999995</v>
      </c>
      <c r="H1120" s="5">
        <f>79 / 86400</f>
        <v>9.1435185185185185E-4</v>
      </c>
      <c r="I1120" t="s">
        <v>148</v>
      </c>
      <c r="J1120" t="s">
        <v>73</v>
      </c>
      <c r="K1120" s="5">
        <f>128 / 86400</f>
        <v>1.4814814814814814E-3</v>
      </c>
      <c r="L1120" s="5">
        <f>429 / 86400</f>
        <v>4.9652777777777777E-3</v>
      </c>
    </row>
    <row r="1121" spans="1:12" x14ac:dyDescent="0.25">
      <c r="A1121" s="3">
        <v>45705.794328703705</v>
      </c>
      <c r="B1121" t="s">
        <v>174</v>
      </c>
      <c r="C1121" s="3">
        <v>45705.80363425926</v>
      </c>
      <c r="D1121" t="s">
        <v>28</v>
      </c>
      <c r="E1121" s="4">
        <v>2.73</v>
      </c>
      <c r="F1121" s="4">
        <v>576193.09199999995</v>
      </c>
      <c r="G1121" s="4">
        <v>576195.82200000004</v>
      </c>
      <c r="H1121" s="5">
        <f>179 / 86400</f>
        <v>2.0717592592592593E-3</v>
      </c>
      <c r="I1121" t="s">
        <v>333</v>
      </c>
      <c r="J1121" t="s">
        <v>162</v>
      </c>
      <c r="K1121" s="5">
        <f>804 / 86400</f>
        <v>9.3055555555555548E-3</v>
      </c>
      <c r="L1121" s="5">
        <f>417 / 86400</f>
        <v>4.8263888888888887E-3</v>
      </c>
    </row>
    <row r="1122" spans="1:12" x14ac:dyDescent="0.25">
      <c r="A1122" s="3">
        <v>45705.80846064815</v>
      </c>
      <c r="B1122" t="s">
        <v>28</v>
      </c>
      <c r="C1122" s="3">
        <v>45705.81459490741</v>
      </c>
      <c r="D1122" t="s">
        <v>28</v>
      </c>
      <c r="E1122" s="4">
        <v>0.98</v>
      </c>
      <c r="F1122" s="4">
        <v>576195.82200000004</v>
      </c>
      <c r="G1122" s="4">
        <v>576196.80200000003</v>
      </c>
      <c r="H1122" s="5">
        <f>159 / 86400</f>
        <v>1.8402777777777777E-3</v>
      </c>
      <c r="I1122" t="s">
        <v>145</v>
      </c>
      <c r="J1122" t="s">
        <v>151</v>
      </c>
      <c r="K1122" s="5">
        <f>530 / 86400</f>
        <v>6.1342592592592594E-3</v>
      </c>
      <c r="L1122" s="5">
        <f>2856 / 86400</f>
        <v>3.3055555555555553E-2</v>
      </c>
    </row>
    <row r="1123" spans="1:12" x14ac:dyDescent="0.25">
      <c r="A1123" s="3">
        <v>45705.847650462965</v>
      </c>
      <c r="B1123" t="s">
        <v>28</v>
      </c>
      <c r="C1123" s="3">
        <v>45705.851423611108</v>
      </c>
      <c r="D1123" t="s">
        <v>28</v>
      </c>
      <c r="E1123" s="4">
        <v>0</v>
      </c>
      <c r="F1123" s="4">
        <v>576196.80200000003</v>
      </c>
      <c r="G1123" s="4">
        <v>576196.80200000003</v>
      </c>
      <c r="H1123" s="5">
        <f>319 / 86400</f>
        <v>3.6921296296296298E-3</v>
      </c>
      <c r="I1123" t="s">
        <v>73</v>
      </c>
      <c r="J1123" t="s">
        <v>73</v>
      </c>
      <c r="K1123" s="5">
        <f>326 / 86400</f>
        <v>3.7731481481481483E-3</v>
      </c>
      <c r="L1123" s="5">
        <f>12836 / 86400</f>
        <v>0.14856481481481482</v>
      </c>
    </row>
    <row r="1124" spans="1:12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</row>
    <row r="1125" spans="1:12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</row>
    <row r="1126" spans="1:12" s="10" customFormat="1" ht="20.100000000000001" customHeight="1" x14ac:dyDescent="0.35">
      <c r="A1126" s="12" t="s">
        <v>484</v>
      </c>
      <c r="B1126" s="12"/>
      <c r="C1126" s="12"/>
      <c r="D1126" s="12"/>
      <c r="E1126" s="12"/>
      <c r="F1126" s="12"/>
      <c r="G1126" s="12"/>
      <c r="H1126" s="12"/>
      <c r="I1126" s="12"/>
      <c r="J1126" s="12"/>
    </row>
    <row r="1127" spans="1:12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</row>
    <row r="1128" spans="1:12" ht="30" x14ac:dyDescent="0.25">
      <c r="A1128" s="2" t="s">
        <v>6</v>
      </c>
      <c r="B1128" s="2" t="s">
        <v>7</v>
      </c>
      <c r="C1128" s="2" t="s">
        <v>8</v>
      </c>
      <c r="D1128" s="2" t="s">
        <v>9</v>
      </c>
      <c r="E1128" s="2" t="s">
        <v>10</v>
      </c>
      <c r="F1128" s="2" t="s">
        <v>11</v>
      </c>
      <c r="G1128" s="2" t="s">
        <v>12</v>
      </c>
      <c r="H1128" s="2" t="s">
        <v>13</v>
      </c>
      <c r="I1128" s="2" t="s">
        <v>14</v>
      </c>
      <c r="J1128" s="2" t="s">
        <v>15</v>
      </c>
      <c r="K1128" s="2" t="s">
        <v>16</v>
      </c>
      <c r="L1128" s="2" t="s">
        <v>17</v>
      </c>
    </row>
    <row r="1129" spans="1:12" x14ac:dyDescent="0.25">
      <c r="A1129" s="3">
        <v>45705.240300925929</v>
      </c>
      <c r="B1129" t="s">
        <v>98</v>
      </c>
      <c r="C1129" s="3">
        <v>45705.565416666665</v>
      </c>
      <c r="D1129" t="s">
        <v>51</v>
      </c>
      <c r="E1129" s="4">
        <v>131.922</v>
      </c>
      <c r="F1129" s="4">
        <v>416920.57500000001</v>
      </c>
      <c r="G1129" s="4">
        <v>417052.49699999997</v>
      </c>
      <c r="H1129" s="5">
        <f>9530 / 86400</f>
        <v>0.11030092592592593</v>
      </c>
      <c r="I1129" t="s">
        <v>61</v>
      </c>
      <c r="J1129" t="s">
        <v>32</v>
      </c>
      <c r="K1129" s="5">
        <f>28090 / 86400</f>
        <v>0.32511574074074073</v>
      </c>
      <c r="L1129" s="5">
        <f>21007 / 86400</f>
        <v>0.24313657407407407</v>
      </c>
    </row>
    <row r="1130" spans="1:12" x14ac:dyDescent="0.25">
      <c r="A1130" s="3">
        <v>45705.568252314813</v>
      </c>
      <c r="B1130" t="s">
        <v>51</v>
      </c>
      <c r="C1130" s="3">
        <v>45705.569374999999</v>
      </c>
      <c r="D1130" t="s">
        <v>94</v>
      </c>
      <c r="E1130" s="4">
        <v>0.18099999999999999</v>
      </c>
      <c r="F1130" s="4">
        <v>417052.49699999997</v>
      </c>
      <c r="G1130" s="4">
        <v>417052.67800000001</v>
      </c>
      <c r="H1130" s="5">
        <f>0 / 86400</f>
        <v>0</v>
      </c>
      <c r="I1130" t="s">
        <v>66</v>
      </c>
      <c r="J1130" t="s">
        <v>151</v>
      </c>
      <c r="K1130" s="5">
        <f>97 / 86400</f>
        <v>1.1226851851851851E-3</v>
      </c>
      <c r="L1130" s="5">
        <f>3093 / 86400</f>
        <v>3.5798611111111114E-2</v>
      </c>
    </row>
    <row r="1131" spans="1:12" x14ac:dyDescent="0.25">
      <c r="A1131" s="3">
        <v>45705.605173611111</v>
      </c>
      <c r="B1131" t="s">
        <v>94</v>
      </c>
      <c r="C1131" s="3">
        <v>45705.607071759259</v>
      </c>
      <c r="D1131" t="s">
        <v>137</v>
      </c>
      <c r="E1131" s="4">
        <v>0.69599999999999995</v>
      </c>
      <c r="F1131" s="4">
        <v>417052.67800000001</v>
      </c>
      <c r="G1131" s="4">
        <v>417053.37400000001</v>
      </c>
      <c r="H1131" s="5">
        <f>0 / 86400</f>
        <v>0</v>
      </c>
      <c r="I1131" t="s">
        <v>216</v>
      </c>
      <c r="J1131" t="s">
        <v>30</v>
      </c>
      <c r="K1131" s="5">
        <f>164 / 86400</f>
        <v>1.8981481481481482E-3</v>
      </c>
      <c r="L1131" s="5">
        <f>155 / 86400</f>
        <v>1.7939814814814815E-3</v>
      </c>
    </row>
    <row r="1132" spans="1:12" x14ac:dyDescent="0.25">
      <c r="A1132" s="3">
        <v>45705.608865740738</v>
      </c>
      <c r="B1132" t="s">
        <v>137</v>
      </c>
      <c r="C1132" s="3">
        <v>45705.610069444447</v>
      </c>
      <c r="D1132" t="s">
        <v>80</v>
      </c>
      <c r="E1132" s="4">
        <v>0.23799999999999999</v>
      </c>
      <c r="F1132" s="4">
        <v>417053.37400000001</v>
      </c>
      <c r="G1132" s="4">
        <v>417053.61200000002</v>
      </c>
      <c r="H1132" s="5">
        <f>0 / 86400</f>
        <v>0</v>
      </c>
      <c r="I1132" t="s">
        <v>66</v>
      </c>
      <c r="J1132" t="s">
        <v>107</v>
      </c>
      <c r="K1132" s="5">
        <f>104 / 86400</f>
        <v>1.2037037037037038E-3</v>
      </c>
      <c r="L1132" s="5">
        <f>287 / 86400</f>
        <v>3.3217592592592591E-3</v>
      </c>
    </row>
    <row r="1133" spans="1:12" x14ac:dyDescent="0.25">
      <c r="A1133" s="3">
        <v>45705.613391203704</v>
      </c>
      <c r="B1133" t="s">
        <v>80</v>
      </c>
      <c r="C1133" s="3">
        <v>45705.613993055551</v>
      </c>
      <c r="D1133" t="s">
        <v>80</v>
      </c>
      <c r="E1133" s="4">
        <v>2.7E-2</v>
      </c>
      <c r="F1133" s="4">
        <v>417053.61200000002</v>
      </c>
      <c r="G1133" s="4">
        <v>417053.63900000002</v>
      </c>
      <c r="H1133" s="5">
        <f>0 / 86400</f>
        <v>0</v>
      </c>
      <c r="I1133" t="s">
        <v>142</v>
      </c>
      <c r="J1133" t="s">
        <v>143</v>
      </c>
      <c r="K1133" s="5">
        <f>52 / 86400</f>
        <v>6.018518518518519E-4</v>
      </c>
      <c r="L1133" s="5">
        <f>546 / 86400</f>
        <v>6.3194444444444444E-3</v>
      </c>
    </row>
    <row r="1134" spans="1:12" x14ac:dyDescent="0.25">
      <c r="A1134" s="3">
        <v>45705.620312500003</v>
      </c>
      <c r="B1134" t="s">
        <v>80</v>
      </c>
      <c r="C1134" s="3">
        <v>45705.755462962959</v>
      </c>
      <c r="D1134" t="s">
        <v>330</v>
      </c>
      <c r="E1134" s="4">
        <v>49.835999999999999</v>
      </c>
      <c r="F1134" s="4">
        <v>417053.63900000002</v>
      </c>
      <c r="G1134" s="4">
        <v>417103.47499999998</v>
      </c>
      <c r="H1134" s="5">
        <f>4179 / 86400</f>
        <v>4.8368055555555553E-2</v>
      </c>
      <c r="I1134" t="s">
        <v>99</v>
      </c>
      <c r="J1134" t="s">
        <v>30</v>
      </c>
      <c r="K1134" s="5">
        <f>11676 / 86400</f>
        <v>0.13513888888888889</v>
      </c>
      <c r="L1134" s="5">
        <f>31 / 86400</f>
        <v>3.5879629629629629E-4</v>
      </c>
    </row>
    <row r="1135" spans="1:12" x14ac:dyDescent="0.25">
      <c r="A1135" s="3">
        <v>45705.75582175926</v>
      </c>
      <c r="B1135" t="s">
        <v>330</v>
      </c>
      <c r="C1135" s="3">
        <v>45705.755925925929</v>
      </c>
      <c r="D1135" t="s">
        <v>330</v>
      </c>
      <c r="E1135" s="4">
        <v>0</v>
      </c>
      <c r="F1135" s="4">
        <v>417103.47499999998</v>
      </c>
      <c r="G1135" s="4">
        <v>417103.47499999998</v>
      </c>
      <c r="H1135" s="5">
        <f>0 / 86400</f>
        <v>0</v>
      </c>
      <c r="I1135" t="s">
        <v>73</v>
      </c>
      <c r="J1135" t="s">
        <v>73</v>
      </c>
      <c r="K1135" s="5">
        <f>8 / 86400</f>
        <v>9.2592592592592588E-5</v>
      </c>
      <c r="L1135" s="5">
        <f>7 / 86400</f>
        <v>8.1018518518518516E-5</v>
      </c>
    </row>
    <row r="1136" spans="1:12" x14ac:dyDescent="0.25">
      <c r="A1136" s="3">
        <v>45705.756006944444</v>
      </c>
      <c r="B1136" t="s">
        <v>330</v>
      </c>
      <c r="C1136" s="3">
        <v>45705.846886574072</v>
      </c>
      <c r="D1136" t="s">
        <v>98</v>
      </c>
      <c r="E1136" s="4">
        <v>21.843</v>
      </c>
      <c r="F1136" s="4">
        <v>417103.47499999998</v>
      </c>
      <c r="G1136" s="4">
        <v>417125.31800000003</v>
      </c>
      <c r="H1136" s="5">
        <f>3323 / 86400</f>
        <v>3.8460648148148147E-2</v>
      </c>
      <c r="I1136" t="s">
        <v>197</v>
      </c>
      <c r="J1136" t="s">
        <v>118</v>
      </c>
      <c r="K1136" s="5">
        <f>7852 / 86400</f>
        <v>9.087962962962963E-2</v>
      </c>
      <c r="L1136" s="5">
        <f>13228 / 86400</f>
        <v>0.15310185185185185</v>
      </c>
    </row>
    <row r="1137" spans="1:12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</row>
    <row r="1138" spans="1:12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</row>
    <row r="1139" spans="1:12" s="10" customFormat="1" ht="20.100000000000001" customHeight="1" x14ac:dyDescent="0.35">
      <c r="A1139" s="12" t="s">
        <v>485</v>
      </c>
      <c r="B1139" s="12"/>
      <c r="C1139" s="12"/>
      <c r="D1139" s="12"/>
      <c r="E1139" s="12"/>
      <c r="F1139" s="12"/>
      <c r="G1139" s="12"/>
      <c r="H1139" s="12"/>
      <c r="I1139" s="12"/>
      <c r="J1139" s="12"/>
    </row>
    <row r="1140" spans="1:12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</row>
    <row r="1141" spans="1:12" ht="30" x14ac:dyDescent="0.25">
      <c r="A1141" s="2" t="s">
        <v>6</v>
      </c>
      <c r="B1141" s="2" t="s">
        <v>7</v>
      </c>
      <c r="C1141" s="2" t="s">
        <v>8</v>
      </c>
      <c r="D1141" s="2" t="s">
        <v>9</v>
      </c>
      <c r="E1141" s="2" t="s">
        <v>10</v>
      </c>
      <c r="F1141" s="2" t="s">
        <v>11</v>
      </c>
      <c r="G1141" s="2" t="s">
        <v>12</v>
      </c>
      <c r="H1141" s="2" t="s">
        <v>13</v>
      </c>
      <c r="I1141" s="2" t="s">
        <v>14</v>
      </c>
      <c r="J1141" s="2" t="s">
        <v>15</v>
      </c>
      <c r="K1141" s="2" t="s">
        <v>16</v>
      </c>
      <c r="L1141" s="2" t="s">
        <v>17</v>
      </c>
    </row>
    <row r="1142" spans="1:12" x14ac:dyDescent="0.25">
      <c r="A1142" s="3">
        <v>45705.252037037033</v>
      </c>
      <c r="B1142" t="s">
        <v>100</v>
      </c>
      <c r="C1142" s="3">
        <v>45705.257013888884</v>
      </c>
      <c r="D1142" t="s">
        <v>417</v>
      </c>
      <c r="E1142" s="4">
        <v>8.0000000000000002E-3</v>
      </c>
      <c r="F1142" s="4">
        <v>401152.84700000001</v>
      </c>
      <c r="G1142" s="4">
        <v>401152.85499999998</v>
      </c>
      <c r="H1142" s="5">
        <f>419 / 86400</f>
        <v>4.8495370370370368E-3</v>
      </c>
      <c r="I1142" t="s">
        <v>73</v>
      </c>
      <c r="J1142" t="s">
        <v>73</v>
      </c>
      <c r="K1142" s="5">
        <f>429 / 86400</f>
        <v>4.9652777777777777E-3</v>
      </c>
      <c r="L1142" s="5">
        <f>23257 / 86400</f>
        <v>0.26917824074074076</v>
      </c>
    </row>
    <row r="1143" spans="1:12" x14ac:dyDescent="0.25">
      <c r="A1143" s="3">
        <v>45705.274155092593</v>
      </c>
      <c r="B1143" t="s">
        <v>417</v>
      </c>
      <c r="C1143" s="3">
        <v>45705.28424768518</v>
      </c>
      <c r="D1143" t="s">
        <v>137</v>
      </c>
      <c r="E1143" s="4">
        <v>8.82</v>
      </c>
      <c r="F1143" s="4">
        <v>401152.85499999998</v>
      </c>
      <c r="G1143" s="4">
        <v>401161.67499999999</v>
      </c>
      <c r="H1143" s="5">
        <f>79 / 86400</f>
        <v>9.1435185185185185E-4</v>
      </c>
      <c r="I1143" t="s">
        <v>159</v>
      </c>
      <c r="J1143" t="s">
        <v>157</v>
      </c>
      <c r="K1143" s="5">
        <f>871 / 86400</f>
        <v>1.0081018518518519E-2</v>
      </c>
      <c r="L1143" s="5">
        <f>199 / 86400</f>
        <v>2.3032407407407407E-3</v>
      </c>
    </row>
    <row r="1144" spans="1:12" x14ac:dyDescent="0.25">
      <c r="A1144" s="3">
        <v>45705.286550925928</v>
      </c>
      <c r="B1144" t="s">
        <v>137</v>
      </c>
      <c r="C1144" s="3">
        <v>45705.287523148145</v>
      </c>
      <c r="D1144" t="s">
        <v>392</v>
      </c>
      <c r="E1144" s="4">
        <v>8.3000000000000004E-2</v>
      </c>
      <c r="F1144" s="4">
        <v>401161.67499999999</v>
      </c>
      <c r="G1144" s="4">
        <v>401161.75799999997</v>
      </c>
      <c r="H1144" s="5">
        <f>20 / 86400</f>
        <v>2.3148148148148149E-4</v>
      </c>
      <c r="I1144" t="s">
        <v>107</v>
      </c>
      <c r="J1144" t="s">
        <v>148</v>
      </c>
      <c r="K1144" s="5">
        <f>83 / 86400</f>
        <v>9.6064814814814819E-4</v>
      </c>
      <c r="L1144" s="5">
        <f>344 / 86400</f>
        <v>3.9814814814814817E-3</v>
      </c>
    </row>
    <row r="1145" spans="1:12" x14ac:dyDescent="0.25">
      <c r="A1145" s="3">
        <v>45705.291504629626</v>
      </c>
      <c r="B1145" t="s">
        <v>161</v>
      </c>
      <c r="C1145" s="3">
        <v>45705.380613425921</v>
      </c>
      <c r="D1145" t="s">
        <v>238</v>
      </c>
      <c r="E1145" s="4">
        <v>41.289000000000001</v>
      </c>
      <c r="F1145" s="4">
        <v>401161.75799999997</v>
      </c>
      <c r="G1145" s="4">
        <v>401203.04700000002</v>
      </c>
      <c r="H1145" s="5">
        <f>2180 / 86400</f>
        <v>2.5231481481481483E-2</v>
      </c>
      <c r="I1145" t="s">
        <v>101</v>
      </c>
      <c r="J1145" t="s">
        <v>27</v>
      </c>
      <c r="K1145" s="5">
        <f>7699 / 86400</f>
        <v>8.9108796296296297E-2</v>
      </c>
      <c r="L1145" s="5">
        <f>1665 / 86400</f>
        <v>1.9270833333333334E-2</v>
      </c>
    </row>
    <row r="1146" spans="1:12" x14ac:dyDescent="0.25">
      <c r="A1146" s="3">
        <v>45705.399884259255</v>
      </c>
      <c r="B1146" t="s">
        <v>238</v>
      </c>
      <c r="C1146" s="3">
        <v>45705.491562499999</v>
      </c>
      <c r="D1146" t="s">
        <v>80</v>
      </c>
      <c r="E1146" s="4">
        <v>39.156999999999996</v>
      </c>
      <c r="F1146" s="4">
        <v>401203.04700000002</v>
      </c>
      <c r="G1146" s="4">
        <v>401242.20400000003</v>
      </c>
      <c r="H1146" s="5">
        <f>2240 / 86400</f>
        <v>2.5925925925925925E-2</v>
      </c>
      <c r="I1146" t="s">
        <v>189</v>
      </c>
      <c r="J1146" t="s">
        <v>23</v>
      </c>
      <c r="K1146" s="5">
        <f>7920 / 86400</f>
        <v>9.166666666666666E-2</v>
      </c>
      <c r="L1146" s="5">
        <f>263 / 86400</f>
        <v>3.0439814814814813E-3</v>
      </c>
    </row>
    <row r="1147" spans="1:12" x14ac:dyDescent="0.25">
      <c r="A1147" s="3">
        <v>45705.494606481487</v>
      </c>
      <c r="B1147" t="s">
        <v>80</v>
      </c>
      <c r="C1147" s="3">
        <v>45705.499212962968</v>
      </c>
      <c r="D1147" t="s">
        <v>128</v>
      </c>
      <c r="E1147" s="4">
        <v>1.411</v>
      </c>
      <c r="F1147" s="4">
        <v>401242.20400000003</v>
      </c>
      <c r="G1147" s="4">
        <v>401243.61499999999</v>
      </c>
      <c r="H1147" s="5">
        <f>0 / 86400</f>
        <v>0</v>
      </c>
      <c r="I1147" t="s">
        <v>145</v>
      </c>
      <c r="J1147" t="s">
        <v>66</v>
      </c>
      <c r="K1147" s="5">
        <f>398 / 86400</f>
        <v>4.6064814814814814E-3</v>
      </c>
      <c r="L1147" s="5">
        <f>464 / 86400</f>
        <v>5.37037037037037E-3</v>
      </c>
    </row>
    <row r="1148" spans="1:12" x14ac:dyDescent="0.25">
      <c r="A1148" s="3">
        <v>45705.504583333328</v>
      </c>
      <c r="B1148" t="s">
        <v>128</v>
      </c>
      <c r="C1148" s="3">
        <v>45705.5075</v>
      </c>
      <c r="D1148" t="s">
        <v>377</v>
      </c>
      <c r="E1148" s="4">
        <v>0.77100000000000002</v>
      </c>
      <c r="F1148" s="4">
        <v>401243.61499999999</v>
      </c>
      <c r="G1148" s="4">
        <v>401244.386</v>
      </c>
      <c r="H1148" s="5">
        <f>60 / 86400</f>
        <v>6.9444444444444447E-4</v>
      </c>
      <c r="I1148" t="s">
        <v>38</v>
      </c>
      <c r="J1148" t="s">
        <v>45</v>
      </c>
      <c r="K1148" s="5">
        <f>252 / 86400</f>
        <v>2.9166666666666668E-3</v>
      </c>
      <c r="L1148" s="5">
        <f>768 / 86400</f>
        <v>8.8888888888888889E-3</v>
      </c>
    </row>
    <row r="1149" spans="1:12" x14ac:dyDescent="0.25">
      <c r="A1149" s="3">
        <v>45705.516388888893</v>
      </c>
      <c r="B1149" t="s">
        <v>377</v>
      </c>
      <c r="C1149" s="3">
        <v>45705.526863425926</v>
      </c>
      <c r="D1149" t="s">
        <v>100</v>
      </c>
      <c r="E1149" s="4">
        <v>8.4990000000000006</v>
      </c>
      <c r="F1149" s="4">
        <v>401244.386</v>
      </c>
      <c r="G1149" s="4">
        <v>401252.88500000001</v>
      </c>
      <c r="H1149" s="5">
        <f>20 / 86400</f>
        <v>2.3148148148148149E-4</v>
      </c>
      <c r="I1149" t="s">
        <v>189</v>
      </c>
      <c r="J1149" t="s">
        <v>199</v>
      </c>
      <c r="K1149" s="5">
        <f>904 / 86400</f>
        <v>1.0462962962962962E-2</v>
      </c>
      <c r="L1149" s="5">
        <f>5462 / 86400</f>
        <v>6.3217592592592589E-2</v>
      </c>
    </row>
    <row r="1150" spans="1:12" x14ac:dyDescent="0.25">
      <c r="A1150" s="3">
        <v>45705.590081018519</v>
      </c>
      <c r="B1150" t="s">
        <v>100</v>
      </c>
      <c r="C1150" s="3">
        <v>45705.606157407412</v>
      </c>
      <c r="D1150" t="s">
        <v>164</v>
      </c>
      <c r="E1150" s="4">
        <v>8.8819999999999997</v>
      </c>
      <c r="F1150" s="4">
        <v>401252.88500000001</v>
      </c>
      <c r="G1150" s="4">
        <v>401261.76699999999</v>
      </c>
      <c r="H1150" s="5">
        <f>539 / 86400</f>
        <v>6.2384259259259259E-3</v>
      </c>
      <c r="I1150" t="s">
        <v>97</v>
      </c>
      <c r="J1150" t="s">
        <v>141</v>
      </c>
      <c r="K1150" s="5">
        <f>1388 / 86400</f>
        <v>1.6064814814814816E-2</v>
      </c>
      <c r="L1150" s="5">
        <f>336 / 86400</f>
        <v>3.8888888888888888E-3</v>
      </c>
    </row>
    <row r="1151" spans="1:12" x14ac:dyDescent="0.25">
      <c r="A1151" s="3">
        <v>45705.610046296293</v>
      </c>
      <c r="B1151" t="s">
        <v>164</v>
      </c>
      <c r="C1151" s="3">
        <v>45705.938414351855</v>
      </c>
      <c r="D1151" t="s">
        <v>418</v>
      </c>
      <c r="E1151" s="4">
        <v>99.831000000000003</v>
      </c>
      <c r="F1151" s="4">
        <v>401261.76699999999</v>
      </c>
      <c r="G1151" s="4">
        <v>401361.598</v>
      </c>
      <c r="H1151" s="5">
        <f>12194 / 86400</f>
        <v>0.14113425925925926</v>
      </c>
      <c r="I1151" t="s">
        <v>33</v>
      </c>
      <c r="J1151" t="s">
        <v>66</v>
      </c>
      <c r="K1151" s="5">
        <f>28371 / 86400</f>
        <v>0.32836805555555554</v>
      </c>
      <c r="L1151" s="5">
        <f>228 / 86400</f>
        <v>2.638888888888889E-3</v>
      </c>
    </row>
    <row r="1152" spans="1:12" x14ac:dyDescent="0.25">
      <c r="A1152" s="3">
        <v>45705.941053240742</v>
      </c>
      <c r="B1152" t="s">
        <v>418</v>
      </c>
      <c r="C1152" s="3">
        <v>45705.942523148144</v>
      </c>
      <c r="D1152" t="s">
        <v>418</v>
      </c>
      <c r="E1152" s="4">
        <v>0.06</v>
      </c>
      <c r="F1152" s="4">
        <v>401361.598</v>
      </c>
      <c r="G1152" s="4">
        <v>401361.658</v>
      </c>
      <c r="H1152" s="5">
        <f>39 / 86400</f>
        <v>4.5138888888888887E-4</v>
      </c>
      <c r="I1152" t="s">
        <v>151</v>
      </c>
      <c r="J1152" t="s">
        <v>143</v>
      </c>
      <c r="K1152" s="5">
        <f>127 / 86400</f>
        <v>1.4699074074074074E-3</v>
      </c>
      <c r="L1152" s="5">
        <f>2909 / 86400</f>
        <v>3.366898148148148E-2</v>
      </c>
    </row>
    <row r="1153" spans="1:12" x14ac:dyDescent="0.25">
      <c r="A1153" s="3">
        <v>45705.97619212963</v>
      </c>
      <c r="B1153" t="s">
        <v>418</v>
      </c>
      <c r="C1153" s="3">
        <v>45705.990972222222</v>
      </c>
      <c r="D1153" t="s">
        <v>100</v>
      </c>
      <c r="E1153" s="4">
        <v>9.3049999999999997</v>
      </c>
      <c r="F1153" s="4">
        <v>401361.658</v>
      </c>
      <c r="G1153" s="4">
        <v>401370.96299999999</v>
      </c>
      <c r="H1153" s="5">
        <f>99 / 86400</f>
        <v>1.1458333333333333E-3</v>
      </c>
      <c r="I1153" t="s">
        <v>248</v>
      </c>
      <c r="J1153" t="s">
        <v>288</v>
      </c>
      <c r="K1153" s="5">
        <f>1276 / 86400</f>
        <v>1.4768518518518519E-2</v>
      </c>
      <c r="L1153" s="5">
        <f>779 / 86400</f>
        <v>9.0162037037037034E-3</v>
      </c>
    </row>
    <row r="1154" spans="1:12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</row>
    <row r="1155" spans="1:12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</row>
    <row r="1156" spans="1:12" s="10" customFormat="1" ht="20.100000000000001" customHeight="1" x14ac:dyDescent="0.35">
      <c r="A1156" s="12" t="s">
        <v>486</v>
      </c>
      <c r="B1156" s="12"/>
      <c r="C1156" s="12"/>
      <c r="D1156" s="12"/>
      <c r="E1156" s="12"/>
      <c r="F1156" s="12"/>
      <c r="G1156" s="12"/>
      <c r="H1156" s="12"/>
      <c r="I1156" s="12"/>
      <c r="J1156" s="12"/>
    </row>
    <row r="1157" spans="1:12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</row>
    <row r="1158" spans="1:12" ht="30" x14ac:dyDescent="0.25">
      <c r="A1158" s="2" t="s">
        <v>6</v>
      </c>
      <c r="B1158" s="2" t="s">
        <v>7</v>
      </c>
      <c r="C1158" s="2" t="s">
        <v>8</v>
      </c>
      <c r="D1158" s="2" t="s">
        <v>9</v>
      </c>
      <c r="E1158" s="2" t="s">
        <v>10</v>
      </c>
      <c r="F1158" s="2" t="s">
        <v>11</v>
      </c>
      <c r="G1158" s="2" t="s">
        <v>12</v>
      </c>
      <c r="H1158" s="2" t="s">
        <v>13</v>
      </c>
      <c r="I1158" s="2" t="s">
        <v>14</v>
      </c>
      <c r="J1158" s="2" t="s">
        <v>15</v>
      </c>
      <c r="K1158" s="2" t="s">
        <v>16</v>
      </c>
      <c r="L1158" s="2" t="s">
        <v>17</v>
      </c>
    </row>
    <row r="1159" spans="1:12" x14ac:dyDescent="0.25">
      <c r="A1159" s="3">
        <v>45705.19395833333</v>
      </c>
      <c r="B1159" t="s">
        <v>28</v>
      </c>
      <c r="C1159" s="3">
        <v>45705.291215277779</v>
      </c>
      <c r="D1159" t="s">
        <v>165</v>
      </c>
      <c r="E1159" s="4">
        <v>47.215000000000003</v>
      </c>
      <c r="F1159" s="4">
        <v>382894.45199999999</v>
      </c>
      <c r="G1159" s="4">
        <v>382941.66700000002</v>
      </c>
      <c r="H1159" s="5">
        <f>2439 / 86400</f>
        <v>2.8229166666666666E-2</v>
      </c>
      <c r="I1159" t="s">
        <v>61</v>
      </c>
      <c r="J1159" t="s">
        <v>20</v>
      </c>
      <c r="K1159" s="5">
        <f>8403 / 86400</f>
        <v>9.7256944444444438E-2</v>
      </c>
      <c r="L1159" s="5">
        <f>17355 / 86400</f>
        <v>0.20086805555555556</v>
      </c>
    </row>
    <row r="1160" spans="1:12" x14ac:dyDescent="0.25">
      <c r="A1160" s="3">
        <v>45705.298125000001</v>
      </c>
      <c r="B1160" t="s">
        <v>165</v>
      </c>
      <c r="C1160" s="3">
        <v>45705.41920138889</v>
      </c>
      <c r="D1160" t="s">
        <v>178</v>
      </c>
      <c r="E1160" s="4">
        <v>50.02</v>
      </c>
      <c r="F1160" s="4">
        <v>382941.66700000002</v>
      </c>
      <c r="G1160" s="4">
        <v>382991.68699999998</v>
      </c>
      <c r="H1160" s="5">
        <f>3299 / 86400</f>
        <v>3.8182870370370367E-2</v>
      </c>
      <c r="I1160" t="s">
        <v>172</v>
      </c>
      <c r="J1160" t="s">
        <v>32</v>
      </c>
      <c r="K1160" s="5">
        <f>10460 / 86400</f>
        <v>0.12106481481481482</v>
      </c>
      <c r="L1160" s="5">
        <f>744 / 86400</f>
        <v>8.611111111111111E-3</v>
      </c>
    </row>
    <row r="1161" spans="1:12" x14ac:dyDescent="0.25">
      <c r="A1161" s="3">
        <v>45705.427812499998</v>
      </c>
      <c r="B1161" t="s">
        <v>178</v>
      </c>
      <c r="C1161" s="3">
        <v>45705.429976851854</v>
      </c>
      <c r="D1161" t="s">
        <v>51</v>
      </c>
      <c r="E1161" s="4">
        <v>0.20200000000000001</v>
      </c>
      <c r="F1161" s="4">
        <v>382991.68699999998</v>
      </c>
      <c r="G1161" s="4">
        <v>382991.88900000002</v>
      </c>
      <c r="H1161" s="5">
        <f>100 / 86400</f>
        <v>1.1574074074074073E-3</v>
      </c>
      <c r="I1161" t="s">
        <v>162</v>
      </c>
      <c r="J1161" t="s">
        <v>148</v>
      </c>
      <c r="K1161" s="5">
        <f>187 / 86400</f>
        <v>2.1643518518518518E-3</v>
      </c>
      <c r="L1161" s="5">
        <f>5559 / 86400</f>
        <v>6.4340277777777774E-2</v>
      </c>
    </row>
    <row r="1162" spans="1:12" x14ac:dyDescent="0.25">
      <c r="A1162" s="3">
        <v>45705.494317129633</v>
      </c>
      <c r="B1162" t="s">
        <v>51</v>
      </c>
      <c r="C1162" s="3">
        <v>45705.500601851847</v>
      </c>
      <c r="D1162" t="s">
        <v>128</v>
      </c>
      <c r="E1162" s="4">
        <v>1.6579999999999999</v>
      </c>
      <c r="F1162" s="4">
        <v>382991.88900000002</v>
      </c>
      <c r="G1162" s="4">
        <v>382993.54700000002</v>
      </c>
      <c r="H1162" s="5">
        <f>80 / 86400</f>
        <v>9.2592592592592596E-4</v>
      </c>
      <c r="I1162" t="s">
        <v>145</v>
      </c>
      <c r="J1162" t="s">
        <v>45</v>
      </c>
      <c r="K1162" s="5">
        <f>542 / 86400</f>
        <v>6.2731481481481484E-3</v>
      </c>
      <c r="L1162" s="5">
        <f>1141 / 86400</f>
        <v>1.3206018518518518E-2</v>
      </c>
    </row>
    <row r="1163" spans="1:12" x14ac:dyDescent="0.25">
      <c r="A1163" s="3">
        <v>45705.513807870375</v>
      </c>
      <c r="B1163" t="s">
        <v>128</v>
      </c>
      <c r="C1163" s="3">
        <v>45705.598136574074</v>
      </c>
      <c r="D1163" t="s">
        <v>419</v>
      </c>
      <c r="E1163" s="4">
        <v>39.658999999999999</v>
      </c>
      <c r="F1163" s="4">
        <v>382993.54700000002</v>
      </c>
      <c r="G1163" s="4">
        <v>383033.20600000001</v>
      </c>
      <c r="H1163" s="5">
        <f>2220 / 86400</f>
        <v>2.5694444444444443E-2</v>
      </c>
      <c r="I1163" t="s">
        <v>61</v>
      </c>
      <c r="J1163" t="s">
        <v>20</v>
      </c>
      <c r="K1163" s="5">
        <f>7285 / 86400</f>
        <v>8.4317129629629631E-2</v>
      </c>
      <c r="L1163" s="5">
        <f>38 / 86400</f>
        <v>4.3981481481481481E-4</v>
      </c>
    </row>
    <row r="1164" spans="1:12" x14ac:dyDescent="0.25">
      <c r="A1164" s="3">
        <v>45705.598576388889</v>
      </c>
      <c r="B1164" t="s">
        <v>419</v>
      </c>
      <c r="C1164" s="3">
        <v>45705.638564814813</v>
      </c>
      <c r="D1164" t="s">
        <v>165</v>
      </c>
      <c r="E1164" s="4">
        <v>11.436999999999999</v>
      </c>
      <c r="F1164" s="4">
        <v>383033.20600000001</v>
      </c>
      <c r="G1164" s="4">
        <v>383044.64299999998</v>
      </c>
      <c r="H1164" s="5">
        <f>1040 / 86400</f>
        <v>1.2037037037037037E-2</v>
      </c>
      <c r="I1164" t="s">
        <v>179</v>
      </c>
      <c r="J1164" t="s">
        <v>162</v>
      </c>
      <c r="K1164" s="5">
        <f>3454 / 86400</f>
        <v>3.9976851851851854E-2</v>
      </c>
      <c r="L1164" s="5">
        <f>829 / 86400</f>
        <v>9.5949074074074079E-3</v>
      </c>
    </row>
    <row r="1165" spans="1:12" x14ac:dyDescent="0.25">
      <c r="A1165" s="3">
        <v>45705.648159722223</v>
      </c>
      <c r="B1165" t="s">
        <v>165</v>
      </c>
      <c r="C1165" s="3">
        <v>45705.775775462964</v>
      </c>
      <c r="D1165" t="s">
        <v>146</v>
      </c>
      <c r="E1165" s="4">
        <v>46.069000000000003</v>
      </c>
      <c r="F1165" s="4">
        <v>383044.64299999998</v>
      </c>
      <c r="G1165" s="4">
        <v>383090.712</v>
      </c>
      <c r="H1165" s="5">
        <f>3969 / 86400</f>
        <v>4.5937499999999999E-2</v>
      </c>
      <c r="I1165" t="s">
        <v>222</v>
      </c>
      <c r="J1165" t="s">
        <v>30</v>
      </c>
      <c r="K1165" s="5">
        <f>11025 / 86400</f>
        <v>0.12760416666666666</v>
      </c>
      <c r="L1165" s="5">
        <f>62 / 86400</f>
        <v>7.1759259259259259E-4</v>
      </c>
    </row>
    <row r="1166" spans="1:12" x14ac:dyDescent="0.25">
      <c r="A1166" s="3">
        <v>45705.776493055557</v>
      </c>
      <c r="B1166" t="s">
        <v>146</v>
      </c>
      <c r="C1166" s="3">
        <v>45705.810300925921</v>
      </c>
      <c r="D1166" t="s">
        <v>420</v>
      </c>
      <c r="E1166" s="4">
        <v>20.018000000000001</v>
      </c>
      <c r="F1166" s="4">
        <v>383090.712</v>
      </c>
      <c r="G1166" s="4">
        <v>383110.73</v>
      </c>
      <c r="H1166" s="5">
        <f>640 / 86400</f>
        <v>7.4074074074074077E-3</v>
      </c>
      <c r="I1166" t="s">
        <v>60</v>
      </c>
      <c r="J1166" t="s">
        <v>163</v>
      </c>
      <c r="K1166" s="5">
        <f>2920 / 86400</f>
        <v>3.3796296296296297E-2</v>
      </c>
      <c r="L1166" s="5">
        <f>1008 / 86400</f>
        <v>1.1666666666666667E-2</v>
      </c>
    </row>
    <row r="1167" spans="1:12" x14ac:dyDescent="0.25">
      <c r="A1167" s="3">
        <v>45705.821967592594</v>
      </c>
      <c r="B1167" t="s">
        <v>420</v>
      </c>
      <c r="C1167" s="3">
        <v>45705.825891203705</v>
      </c>
      <c r="D1167" t="s">
        <v>28</v>
      </c>
      <c r="E1167" s="4">
        <v>0.47299999999999998</v>
      </c>
      <c r="F1167" s="4">
        <v>383110.73</v>
      </c>
      <c r="G1167" s="4">
        <v>383111.20299999998</v>
      </c>
      <c r="H1167" s="5">
        <f>160 / 86400</f>
        <v>1.8518518518518519E-3</v>
      </c>
      <c r="I1167" t="s">
        <v>162</v>
      </c>
      <c r="J1167" t="s">
        <v>142</v>
      </c>
      <c r="K1167" s="5">
        <f>339 / 86400</f>
        <v>3.9236111111111112E-3</v>
      </c>
      <c r="L1167" s="5">
        <f>187 / 86400</f>
        <v>2.1643518518518518E-3</v>
      </c>
    </row>
    <row r="1168" spans="1:12" x14ac:dyDescent="0.25">
      <c r="A1168" s="3">
        <v>45705.828055555554</v>
      </c>
      <c r="B1168" t="s">
        <v>28</v>
      </c>
      <c r="C1168" s="3">
        <v>45705.828993055555</v>
      </c>
      <c r="D1168" t="s">
        <v>28</v>
      </c>
      <c r="E1168" s="4">
        <v>1.7000000000000001E-2</v>
      </c>
      <c r="F1168" s="4">
        <v>383111.20299999998</v>
      </c>
      <c r="G1168" s="4">
        <v>383111.22</v>
      </c>
      <c r="H1168" s="5">
        <f>40 / 86400</f>
        <v>4.6296296296296298E-4</v>
      </c>
      <c r="I1168" t="s">
        <v>143</v>
      </c>
      <c r="J1168" t="s">
        <v>144</v>
      </c>
      <c r="K1168" s="5">
        <f>81 / 86400</f>
        <v>9.3749999999999997E-4</v>
      </c>
      <c r="L1168" s="5">
        <f>14774 / 86400</f>
        <v>0.17099537037037038</v>
      </c>
    </row>
    <row r="1169" spans="1:12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</row>
    <row r="1170" spans="1:12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</row>
    <row r="1171" spans="1:12" s="10" customFormat="1" ht="20.100000000000001" customHeight="1" x14ac:dyDescent="0.35">
      <c r="A1171" s="12" t="s">
        <v>487</v>
      </c>
      <c r="B1171" s="12"/>
      <c r="C1171" s="12"/>
      <c r="D1171" s="12"/>
      <c r="E1171" s="12"/>
      <c r="F1171" s="12"/>
      <c r="G1171" s="12"/>
      <c r="H1171" s="12"/>
      <c r="I1171" s="12"/>
      <c r="J1171" s="12"/>
    </row>
    <row r="1172" spans="1:12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</row>
    <row r="1173" spans="1:12" ht="30" x14ac:dyDescent="0.25">
      <c r="A1173" s="2" t="s">
        <v>6</v>
      </c>
      <c r="B1173" s="2" t="s">
        <v>7</v>
      </c>
      <c r="C1173" s="2" t="s">
        <v>8</v>
      </c>
      <c r="D1173" s="2" t="s">
        <v>9</v>
      </c>
      <c r="E1173" s="2" t="s">
        <v>10</v>
      </c>
      <c r="F1173" s="2" t="s">
        <v>11</v>
      </c>
      <c r="G1173" s="2" t="s">
        <v>12</v>
      </c>
      <c r="H1173" s="2" t="s">
        <v>13</v>
      </c>
      <c r="I1173" s="2" t="s">
        <v>14</v>
      </c>
      <c r="J1173" s="2" t="s">
        <v>15</v>
      </c>
      <c r="K1173" s="2" t="s">
        <v>16</v>
      </c>
      <c r="L1173" s="2" t="s">
        <v>17</v>
      </c>
    </row>
    <row r="1174" spans="1:12" x14ac:dyDescent="0.25">
      <c r="A1174" s="3">
        <v>45705.287893518514</v>
      </c>
      <c r="B1174" t="s">
        <v>21</v>
      </c>
      <c r="C1174" s="3">
        <v>45705.294756944444</v>
      </c>
      <c r="D1174" t="s">
        <v>128</v>
      </c>
      <c r="E1174" s="4">
        <v>1.837</v>
      </c>
      <c r="F1174" s="4">
        <v>546698.79500000004</v>
      </c>
      <c r="G1174" s="4">
        <v>546700.63199999998</v>
      </c>
      <c r="H1174" s="5">
        <f>199 / 86400</f>
        <v>2.3032407407407407E-3</v>
      </c>
      <c r="I1174" t="s">
        <v>206</v>
      </c>
      <c r="J1174" t="s">
        <v>45</v>
      </c>
      <c r="K1174" s="5">
        <f>593 / 86400</f>
        <v>6.8634259259259256E-3</v>
      </c>
      <c r="L1174" s="5">
        <f>25214 / 86400</f>
        <v>0.29182870370370373</v>
      </c>
    </row>
    <row r="1175" spans="1:12" x14ac:dyDescent="0.25">
      <c r="A1175" s="3">
        <v>45705.298692129625</v>
      </c>
      <c r="B1175" t="s">
        <v>128</v>
      </c>
      <c r="C1175" s="3">
        <v>45705.406597222223</v>
      </c>
      <c r="D1175" t="s">
        <v>165</v>
      </c>
      <c r="E1175" s="4">
        <v>50.856999999999999</v>
      </c>
      <c r="F1175" s="4">
        <v>546700.63199999998</v>
      </c>
      <c r="G1175" s="4">
        <v>546751.48899999994</v>
      </c>
      <c r="H1175" s="5">
        <f>2321 / 86400</f>
        <v>2.6863425925925926E-2</v>
      </c>
      <c r="I1175" t="s">
        <v>44</v>
      </c>
      <c r="J1175" t="s">
        <v>20</v>
      </c>
      <c r="K1175" s="5">
        <f>9322 / 86400</f>
        <v>0.10789351851851851</v>
      </c>
      <c r="L1175" s="5">
        <f>2750 / 86400</f>
        <v>3.1828703703703706E-2</v>
      </c>
    </row>
    <row r="1176" spans="1:12" x14ac:dyDescent="0.25">
      <c r="A1176" s="3">
        <v>45705.438425925924</v>
      </c>
      <c r="B1176" t="s">
        <v>165</v>
      </c>
      <c r="C1176" s="3">
        <v>45705.463541666672</v>
      </c>
      <c r="D1176" t="s">
        <v>342</v>
      </c>
      <c r="E1176" s="4">
        <v>5.6589999999999998</v>
      </c>
      <c r="F1176" s="4">
        <v>546751.48899999994</v>
      </c>
      <c r="G1176" s="4">
        <v>546757.14800000004</v>
      </c>
      <c r="H1176" s="5">
        <f>1079 / 86400</f>
        <v>1.2488425925925925E-2</v>
      </c>
      <c r="I1176" t="s">
        <v>248</v>
      </c>
      <c r="J1176" t="s">
        <v>133</v>
      </c>
      <c r="K1176" s="5">
        <f>2170 / 86400</f>
        <v>2.5115740740740741E-2</v>
      </c>
      <c r="L1176" s="5">
        <f>36 / 86400</f>
        <v>4.1666666666666669E-4</v>
      </c>
    </row>
    <row r="1177" spans="1:12" x14ac:dyDescent="0.25">
      <c r="A1177" s="3">
        <v>45705.463958333334</v>
      </c>
      <c r="B1177" t="s">
        <v>342</v>
      </c>
      <c r="C1177" s="3">
        <v>45705.558946759258</v>
      </c>
      <c r="D1177" t="s">
        <v>94</v>
      </c>
      <c r="E1177" s="4">
        <v>44.658999999999999</v>
      </c>
      <c r="F1177" s="4">
        <v>546757.14800000004</v>
      </c>
      <c r="G1177" s="4">
        <v>546801.80700000003</v>
      </c>
      <c r="H1177" s="5">
        <f>1699 / 86400</f>
        <v>1.9664351851851853E-2</v>
      </c>
      <c r="I1177" t="s">
        <v>285</v>
      </c>
      <c r="J1177" t="s">
        <v>20</v>
      </c>
      <c r="K1177" s="5">
        <f>8207 / 86400</f>
        <v>9.4988425925925921E-2</v>
      </c>
      <c r="L1177" s="5">
        <f>2329 / 86400</f>
        <v>2.6956018518518518E-2</v>
      </c>
    </row>
    <row r="1178" spans="1:12" x14ac:dyDescent="0.25">
      <c r="A1178" s="3">
        <v>45705.585902777777</v>
      </c>
      <c r="B1178" t="s">
        <v>94</v>
      </c>
      <c r="C1178" s="3">
        <v>45705.811550925922</v>
      </c>
      <c r="D1178" t="s">
        <v>80</v>
      </c>
      <c r="E1178" s="4">
        <v>93.908000000000001</v>
      </c>
      <c r="F1178" s="4">
        <v>546801.80700000003</v>
      </c>
      <c r="G1178" s="4">
        <v>546895.71499999997</v>
      </c>
      <c r="H1178" s="5">
        <f>6100 / 86400</f>
        <v>7.0601851851851846E-2</v>
      </c>
      <c r="I1178" t="s">
        <v>44</v>
      </c>
      <c r="J1178" t="s">
        <v>32</v>
      </c>
      <c r="K1178" s="5">
        <f>19496 / 86400</f>
        <v>0.22564814814814815</v>
      </c>
      <c r="L1178" s="5">
        <f>511 / 86400</f>
        <v>5.9143518518518521E-3</v>
      </c>
    </row>
    <row r="1179" spans="1:12" x14ac:dyDescent="0.25">
      <c r="A1179" s="3">
        <v>45705.817465277782</v>
      </c>
      <c r="B1179" t="s">
        <v>80</v>
      </c>
      <c r="C1179" s="3">
        <v>45705.820509259254</v>
      </c>
      <c r="D1179" t="s">
        <v>48</v>
      </c>
      <c r="E1179" s="4">
        <v>0.57699999999999996</v>
      </c>
      <c r="F1179" s="4">
        <v>546895.71499999997</v>
      </c>
      <c r="G1179" s="4">
        <v>546896.29200000002</v>
      </c>
      <c r="H1179" s="5">
        <f>120 / 86400</f>
        <v>1.3888888888888889E-3</v>
      </c>
      <c r="I1179" t="s">
        <v>288</v>
      </c>
      <c r="J1179" t="s">
        <v>107</v>
      </c>
      <c r="K1179" s="5">
        <f>263 / 86400</f>
        <v>3.0439814814814813E-3</v>
      </c>
      <c r="L1179" s="5">
        <f>15507 / 86400</f>
        <v>0.17947916666666666</v>
      </c>
    </row>
    <row r="1180" spans="1:12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</row>
    <row r="1181" spans="1:12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</row>
    <row r="1182" spans="1:12" s="10" customFormat="1" ht="20.100000000000001" customHeight="1" x14ac:dyDescent="0.35">
      <c r="A1182" s="12" t="s">
        <v>488</v>
      </c>
      <c r="B1182" s="12"/>
      <c r="C1182" s="12"/>
      <c r="D1182" s="12"/>
      <c r="E1182" s="12"/>
      <c r="F1182" s="12"/>
      <c r="G1182" s="12"/>
      <c r="H1182" s="12"/>
      <c r="I1182" s="12"/>
      <c r="J1182" s="12"/>
    </row>
    <row r="1183" spans="1:12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</row>
    <row r="1184" spans="1:12" ht="30" x14ac:dyDescent="0.25">
      <c r="A1184" s="2" t="s">
        <v>6</v>
      </c>
      <c r="B1184" s="2" t="s">
        <v>7</v>
      </c>
      <c r="C1184" s="2" t="s">
        <v>8</v>
      </c>
      <c r="D1184" s="2" t="s">
        <v>9</v>
      </c>
      <c r="E1184" s="2" t="s">
        <v>10</v>
      </c>
      <c r="F1184" s="2" t="s">
        <v>11</v>
      </c>
      <c r="G1184" s="2" t="s">
        <v>12</v>
      </c>
      <c r="H1184" s="2" t="s">
        <v>13</v>
      </c>
      <c r="I1184" s="2" t="s">
        <v>14</v>
      </c>
      <c r="J1184" s="2" t="s">
        <v>15</v>
      </c>
      <c r="K1184" s="2" t="s">
        <v>16</v>
      </c>
      <c r="L1184" s="2" t="s">
        <v>17</v>
      </c>
    </row>
    <row r="1185" spans="1:12" x14ac:dyDescent="0.25">
      <c r="A1185" s="3">
        <v>45705</v>
      </c>
      <c r="B1185" t="s">
        <v>102</v>
      </c>
      <c r="C1185" s="3">
        <v>45705.024375000001</v>
      </c>
      <c r="D1185" t="s">
        <v>252</v>
      </c>
      <c r="E1185" s="4">
        <v>10.612</v>
      </c>
      <c r="F1185" s="4">
        <v>104608.33100000001</v>
      </c>
      <c r="G1185" s="4">
        <v>104618.943</v>
      </c>
      <c r="H1185" s="5">
        <f>740 / 86400</f>
        <v>8.564814814814815E-3</v>
      </c>
      <c r="I1185" t="s">
        <v>197</v>
      </c>
      <c r="J1185" t="s">
        <v>23</v>
      </c>
      <c r="K1185" s="5">
        <f>2106 / 86400</f>
        <v>2.4375000000000001E-2</v>
      </c>
      <c r="L1185" s="5">
        <f>132 / 86400</f>
        <v>1.5277777777777779E-3</v>
      </c>
    </row>
    <row r="1186" spans="1:12" x14ac:dyDescent="0.25">
      <c r="A1186" s="3">
        <v>45705.025902777779</v>
      </c>
      <c r="B1186" t="s">
        <v>252</v>
      </c>
      <c r="C1186" s="3">
        <v>45705.026006944448</v>
      </c>
      <c r="D1186" t="s">
        <v>252</v>
      </c>
      <c r="E1186" s="4">
        <v>0</v>
      </c>
      <c r="F1186" s="4">
        <v>104618.943</v>
      </c>
      <c r="G1186" s="4">
        <v>104618.943</v>
      </c>
      <c r="H1186" s="5">
        <f>0 / 86400</f>
        <v>0</v>
      </c>
      <c r="I1186" t="s">
        <v>73</v>
      </c>
      <c r="J1186" t="s">
        <v>73</v>
      </c>
      <c r="K1186" s="5">
        <f>9 / 86400</f>
        <v>1.0416666666666667E-4</v>
      </c>
      <c r="L1186" s="5">
        <f>530 / 86400</f>
        <v>6.1342592592592594E-3</v>
      </c>
    </row>
    <row r="1187" spans="1:12" x14ac:dyDescent="0.25">
      <c r="A1187" s="3">
        <v>45705.032141203701</v>
      </c>
      <c r="B1187" t="s">
        <v>252</v>
      </c>
      <c r="C1187" s="3">
        <v>45705.122974537036</v>
      </c>
      <c r="D1187" t="s">
        <v>115</v>
      </c>
      <c r="E1187" s="4">
        <v>47.414999999999999</v>
      </c>
      <c r="F1187" s="4">
        <v>104618.943</v>
      </c>
      <c r="G1187" s="4">
        <v>104666.35799999999</v>
      </c>
      <c r="H1187" s="5">
        <f>2717 / 86400</f>
        <v>3.1446759259259258E-2</v>
      </c>
      <c r="I1187" t="s">
        <v>92</v>
      </c>
      <c r="J1187" t="s">
        <v>135</v>
      </c>
      <c r="K1187" s="5">
        <f>7848 / 86400</f>
        <v>9.0833333333333335E-2</v>
      </c>
      <c r="L1187" s="5">
        <f>804 / 86400</f>
        <v>9.3055555555555548E-3</v>
      </c>
    </row>
    <row r="1188" spans="1:12" x14ac:dyDescent="0.25">
      <c r="A1188" s="3">
        <v>45705.132280092592</v>
      </c>
      <c r="B1188" t="s">
        <v>115</v>
      </c>
      <c r="C1188" s="3">
        <v>45705.133159722223</v>
      </c>
      <c r="D1188" t="s">
        <v>115</v>
      </c>
      <c r="E1188" s="4">
        <v>7.0000000000000007E-2</v>
      </c>
      <c r="F1188" s="4">
        <v>104666.35799999999</v>
      </c>
      <c r="G1188" s="4">
        <v>104666.428</v>
      </c>
      <c r="H1188" s="5">
        <f>20 / 86400</f>
        <v>2.3148148148148149E-4</v>
      </c>
      <c r="I1188" t="s">
        <v>162</v>
      </c>
      <c r="J1188" t="s">
        <v>84</v>
      </c>
      <c r="K1188" s="5">
        <f>76 / 86400</f>
        <v>8.7962962962962962E-4</v>
      </c>
      <c r="L1188" s="5">
        <f>206 / 86400</f>
        <v>2.3842592592592591E-3</v>
      </c>
    </row>
    <row r="1189" spans="1:12" x14ac:dyDescent="0.25">
      <c r="A1189" s="3">
        <v>45705.13554398148</v>
      </c>
      <c r="B1189" t="s">
        <v>115</v>
      </c>
      <c r="C1189" s="3">
        <v>45705.135949074072</v>
      </c>
      <c r="D1189" t="s">
        <v>115</v>
      </c>
      <c r="E1189" s="4">
        <v>4.4999999999999998E-2</v>
      </c>
      <c r="F1189" s="4">
        <v>104666.428</v>
      </c>
      <c r="G1189" s="4">
        <v>104666.473</v>
      </c>
      <c r="H1189" s="5">
        <f>0 / 86400</f>
        <v>0</v>
      </c>
      <c r="I1189" t="s">
        <v>118</v>
      </c>
      <c r="J1189" t="s">
        <v>142</v>
      </c>
      <c r="K1189" s="5">
        <f>35 / 86400</f>
        <v>4.0509259259259258E-4</v>
      </c>
      <c r="L1189" s="5">
        <f>14028 / 86400</f>
        <v>0.16236111111111112</v>
      </c>
    </row>
    <row r="1190" spans="1:12" x14ac:dyDescent="0.25">
      <c r="A1190" s="3">
        <v>45705.298310185186</v>
      </c>
      <c r="B1190" t="s">
        <v>115</v>
      </c>
      <c r="C1190" s="3">
        <v>45705.306793981479</v>
      </c>
      <c r="D1190" t="s">
        <v>421</v>
      </c>
      <c r="E1190" s="4">
        <v>0.25</v>
      </c>
      <c r="F1190" s="4">
        <v>104666.473</v>
      </c>
      <c r="G1190" s="4">
        <v>104666.723</v>
      </c>
      <c r="H1190" s="5">
        <f>617 / 86400</f>
        <v>7.1412037037037034E-3</v>
      </c>
      <c r="I1190" t="s">
        <v>32</v>
      </c>
      <c r="J1190" t="s">
        <v>144</v>
      </c>
      <c r="K1190" s="5">
        <f>733 / 86400</f>
        <v>8.4837962962962966E-3</v>
      </c>
      <c r="L1190" s="5">
        <f>1189 / 86400</f>
        <v>1.3761574074074074E-2</v>
      </c>
    </row>
    <row r="1191" spans="1:12" x14ac:dyDescent="0.25">
      <c r="A1191" s="3">
        <v>45705.320555555554</v>
      </c>
      <c r="B1191" t="s">
        <v>421</v>
      </c>
      <c r="C1191" s="3">
        <v>45705.476111111115</v>
      </c>
      <c r="D1191" t="s">
        <v>94</v>
      </c>
      <c r="E1191" s="4">
        <v>77.236999999999995</v>
      </c>
      <c r="F1191" s="4">
        <v>104666.723</v>
      </c>
      <c r="G1191" s="4">
        <v>104743.96</v>
      </c>
      <c r="H1191" s="5">
        <f>4198 / 86400</f>
        <v>4.8587962962962965E-2</v>
      </c>
      <c r="I1191" t="s">
        <v>104</v>
      </c>
      <c r="J1191" t="s">
        <v>38</v>
      </c>
      <c r="K1191" s="5">
        <f>13440 / 86400</f>
        <v>0.15555555555555556</v>
      </c>
      <c r="L1191" s="5">
        <f>652 / 86400</f>
        <v>7.5462962962962966E-3</v>
      </c>
    </row>
    <row r="1192" spans="1:12" x14ac:dyDescent="0.25">
      <c r="A1192" s="3">
        <v>45705.483657407407</v>
      </c>
      <c r="B1192" t="s">
        <v>94</v>
      </c>
      <c r="C1192" s="3">
        <v>45705.489895833336</v>
      </c>
      <c r="D1192" t="s">
        <v>370</v>
      </c>
      <c r="E1192" s="4">
        <v>1.498</v>
      </c>
      <c r="F1192" s="4">
        <v>104743.96</v>
      </c>
      <c r="G1192" s="4">
        <v>104745.458</v>
      </c>
      <c r="H1192" s="5">
        <f>277 / 86400</f>
        <v>3.2060185185185186E-3</v>
      </c>
      <c r="I1192" t="s">
        <v>179</v>
      </c>
      <c r="J1192" t="s">
        <v>118</v>
      </c>
      <c r="K1192" s="5">
        <f>539 / 86400</f>
        <v>6.2384259259259259E-3</v>
      </c>
      <c r="L1192" s="5">
        <f>2015 / 86400</f>
        <v>2.3321759259259261E-2</v>
      </c>
    </row>
    <row r="1193" spans="1:12" x14ac:dyDescent="0.25">
      <c r="A1193" s="3">
        <v>45705.513217592597</v>
      </c>
      <c r="B1193" t="s">
        <v>370</v>
      </c>
      <c r="C1193" s="3">
        <v>45705.515601851846</v>
      </c>
      <c r="D1193" t="s">
        <v>128</v>
      </c>
      <c r="E1193" s="4">
        <v>0.95399999999999996</v>
      </c>
      <c r="F1193" s="4">
        <v>104745.458</v>
      </c>
      <c r="G1193" s="4">
        <v>104746.412</v>
      </c>
      <c r="H1193" s="5">
        <f>20 / 86400</f>
        <v>2.3148148148148149E-4</v>
      </c>
      <c r="I1193" t="s">
        <v>216</v>
      </c>
      <c r="J1193" t="s">
        <v>32</v>
      </c>
      <c r="K1193" s="5">
        <f>206 / 86400</f>
        <v>2.3842592592592591E-3</v>
      </c>
      <c r="L1193" s="5">
        <f>472 / 86400</f>
        <v>5.4629629629629629E-3</v>
      </c>
    </row>
    <row r="1194" spans="1:12" x14ac:dyDescent="0.25">
      <c r="A1194" s="3">
        <v>45705.521064814813</v>
      </c>
      <c r="B1194" t="s">
        <v>128</v>
      </c>
      <c r="C1194" s="3">
        <v>45705.747187500005</v>
      </c>
      <c r="D1194" t="s">
        <v>161</v>
      </c>
      <c r="E1194" s="4">
        <v>102.261</v>
      </c>
      <c r="F1194" s="4">
        <v>104746.412</v>
      </c>
      <c r="G1194" s="4">
        <v>104848.673</v>
      </c>
      <c r="H1194" s="5">
        <f>6057 / 86400</f>
        <v>7.0104166666666662E-2</v>
      </c>
      <c r="I1194" t="s">
        <v>64</v>
      </c>
      <c r="J1194" t="s">
        <v>27</v>
      </c>
      <c r="K1194" s="5">
        <f>19537 / 86400</f>
        <v>0.22612268518518519</v>
      </c>
      <c r="L1194" s="5">
        <f>1094 / 86400</f>
        <v>1.2662037037037038E-2</v>
      </c>
    </row>
    <row r="1195" spans="1:12" x14ac:dyDescent="0.25">
      <c r="A1195" s="3">
        <v>45705.759849537033</v>
      </c>
      <c r="B1195" t="s">
        <v>161</v>
      </c>
      <c r="C1195" s="3">
        <v>45705.99998842593</v>
      </c>
      <c r="D1195" t="s">
        <v>103</v>
      </c>
      <c r="E1195" s="4">
        <v>117.42</v>
      </c>
      <c r="F1195" s="4">
        <v>104848.673</v>
      </c>
      <c r="G1195" s="4">
        <v>104966.09299999999</v>
      </c>
      <c r="H1195" s="5">
        <f>7218 / 86400</f>
        <v>8.3541666666666667E-2</v>
      </c>
      <c r="I1195" t="s">
        <v>52</v>
      </c>
      <c r="J1195" t="s">
        <v>20</v>
      </c>
      <c r="K1195" s="5">
        <f>20748 / 86400</f>
        <v>0.2401388888888889</v>
      </c>
      <c r="L1195" s="5">
        <f>0 / 86400</f>
        <v>0</v>
      </c>
    </row>
    <row r="1196" spans="1:12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</row>
    <row r="1197" spans="1:12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</row>
    <row r="1198" spans="1:12" s="10" customFormat="1" ht="20.100000000000001" customHeight="1" x14ac:dyDescent="0.35">
      <c r="A1198" s="12" t="s">
        <v>489</v>
      </c>
      <c r="B1198" s="12"/>
      <c r="C1198" s="12"/>
      <c r="D1198" s="12"/>
      <c r="E1198" s="12"/>
      <c r="F1198" s="12"/>
      <c r="G1198" s="12"/>
      <c r="H1198" s="12"/>
      <c r="I1198" s="12"/>
      <c r="J1198" s="12"/>
    </row>
    <row r="1199" spans="1:12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</row>
    <row r="1200" spans="1:12" ht="30" x14ac:dyDescent="0.25">
      <c r="A1200" s="2" t="s">
        <v>6</v>
      </c>
      <c r="B1200" s="2" t="s">
        <v>7</v>
      </c>
      <c r="C1200" s="2" t="s">
        <v>8</v>
      </c>
      <c r="D1200" s="2" t="s">
        <v>9</v>
      </c>
      <c r="E1200" s="2" t="s">
        <v>10</v>
      </c>
      <c r="F1200" s="2" t="s">
        <v>11</v>
      </c>
      <c r="G1200" s="2" t="s">
        <v>12</v>
      </c>
      <c r="H1200" s="2" t="s">
        <v>13</v>
      </c>
      <c r="I1200" s="2" t="s">
        <v>14</v>
      </c>
      <c r="J1200" s="2" t="s">
        <v>15</v>
      </c>
      <c r="K1200" s="2" t="s">
        <v>16</v>
      </c>
      <c r="L1200" s="2" t="s">
        <v>17</v>
      </c>
    </row>
    <row r="1201" spans="1:12" x14ac:dyDescent="0.25">
      <c r="A1201" s="3">
        <v>45705.484895833331</v>
      </c>
      <c r="B1201" t="s">
        <v>105</v>
      </c>
      <c r="C1201" s="3">
        <v>45705.512488425928</v>
      </c>
      <c r="D1201" t="s">
        <v>422</v>
      </c>
      <c r="E1201" s="4">
        <v>4.218</v>
      </c>
      <c r="F1201" s="4">
        <v>54562.493000000002</v>
      </c>
      <c r="G1201" s="4">
        <v>54566.711000000003</v>
      </c>
      <c r="H1201" s="5">
        <f>1359 / 86400</f>
        <v>1.5729166666666666E-2</v>
      </c>
      <c r="I1201" t="s">
        <v>206</v>
      </c>
      <c r="J1201" t="s">
        <v>153</v>
      </c>
      <c r="K1201" s="5">
        <f>2384 / 86400</f>
        <v>2.7592592592592592E-2</v>
      </c>
      <c r="L1201" s="5">
        <f>51725 / 86400</f>
        <v>0.59866898148148151</v>
      </c>
    </row>
    <row r="1202" spans="1:12" x14ac:dyDescent="0.25">
      <c r="A1202" s="3">
        <v>45705.626261574071</v>
      </c>
      <c r="B1202" t="s">
        <v>422</v>
      </c>
      <c r="C1202" s="3">
        <v>45705.644050925926</v>
      </c>
      <c r="D1202" t="s">
        <v>18</v>
      </c>
      <c r="E1202" s="4">
        <v>3.6829999999999998</v>
      </c>
      <c r="F1202" s="4">
        <v>54566.711000000003</v>
      </c>
      <c r="G1202" s="4">
        <v>54570.394</v>
      </c>
      <c r="H1202" s="5">
        <f>777 / 86400</f>
        <v>8.9930555555555562E-3</v>
      </c>
      <c r="I1202" t="s">
        <v>106</v>
      </c>
      <c r="J1202" t="s">
        <v>133</v>
      </c>
      <c r="K1202" s="5">
        <f>1537 / 86400</f>
        <v>1.7789351851851851E-2</v>
      </c>
      <c r="L1202" s="5">
        <f>12847 / 86400</f>
        <v>0.14869212962962963</v>
      </c>
    </row>
    <row r="1203" spans="1:12" x14ac:dyDescent="0.25">
      <c r="A1203" s="3">
        <v>45705.792743055557</v>
      </c>
      <c r="B1203" t="s">
        <v>18</v>
      </c>
      <c r="C1203" s="3">
        <v>45705.803217592591</v>
      </c>
      <c r="D1203" t="s">
        <v>423</v>
      </c>
      <c r="E1203" s="4">
        <v>2.714</v>
      </c>
      <c r="F1203" s="4">
        <v>54570.394</v>
      </c>
      <c r="G1203" s="4">
        <v>54573.108</v>
      </c>
      <c r="H1203" s="5">
        <f>238 / 86400</f>
        <v>2.7546296296296294E-3</v>
      </c>
      <c r="I1203" t="s">
        <v>157</v>
      </c>
      <c r="J1203" t="s">
        <v>45</v>
      </c>
      <c r="K1203" s="5">
        <f>905 / 86400</f>
        <v>1.0474537037037037E-2</v>
      </c>
      <c r="L1203" s="5">
        <f>17 / 86400</f>
        <v>1.9675925925925926E-4</v>
      </c>
    </row>
    <row r="1204" spans="1:12" x14ac:dyDescent="0.25">
      <c r="A1204" s="3">
        <v>45705.803414351853</v>
      </c>
      <c r="B1204" t="s">
        <v>423</v>
      </c>
      <c r="C1204" s="3">
        <v>45705.809259259258</v>
      </c>
      <c r="D1204" t="s">
        <v>56</v>
      </c>
      <c r="E1204" s="4">
        <v>1.222</v>
      </c>
      <c r="F1204" s="4">
        <v>54573.108</v>
      </c>
      <c r="G1204" s="4">
        <v>54574.33</v>
      </c>
      <c r="H1204" s="5">
        <f>200 / 86400</f>
        <v>2.3148148148148147E-3</v>
      </c>
      <c r="I1204" t="s">
        <v>199</v>
      </c>
      <c r="J1204" t="s">
        <v>133</v>
      </c>
      <c r="K1204" s="5">
        <f>505 / 86400</f>
        <v>5.8449074074074072E-3</v>
      </c>
      <c r="L1204" s="5">
        <f>16479 / 86400</f>
        <v>0.19072916666666667</v>
      </c>
    </row>
    <row r="1205" spans="1:12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</row>
    <row r="1206" spans="1:12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</row>
    <row r="1207" spans="1:12" s="10" customFormat="1" ht="20.100000000000001" customHeight="1" x14ac:dyDescent="0.35">
      <c r="A1207" s="12" t="s">
        <v>490</v>
      </c>
      <c r="B1207" s="12"/>
      <c r="C1207" s="12"/>
      <c r="D1207" s="12"/>
      <c r="E1207" s="12"/>
      <c r="F1207" s="12"/>
      <c r="G1207" s="12"/>
      <c r="H1207" s="12"/>
      <c r="I1207" s="12"/>
      <c r="J1207" s="12"/>
    </row>
    <row r="1208" spans="1:12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</row>
    <row r="1209" spans="1:12" ht="30" x14ac:dyDescent="0.25">
      <c r="A1209" s="2" t="s">
        <v>6</v>
      </c>
      <c r="B1209" s="2" t="s">
        <v>7</v>
      </c>
      <c r="C1209" s="2" t="s">
        <v>8</v>
      </c>
      <c r="D1209" s="2" t="s">
        <v>9</v>
      </c>
      <c r="E1209" s="2" t="s">
        <v>10</v>
      </c>
      <c r="F1209" s="2" t="s">
        <v>11</v>
      </c>
      <c r="G1209" s="2" t="s">
        <v>12</v>
      </c>
      <c r="H1209" s="2" t="s">
        <v>13</v>
      </c>
      <c r="I1209" s="2" t="s">
        <v>14</v>
      </c>
      <c r="J1209" s="2" t="s">
        <v>15</v>
      </c>
      <c r="K1209" s="2" t="s">
        <v>16</v>
      </c>
      <c r="L1209" s="2" t="s">
        <v>17</v>
      </c>
    </row>
    <row r="1210" spans="1:12" x14ac:dyDescent="0.25">
      <c r="A1210" s="3">
        <v>45705.466678240744</v>
      </c>
      <c r="B1210" t="s">
        <v>108</v>
      </c>
      <c r="C1210" s="3">
        <v>45705.476979166662</v>
      </c>
      <c r="D1210" t="s">
        <v>424</v>
      </c>
      <c r="E1210" s="4">
        <v>1.0529999999999999</v>
      </c>
      <c r="F1210" s="4">
        <v>46465.338000000003</v>
      </c>
      <c r="G1210" s="4">
        <v>46466.391000000003</v>
      </c>
      <c r="H1210" s="5">
        <f>620 / 86400</f>
        <v>7.1759259259259259E-3</v>
      </c>
      <c r="I1210" t="s">
        <v>216</v>
      </c>
      <c r="J1210" t="s">
        <v>148</v>
      </c>
      <c r="K1210" s="5">
        <f>890 / 86400</f>
        <v>1.0300925925925925E-2</v>
      </c>
      <c r="L1210" s="5">
        <f>40520 / 86400</f>
        <v>0.4689814814814815</v>
      </c>
    </row>
    <row r="1211" spans="1:12" x14ac:dyDescent="0.25">
      <c r="A1211" s="3">
        <v>45705.47928240741</v>
      </c>
      <c r="B1211" t="s">
        <v>424</v>
      </c>
      <c r="C1211" s="3">
        <v>45705.492685185185</v>
      </c>
      <c r="D1211" t="s">
        <v>417</v>
      </c>
      <c r="E1211" s="4">
        <v>10.045</v>
      </c>
      <c r="F1211" s="4">
        <v>46466.391000000003</v>
      </c>
      <c r="G1211" s="4">
        <v>46476.436000000002</v>
      </c>
      <c r="H1211" s="5">
        <f>100 / 86400</f>
        <v>1.1574074074074073E-3</v>
      </c>
      <c r="I1211" t="s">
        <v>44</v>
      </c>
      <c r="J1211" t="s">
        <v>145</v>
      </c>
      <c r="K1211" s="5">
        <f>1158 / 86400</f>
        <v>1.3402777777777777E-2</v>
      </c>
      <c r="L1211" s="5">
        <f>10588 / 86400</f>
        <v>0.12254629629629629</v>
      </c>
    </row>
    <row r="1212" spans="1:12" x14ac:dyDescent="0.25">
      <c r="A1212" s="3">
        <v>45705.615231481483</v>
      </c>
      <c r="B1212" t="s">
        <v>100</v>
      </c>
      <c r="C1212" s="3">
        <v>45705.619398148148</v>
      </c>
      <c r="D1212" t="s">
        <v>425</v>
      </c>
      <c r="E1212" s="4">
        <v>7.3999999999999996E-2</v>
      </c>
      <c r="F1212" s="4">
        <v>46476.436000000002</v>
      </c>
      <c r="G1212" s="4">
        <v>46476.51</v>
      </c>
      <c r="H1212" s="5">
        <f>320 / 86400</f>
        <v>3.7037037037037038E-3</v>
      </c>
      <c r="I1212" t="s">
        <v>151</v>
      </c>
      <c r="J1212" t="s">
        <v>144</v>
      </c>
      <c r="K1212" s="5">
        <f>360 / 86400</f>
        <v>4.1666666666666666E-3</v>
      </c>
      <c r="L1212" s="5">
        <f>585 / 86400</f>
        <v>6.7708333333333336E-3</v>
      </c>
    </row>
    <row r="1213" spans="1:12" x14ac:dyDescent="0.25">
      <c r="A1213" s="3">
        <v>45705.626168981486</v>
      </c>
      <c r="B1213" t="s">
        <v>425</v>
      </c>
      <c r="C1213" s="3">
        <v>45705.661747685182</v>
      </c>
      <c r="D1213" t="s">
        <v>426</v>
      </c>
      <c r="E1213" s="4">
        <v>9.68</v>
      </c>
      <c r="F1213" s="4">
        <v>46476.51</v>
      </c>
      <c r="G1213" s="4">
        <v>46486.19</v>
      </c>
      <c r="H1213" s="5">
        <f>1498 / 86400</f>
        <v>1.7337962962962961E-2</v>
      </c>
      <c r="I1213" t="s">
        <v>199</v>
      </c>
      <c r="J1213" t="s">
        <v>45</v>
      </c>
      <c r="K1213" s="5">
        <f>3074 / 86400</f>
        <v>3.5578703703703703E-2</v>
      </c>
      <c r="L1213" s="5">
        <f>7746 / 86400</f>
        <v>8.9652777777777776E-2</v>
      </c>
    </row>
    <row r="1214" spans="1:12" x14ac:dyDescent="0.25">
      <c r="A1214" s="3">
        <v>45705.751400462963</v>
      </c>
      <c r="B1214" t="s">
        <v>426</v>
      </c>
      <c r="C1214" s="3">
        <v>45705.800625000003</v>
      </c>
      <c r="D1214" t="s">
        <v>411</v>
      </c>
      <c r="E1214" s="4">
        <v>19.797999999999998</v>
      </c>
      <c r="F1214" s="4">
        <v>46486.19</v>
      </c>
      <c r="G1214" s="4">
        <v>46505.987999999998</v>
      </c>
      <c r="H1214" s="5">
        <f>1839 / 86400</f>
        <v>2.1284722222222222E-2</v>
      </c>
      <c r="I1214" t="s">
        <v>167</v>
      </c>
      <c r="J1214" t="s">
        <v>32</v>
      </c>
      <c r="K1214" s="5">
        <f>4253 / 86400</f>
        <v>4.9224537037037039E-2</v>
      </c>
      <c r="L1214" s="5">
        <f>27 / 86400</f>
        <v>3.1250000000000001E-4</v>
      </c>
    </row>
    <row r="1215" spans="1:12" x14ac:dyDescent="0.25">
      <c r="A1215" s="3">
        <v>45705.800937499997</v>
      </c>
      <c r="B1215" t="s">
        <v>411</v>
      </c>
      <c r="C1215" s="3">
        <v>45705.803807870368</v>
      </c>
      <c r="D1215" t="s">
        <v>427</v>
      </c>
      <c r="E1215" s="4">
        <v>1.3120000000000001</v>
      </c>
      <c r="F1215" s="4">
        <v>46505.987999999998</v>
      </c>
      <c r="G1215" s="4">
        <v>46507.3</v>
      </c>
      <c r="H1215" s="5">
        <f>57 / 86400</f>
        <v>6.5972222222222224E-4</v>
      </c>
      <c r="I1215" t="s">
        <v>240</v>
      </c>
      <c r="J1215" t="s">
        <v>27</v>
      </c>
      <c r="K1215" s="5">
        <f>248 / 86400</f>
        <v>2.8703703703703703E-3</v>
      </c>
      <c r="L1215" s="5">
        <f>353 / 86400</f>
        <v>4.0856481481481481E-3</v>
      </c>
    </row>
    <row r="1216" spans="1:12" x14ac:dyDescent="0.25">
      <c r="A1216" s="3">
        <v>45705.807893518519</v>
      </c>
      <c r="B1216" t="s">
        <v>427</v>
      </c>
      <c r="C1216" s="3">
        <v>45705.811365740738</v>
      </c>
      <c r="D1216" t="s">
        <v>428</v>
      </c>
      <c r="E1216" s="4">
        <v>0.79500000000000004</v>
      </c>
      <c r="F1216" s="4">
        <v>46507.3</v>
      </c>
      <c r="G1216" s="4">
        <v>46508.095000000001</v>
      </c>
      <c r="H1216" s="5">
        <f>60 / 86400</f>
        <v>6.9444444444444447E-4</v>
      </c>
      <c r="I1216" t="s">
        <v>32</v>
      </c>
      <c r="J1216" t="s">
        <v>118</v>
      </c>
      <c r="K1216" s="5">
        <f>300 / 86400</f>
        <v>3.472222222222222E-3</v>
      </c>
      <c r="L1216" s="5">
        <f>186 / 86400</f>
        <v>2.1527777777777778E-3</v>
      </c>
    </row>
    <row r="1217" spans="1:12" x14ac:dyDescent="0.25">
      <c r="A1217" s="3">
        <v>45705.813518518524</v>
      </c>
      <c r="B1217" t="s">
        <v>428</v>
      </c>
      <c r="C1217" s="3">
        <v>45705.814895833333</v>
      </c>
      <c r="D1217" t="s">
        <v>109</v>
      </c>
      <c r="E1217" s="4">
        <v>0.28100000000000003</v>
      </c>
      <c r="F1217" s="4">
        <v>46508.095000000001</v>
      </c>
      <c r="G1217" s="4">
        <v>46508.375999999997</v>
      </c>
      <c r="H1217" s="5">
        <f>20 / 86400</f>
        <v>2.3148148148148149E-4</v>
      </c>
      <c r="I1217" t="s">
        <v>30</v>
      </c>
      <c r="J1217" t="s">
        <v>133</v>
      </c>
      <c r="K1217" s="5">
        <f>119 / 86400</f>
        <v>1.3773148148148147E-3</v>
      </c>
      <c r="L1217" s="5">
        <f>85 / 86400</f>
        <v>9.837962962962962E-4</v>
      </c>
    </row>
    <row r="1218" spans="1:12" x14ac:dyDescent="0.25">
      <c r="A1218" s="3">
        <v>45705.815879629634</v>
      </c>
      <c r="B1218" t="s">
        <v>109</v>
      </c>
      <c r="C1218" s="3">
        <v>45705.816689814819</v>
      </c>
      <c r="D1218" t="s">
        <v>109</v>
      </c>
      <c r="E1218" s="4">
        <v>0</v>
      </c>
      <c r="F1218" s="4">
        <v>46508.375999999997</v>
      </c>
      <c r="G1218" s="4">
        <v>46508.375999999997</v>
      </c>
      <c r="H1218" s="5">
        <f>57 / 86400</f>
        <v>6.5972222222222224E-4</v>
      </c>
      <c r="I1218" t="s">
        <v>73</v>
      </c>
      <c r="J1218" t="s">
        <v>73</v>
      </c>
      <c r="K1218" s="5">
        <f>70 / 86400</f>
        <v>8.1018518518518516E-4</v>
      </c>
      <c r="L1218" s="5">
        <f>2102 / 86400</f>
        <v>2.4328703703703703E-2</v>
      </c>
    </row>
    <row r="1219" spans="1:12" x14ac:dyDescent="0.25">
      <c r="A1219" s="3">
        <v>45705.84101851852</v>
      </c>
      <c r="B1219" t="s">
        <v>109</v>
      </c>
      <c r="C1219" s="3">
        <v>45705.841134259259</v>
      </c>
      <c r="D1219" t="s">
        <v>109</v>
      </c>
      <c r="E1219" s="4">
        <v>0</v>
      </c>
      <c r="F1219" s="4">
        <v>46508.375999999997</v>
      </c>
      <c r="G1219" s="4">
        <v>46508.375999999997</v>
      </c>
      <c r="H1219" s="5">
        <f>0 / 86400</f>
        <v>0</v>
      </c>
      <c r="I1219" t="s">
        <v>73</v>
      </c>
      <c r="J1219" t="s">
        <v>73</v>
      </c>
      <c r="K1219" s="5">
        <f>10 / 86400</f>
        <v>1.1574074074074075E-4</v>
      </c>
      <c r="L1219" s="5">
        <f>1198 / 86400</f>
        <v>1.3865740740740741E-2</v>
      </c>
    </row>
    <row r="1220" spans="1:12" x14ac:dyDescent="0.25">
      <c r="A1220" s="3">
        <v>45705.854999999996</v>
      </c>
      <c r="B1220" t="s">
        <v>109</v>
      </c>
      <c r="C1220" s="3">
        <v>45705.855138888888</v>
      </c>
      <c r="D1220" t="s">
        <v>109</v>
      </c>
      <c r="E1220" s="4">
        <v>0</v>
      </c>
      <c r="F1220" s="4">
        <v>46508.375999999997</v>
      </c>
      <c r="G1220" s="4">
        <v>46508.375999999997</v>
      </c>
      <c r="H1220" s="5">
        <f>0 / 86400</f>
        <v>0</v>
      </c>
      <c r="I1220" t="s">
        <v>73</v>
      </c>
      <c r="J1220" t="s">
        <v>73</v>
      </c>
      <c r="K1220" s="5">
        <f>12 / 86400</f>
        <v>1.3888888888888889E-4</v>
      </c>
      <c r="L1220" s="5">
        <f>12515 / 86400</f>
        <v>0.14484953703703704</v>
      </c>
    </row>
    <row r="1221" spans="1:12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</row>
    <row r="1222" spans="1:12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</row>
    <row r="1223" spans="1:12" s="10" customFormat="1" ht="20.100000000000001" customHeight="1" x14ac:dyDescent="0.35">
      <c r="A1223" s="12" t="s">
        <v>491</v>
      </c>
      <c r="B1223" s="12"/>
      <c r="C1223" s="12"/>
      <c r="D1223" s="12"/>
      <c r="E1223" s="12"/>
      <c r="F1223" s="12"/>
      <c r="G1223" s="12"/>
      <c r="H1223" s="12"/>
      <c r="I1223" s="12"/>
      <c r="J1223" s="12"/>
    </row>
    <row r="1224" spans="1:12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</row>
    <row r="1225" spans="1:12" ht="30" x14ac:dyDescent="0.25">
      <c r="A1225" s="2" t="s">
        <v>6</v>
      </c>
      <c r="B1225" s="2" t="s">
        <v>7</v>
      </c>
      <c r="C1225" s="2" t="s">
        <v>8</v>
      </c>
      <c r="D1225" s="2" t="s">
        <v>9</v>
      </c>
      <c r="E1225" s="2" t="s">
        <v>10</v>
      </c>
      <c r="F1225" s="2" t="s">
        <v>11</v>
      </c>
      <c r="G1225" s="2" t="s">
        <v>12</v>
      </c>
      <c r="H1225" s="2" t="s">
        <v>13</v>
      </c>
      <c r="I1225" s="2" t="s">
        <v>14</v>
      </c>
      <c r="J1225" s="2" t="s">
        <v>15</v>
      </c>
      <c r="K1225" s="2" t="s">
        <v>16</v>
      </c>
      <c r="L1225" s="2" t="s">
        <v>17</v>
      </c>
    </row>
    <row r="1226" spans="1:12" x14ac:dyDescent="0.25">
      <c r="A1226" s="3">
        <v>45705.155717592592</v>
      </c>
      <c r="B1226" t="s">
        <v>110</v>
      </c>
      <c r="C1226" s="3">
        <v>45705.17114583333</v>
      </c>
      <c r="D1226" t="s">
        <v>114</v>
      </c>
      <c r="E1226" s="4">
        <v>2.2599999999999998</v>
      </c>
      <c r="F1226" s="4">
        <v>79579.065000000002</v>
      </c>
      <c r="G1226" s="4">
        <v>79581.324999999997</v>
      </c>
      <c r="H1226" s="5">
        <f>1057 / 86400</f>
        <v>1.2233796296296296E-2</v>
      </c>
      <c r="I1226" t="s">
        <v>181</v>
      </c>
      <c r="J1226" t="s">
        <v>153</v>
      </c>
      <c r="K1226" s="5">
        <f>1333 / 86400</f>
        <v>1.5428240740740741E-2</v>
      </c>
      <c r="L1226" s="5">
        <f>13569 / 86400</f>
        <v>0.15704861111111112</v>
      </c>
    </row>
    <row r="1227" spans="1:12" x14ac:dyDescent="0.25">
      <c r="A1227" s="3">
        <v>45705.172476851847</v>
      </c>
      <c r="B1227" t="s">
        <v>114</v>
      </c>
      <c r="C1227" s="3">
        <v>45705.32534722222</v>
      </c>
      <c r="D1227" t="s">
        <v>161</v>
      </c>
      <c r="E1227" s="4">
        <v>98.414000000000001</v>
      </c>
      <c r="F1227" s="4">
        <v>79581.324999999997</v>
      </c>
      <c r="G1227" s="4">
        <v>79679.739000000001</v>
      </c>
      <c r="H1227" s="5">
        <f>2397 / 86400</f>
        <v>2.7743055555555556E-2</v>
      </c>
      <c r="I1227" t="s">
        <v>34</v>
      </c>
      <c r="J1227" t="s">
        <v>232</v>
      </c>
      <c r="K1227" s="5">
        <f>13208 / 86400</f>
        <v>0.15287037037037038</v>
      </c>
      <c r="L1227" s="5">
        <f>19 / 86400</f>
        <v>2.199074074074074E-4</v>
      </c>
    </row>
    <row r="1228" spans="1:12" x14ac:dyDescent="0.25">
      <c r="A1228" s="3">
        <v>45705.325567129628</v>
      </c>
      <c r="B1228" t="s">
        <v>161</v>
      </c>
      <c r="C1228" s="3">
        <v>45705.328657407408</v>
      </c>
      <c r="D1228" t="s">
        <v>80</v>
      </c>
      <c r="E1228" s="4">
        <v>0.91100000000000003</v>
      </c>
      <c r="F1228" s="4">
        <v>79679.739000000001</v>
      </c>
      <c r="G1228" s="4">
        <v>79680.649999999994</v>
      </c>
      <c r="H1228" s="5">
        <f>80 / 86400</f>
        <v>9.2592592592592596E-4</v>
      </c>
      <c r="I1228" t="s">
        <v>248</v>
      </c>
      <c r="J1228" t="s">
        <v>162</v>
      </c>
      <c r="K1228" s="5">
        <f>267 / 86400</f>
        <v>3.0902777777777777E-3</v>
      </c>
      <c r="L1228" s="5">
        <f>616 / 86400</f>
        <v>7.1296296296296299E-3</v>
      </c>
    </row>
    <row r="1229" spans="1:12" x14ac:dyDescent="0.25">
      <c r="A1229" s="3">
        <v>45705.335787037038</v>
      </c>
      <c r="B1229" t="s">
        <v>80</v>
      </c>
      <c r="C1229" s="3">
        <v>45705.336770833332</v>
      </c>
      <c r="D1229" t="s">
        <v>161</v>
      </c>
      <c r="E1229" s="4">
        <v>0.108</v>
      </c>
      <c r="F1229" s="4">
        <v>79680.649999999994</v>
      </c>
      <c r="G1229" s="4">
        <v>79680.758000000002</v>
      </c>
      <c r="H1229" s="5">
        <f>77 / 86400</f>
        <v>8.9120370370370373E-4</v>
      </c>
      <c r="I1229" t="s">
        <v>153</v>
      </c>
      <c r="J1229" t="s">
        <v>142</v>
      </c>
      <c r="K1229" s="5">
        <f>85 / 86400</f>
        <v>9.837962962962962E-4</v>
      </c>
      <c r="L1229" s="5">
        <f>14 / 86400</f>
        <v>1.6203703703703703E-4</v>
      </c>
    </row>
    <row r="1230" spans="1:12" x14ac:dyDescent="0.25">
      <c r="A1230" s="3">
        <v>45705.33693287037</v>
      </c>
      <c r="B1230" t="s">
        <v>161</v>
      </c>
      <c r="C1230" s="3">
        <v>45705.339675925927</v>
      </c>
      <c r="D1230" t="s">
        <v>128</v>
      </c>
      <c r="E1230" s="4">
        <v>1.1739999999999999</v>
      </c>
      <c r="F1230" s="4">
        <v>79680.758000000002</v>
      </c>
      <c r="G1230" s="4">
        <v>79681.932000000001</v>
      </c>
      <c r="H1230" s="5">
        <f>20 / 86400</f>
        <v>2.3148148148148149E-4</v>
      </c>
      <c r="I1230" t="s">
        <v>157</v>
      </c>
      <c r="J1230" t="s">
        <v>23</v>
      </c>
      <c r="K1230" s="5">
        <f>237 / 86400</f>
        <v>2.7430555555555554E-3</v>
      </c>
      <c r="L1230" s="5">
        <f>826 / 86400</f>
        <v>9.5601851851851855E-3</v>
      </c>
    </row>
    <row r="1231" spans="1:12" x14ac:dyDescent="0.25">
      <c r="A1231" s="3">
        <v>45705.349236111113</v>
      </c>
      <c r="B1231" t="s">
        <v>128</v>
      </c>
      <c r="C1231" s="3">
        <v>45705.558449074073</v>
      </c>
      <c r="D1231" t="s">
        <v>80</v>
      </c>
      <c r="E1231" s="4">
        <v>100.746</v>
      </c>
      <c r="F1231" s="4">
        <v>79681.932000000001</v>
      </c>
      <c r="G1231" s="4">
        <v>79782.678</v>
      </c>
      <c r="H1231" s="5">
        <f>5296 / 86400</f>
        <v>6.1296296296296293E-2</v>
      </c>
      <c r="I1231" t="s">
        <v>26</v>
      </c>
      <c r="J1231" t="s">
        <v>20</v>
      </c>
      <c r="K1231" s="5">
        <f>18076 / 86400</f>
        <v>0.20921296296296296</v>
      </c>
      <c r="L1231" s="5">
        <f>190 / 86400</f>
        <v>2.1990740740740742E-3</v>
      </c>
    </row>
    <row r="1232" spans="1:12" x14ac:dyDescent="0.25">
      <c r="A1232" s="3">
        <v>45705.560648148152</v>
      </c>
      <c r="B1232" t="s">
        <v>80</v>
      </c>
      <c r="C1232" s="3">
        <v>45705.562106481477</v>
      </c>
      <c r="D1232" t="s">
        <v>80</v>
      </c>
      <c r="E1232" s="4">
        <v>0.20200000000000001</v>
      </c>
      <c r="F1232" s="4">
        <v>79782.678</v>
      </c>
      <c r="G1232" s="4">
        <v>79782.880000000005</v>
      </c>
      <c r="H1232" s="5">
        <f>80 / 86400</f>
        <v>9.2592592592592596E-4</v>
      </c>
      <c r="I1232" t="s">
        <v>129</v>
      </c>
      <c r="J1232" t="s">
        <v>153</v>
      </c>
      <c r="K1232" s="5">
        <f>126 / 86400</f>
        <v>1.4583333333333334E-3</v>
      </c>
      <c r="L1232" s="5">
        <f>197 / 86400</f>
        <v>2.2800925925925927E-3</v>
      </c>
    </row>
    <row r="1233" spans="1:12" x14ac:dyDescent="0.25">
      <c r="A1233" s="3">
        <v>45705.564386574071</v>
      </c>
      <c r="B1233" t="s">
        <v>80</v>
      </c>
      <c r="C1233" s="3">
        <v>45705.565081018518</v>
      </c>
      <c r="D1233" t="s">
        <v>137</v>
      </c>
      <c r="E1233" s="4">
        <v>0.26100000000000001</v>
      </c>
      <c r="F1233" s="4">
        <v>79782.880000000005</v>
      </c>
      <c r="G1233" s="4">
        <v>79783.141000000003</v>
      </c>
      <c r="H1233" s="5">
        <f>0 / 86400</f>
        <v>0</v>
      </c>
      <c r="I1233" t="s">
        <v>199</v>
      </c>
      <c r="J1233" t="s">
        <v>62</v>
      </c>
      <c r="K1233" s="5">
        <f>60 / 86400</f>
        <v>6.9444444444444447E-4</v>
      </c>
      <c r="L1233" s="5">
        <f>619 / 86400</f>
        <v>7.1643518518518514E-3</v>
      </c>
    </row>
    <row r="1234" spans="1:12" x14ac:dyDescent="0.25">
      <c r="A1234" s="3">
        <v>45705.572245370371</v>
      </c>
      <c r="B1234" t="s">
        <v>137</v>
      </c>
      <c r="C1234" s="3">
        <v>45705.573819444442</v>
      </c>
      <c r="D1234" t="s">
        <v>80</v>
      </c>
      <c r="E1234" s="4">
        <v>0.24399999999999999</v>
      </c>
      <c r="F1234" s="4">
        <v>79783.141000000003</v>
      </c>
      <c r="G1234" s="4">
        <v>79783.384999999995</v>
      </c>
      <c r="H1234" s="5">
        <f>18 / 86400</f>
        <v>2.0833333333333335E-4</v>
      </c>
      <c r="I1234" t="s">
        <v>135</v>
      </c>
      <c r="J1234" t="s">
        <v>153</v>
      </c>
      <c r="K1234" s="5">
        <f>136 / 86400</f>
        <v>1.5740740740740741E-3</v>
      </c>
      <c r="L1234" s="5">
        <f>125 / 86400</f>
        <v>1.4467592592592592E-3</v>
      </c>
    </row>
    <row r="1235" spans="1:12" x14ac:dyDescent="0.25">
      <c r="A1235" s="3">
        <v>45705.575266203705</v>
      </c>
      <c r="B1235" t="s">
        <v>80</v>
      </c>
      <c r="C1235" s="3">
        <v>45705.576550925922</v>
      </c>
      <c r="D1235" t="s">
        <v>80</v>
      </c>
      <c r="E1235" s="4">
        <v>0</v>
      </c>
      <c r="F1235" s="4">
        <v>79783.384999999995</v>
      </c>
      <c r="G1235" s="4">
        <v>79783.384999999995</v>
      </c>
      <c r="H1235" s="5">
        <f>97 / 86400</f>
        <v>1.1226851851851851E-3</v>
      </c>
      <c r="I1235" t="s">
        <v>73</v>
      </c>
      <c r="J1235" t="s">
        <v>73</v>
      </c>
      <c r="K1235" s="5">
        <f>111 / 86400</f>
        <v>1.2847222222222223E-3</v>
      </c>
      <c r="L1235" s="5">
        <f>871 / 86400</f>
        <v>1.0081018518518519E-2</v>
      </c>
    </row>
    <row r="1236" spans="1:12" x14ac:dyDescent="0.25">
      <c r="A1236" s="3">
        <v>45705.586631944447</v>
      </c>
      <c r="B1236" t="s">
        <v>80</v>
      </c>
      <c r="C1236" s="3">
        <v>45705.588252314818</v>
      </c>
      <c r="D1236" t="s">
        <v>80</v>
      </c>
      <c r="E1236" s="4">
        <v>0</v>
      </c>
      <c r="F1236" s="4">
        <v>79783.384999999995</v>
      </c>
      <c r="G1236" s="4">
        <v>79783.384999999995</v>
      </c>
      <c r="H1236" s="5">
        <f>118 / 86400</f>
        <v>1.3657407407407407E-3</v>
      </c>
      <c r="I1236" t="s">
        <v>73</v>
      </c>
      <c r="J1236" t="s">
        <v>73</v>
      </c>
      <c r="K1236" s="5">
        <f>140 / 86400</f>
        <v>1.6203703703703703E-3</v>
      </c>
      <c r="L1236" s="5">
        <f>666 / 86400</f>
        <v>7.7083333333333335E-3</v>
      </c>
    </row>
    <row r="1237" spans="1:12" x14ac:dyDescent="0.25">
      <c r="A1237" s="3">
        <v>45705.595960648148</v>
      </c>
      <c r="B1237" t="s">
        <v>80</v>
      </c>
      <c r="C1237" s="3">
        <v>45705.596701388888</v>
      </c>
      <c r="D1237" t="s">
        <v>80</v>
      </c>
      <c r="E1237" s="4">
        <v>0</v>
      </c>
      <c r="F1237" s="4">
        <v>79783.384999999995</v>
      </c>
      <c r="G1237" s="4">
        <v>79783.384999999995</v>
      </c>
      <c r="H1237" s="5">
        <f>58 / 86400</f>
        <v>6.7129629629629625E-4</v>
      </c>
      <c r="I1237" t="s">
        <v>73</v>
      </c>
      <c r="J1237" t="s">
        <v>73</v>
      </c>
      <c r="K1237" s="5">
        <f>64 / 86400</f>
        <v>7.407407407407407E-4</v>
      </c>
      <c r="L1237" s="5">
        <f>205 / 86400</f>
        <v>2.3726851851851851E-3</v>
      </c>
    </row>
    <row r="1238" spans="1:12" x14ac:dyDescent="0.25">
      <c r="A1238" s="3">
        <v>45705.599074074074</v>
      </c>
      <c r="B1238" t="s">
        <v>80</v>
      </c>
      <c r="C1238" s="3">
        <v>45705.703541666662</v>
      </c>
      <c r="D1238" t="s">
        <v>138</v>
      </c>
      <c r="E1238" s="4">
        <v>46.183999999999997</v>
      </c>
      <c r="F1238" s="4">
        <v>79783.384999999995</v>
      </c>
      <c r="G1238" s="4">
        <v>79829.569000000003</v>
      </c>
      <c r="H1238" s="5">
        <f>2839 / 86400</f>
        <v>3.2858796296296296E-2</v>
      </c>
      <c r="I1238" t="s">
        <v>34</v>
      </c>
      <c r="J1238" t="s">
        <v>23</v>
      </c>
      <c r="K1238" s="5">
        <f>9026 / 86400</f>
        <v>0.1044675925925926</v>
      </c>
      <c r="L1238" s="5">
        <f>5090 / 86400</f>
        <v>5.8912037037037034E-2</v>
      </c>
    </row>
    <row r="1239" spans="1:12" x14ac:dyDescent="0.25">
      <c r="A1239" s="3">
        <v>45705.762453703705</v>
      </c>
      <c r="B1239" t="s">
        <v>138</v>
      </c>
      <c r="C1239" s="3">
        <v>45705.887476851851</v>
      </c>
      <c r="D1239" t="s">
        <v>80</v>
      </c>
      <c r="E1239" s="4">
        <v>47.9</v>
      </c>
      <c r="F1239" s="4">
        <v>79829.569000000003</v>
      </c>
      <c r="G1239" s="4">
        <v>79877.468999999997</v>
      </c>
      <c r="H1239" s="5">
        <f>3819 / 86400</f>
        <v>4.4201388888888887E-2</v>
      </c>
      <c r="I1239" t="s">
        <v>47</v>
      </c>
      <c r="J1239" t="s">
        <v>62</v>
      </c>
      <c r="K1239" s="5">
        <f>10802 / 86400</f>
        <v>0.12502314814814816</v>
      </c>
      <c r="L1239" s="5">
        <f>388 / 86400</f>
        <v>4.4907407407407405E-3</v>
      </c>
    </row>
    <row r="1240" spans="1:12" x14ac:dyDescent="0.25">
      <c r="A1240" s="3">
        <v>45705.891967592594</v>
      </c>
      <c r="B1240" t="s">
        <v>137</v>
      </c>
      <c r="C1240" s="3">
        <v>45705.897314814814</v>
      </c>
      <c r="D1240" t="s">
        <v>110</v>
      </c>
      <c r="E1240" s="4">
        <v>1.014</v>
      </c>
      <c r="F1240" s="4">
        <v>79877.468999999997</v>
      </c>
      <c r="G1240" s="4">
        <v>79878.482999999993</v>
      </c>
      <c r="H1240" s="5">
        <f>204 / 86400</f>
        <v>2.3611111111111111E-3</v>
      </c>
      <c r="I1240" t="s">
        <v>232</v>
      </c>
      <c r="J1240" t="s">
        <v>107</v>
      </c>
      <c r="K1240" s="5">
        <f>462 / 86400</f>
        <v>5.347222222222222E-3</v>
      </c>
      <c r="L1240" s="5">
        <f>8871 / 86400</f>
        <v>0.1026736111111111</v>
      </c>
    </row>
    <row r="1241" spans="1:12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</row>
    <row r="1242" spans="1:12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</row>
    <row r="1243" spans="1:12" s="10" customFormat="1" ht="20.100000000000001" customHeight="1" x14ac:dyDescent="0.35">
      <c r="A1243" s="12" t="s">
        <v>492</v>
      </c>
      <c r="B1243" s="12"/>
      <c r="C1243" s="12"/>
      <c r="D1243" s="12"/>
      <c r="E1243" s="12"/>
      <c r="F1243" s="12"/>
      <c r="G1243" s="12"/>
      <c r="H1243" s="12"/>
      <c r="I1243" s="12"/>
      <c r="J1243" s="12"/>
    </row>
    <row r="1244" spans="1:12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</row>
    <row r="1245" spans="1:12" ht="30" x14ac:dyDescent="0.25">
      <c r="A1245" s="2" t="s">
        <v>6</v>
      </c>
      <c r="B1245" s="2" t="s">
        <v>7</v>
      </c>
      <c r="C1245" s="2" t="s">
        <v>8</v>
      </c>
      <c r="D1245" s="2" t="s">
        <v>9</v>
      </c>
      <c r="E1245" s="2" t="s">
        <v>10</v>
      </c>
      <c r="F1245" s="2" t="s">
        <v>11</v>
      </c>
      <c r="G1245" s="2" t="s">
        <v>12</v>
      </c>
      <c r="H1245" s="2" t="s">
        <v>13</v>
      </c>
      <c r="I1245" s="2" t="s">
        <v>14</v>
      </c>
      <c r="J1245" s="2" t="s">
        <v>15</v>
      </c>
      <c r="K1245" s="2" t="s">
        <v>16</v>
      </c>
      <c r="L1245" s="2" t="s">
        <v>17</v>
      </c>
    </row>
    <row r="1246" spans="1:12" x14ac:dyDescent="0.25">
      <c r="A1246" s="3">
        <v>45705.008101851854</v>
      </c>
      <c r="B1246" t="s">
        <v>111</v>
      </c>
      <c r="C1246" s="3">
        <v>45705.009421296301</v>
      </c>
      <c r="D1246" t="s">
        <v>201</v>
      </c>
      <c r="E1246" s="4">
        <v>8.9999999999999993E-3</v>
      </c>
      <c r="F1246" s="4">
        <v>41591.440999999999</v>
      </c>
      <c r="G1246" s="4">
        <v>41591.449999999997</v>
      </c>
      <c r="H1246" s="5">
        <f>90 / 86400</f>
        <v>1.0416666666666667E-3</v>
      </c>
      <c r="I1246" t="s">
        <v>142</v>
      </c>
      <c r="J1246" t="s">
        <v>73</v>
      </c>
      <c r="K1246" s="5">
        <f>114 / 86400</f>
        <v>1.3194444444444445E-3</v>
      </c>
      <c r="L1246" s="5">
        <f>856 / 86400</f>
        <v>9.9074074074074082E-3</v>
      </c>
    </row>
    <row r="1247" spans="1:12" x14ac:dyDescent="0.25">
      <c r="A1247" s="3">
        <v>45705.011226851857</v>
      </c>
      <c r="B1247" t="s">
        <v>201</v>
      </c>
      <c r="C1247" s="3">
        <v>45705.018912037034</v>
      </c>
      <c r="D1247" t="s">
        <v>429</v>
      </c>
      <c r="E1247" s="4">
        <v>3.4060000000000001</v>
      </c>
      <c r="F1247" s="4">
        <v>41591.449999999997</v>
      </c>
      <c r="G1247" s="4">
        <v>41594.856</v>
      </c>
      <c r="H1247" s="5">
        <f>180 / 86400</f>
        <v>2.0833333333333333E-3</v>
      </c>
      <c r="I1247" t="s">
        <v>215</v>
      </c>
      <c r="J1247" t="s">
        <v>23</v>
      </c>
      <c r="K1247" s="5">
        <f>664 / 86400</f>
        <v>7.6851851851851855E-3</v>
      </c>
      <c r="L1247" s="5">
        <f>14326 / 86400</f>
        <v>0.16581018518518517</v>
      </c>
    </row>
    <row r="1248" spans="1:12" x14ac:dyDescent="0.25">
      <c r="A1248" s="3">
        <v>45705.18472222222</v>
      </c>
      <c r="B1248" t="s">
        <v>429</v>
      </c>
      <c r="C1248" s="3">
        <v>45705.364432870367</v>
      </c>
      <c r="D1248" t="s">
        <v>94</v>
      </c>
      <c r="E1248" s="4">
        <v>89.837999999999994</v>
      </c>
      <c r="F1248" s="4">
        <v>41594.856</v>
      </c>
      <c r="G1248" s="4">
        <v>41684.694000000003</v>
      </c>
      <c r="H1248" s="5">
        <f>4140 / 86400</f>
        <v>4.791666666666667E-2</v>
      </c>
      <c r="I1248" t="s">
        <v>26</v>
      </c>
      <c r="J1248" t="s">
        <v>38</v>
      </c>
      <c r="K1248" s="5">
        <f>15527 / 86400</f>
        <v>0.17971064814814816</v>
      </c>
      <c r="L1248" s="5">
        <f>1971 / 86400</f>
        <v>2.2812499999999999E-2</v>
      </c>
    </row>
    <row r="1249" spans="1:12" x14ac:dyDescent="0.25">
      <c r="A1249" s="3">
        <v>45705.387245370366</v>
      </c>
      <c r="B1249" t="s">
        <v>94</v>
      </c>
      <c r="C1249" s="3">
        <v>45705.39466435185</v>
      </c>
      <c r="D1249" t="s">
        <v>137</v>
      </c>
      <c r="E1249" s="4">
        <v>1.208</v>
      </c>
      <c r="F1249" s="4">
        <v>41684.694000000003</v>
      </c>
      <c r="G1249" s="4">
        <v>41685.902000000002</v>
      </c>
      <c r="H1249" s="5">
        <f>420 / 86400</f>
        <v>4.8611111111111112E-3</v>
      </c>
      <c r="I1249" t="s">
        <v>216</v>
      </c>
      <c r="J1249" t="s">
        <v>151</v>
      </c>
      <c r="K1249" s="5">
        <f>641 / 86400</f>
        <v>7.4189814814814813E-3</v>
      </c>
      <c r="L1249" s="5">
        <f>400 / 86400</f>
        <v>4.6296296296296294E-3</v>
      </c>
    </row>
    <row r="1250" spans="1:12" x14ac:dyDescent="0.25">
      <c r="A1250" s="3">
        <v>45705.399293981478</v>
      </c>
      <c r="B1250" t="s">
        <v>137</v>
      </c>
      <c r="C1250" s="3">
        <v>45705.402557870373</v>
      </c>
      <c r="D1250" t="s">
        <v>130</v>
      </c>
      <c r="E1250" s="4">
        <v>0.90800000000000003</v>
      </c>
      <c r="F1250" s="4">
        <v>41685.902000000002</v>
      </c>
      <c r="G1250" s="4">
        <v>41686.81</v>
      </c>
      <c r="H1250" s="5">
        <f>1 / 86400</f>
        <v>1.1574074074074073E-5</v>
      </c>
      <c r="I1250" t="s">
        <v>152</v>
      </c>
      <c r="J1250" t="s">
        <v>162</v>
      </c>
      <c r="K1250" s="5">
        <f>282 / 86400</f>
        <v>3.2638888888888891E-3</v>
      </c>
      <c r="L1250" s="5">
        <f>1464 / 86400</f>
        <v>1.6944444444444446E-2</v>
      </c>
    </row>
    <row r="1251" spans="1:12" x14ac:dyDescent="0.25">
      <c r="A1251" s="3">
        <v>45705.419502314813</v>
      </c>
      <c r="B1251" t="s">
        <v>130</v>
      </c>
      <c r="C1251" s="3">
        <v>45705.618495370371</v>
      </c>
      <c r="D1251" t="s">
        <v>80</v>
      </c>
      <c r="E1251" s="4">
        <v>95.146000000000001</v>
      </c>
      <c r="F1251" s="4">
        <v>41686.81</v>
      </c>
      <c r="G1251" s="4">
        <v>41781.955999999998</v>
      </c>
      <c r="H1251" s="5">
        <f>4921 / 86400</f>
        <v>5.6956018518518517E-2</v>
      </c>
      <c r="I1251" t="s">
        <v>92</v>
      </c>
      <c r="J1251" t="s">
        <v>20</v>
      </c>
      <c r="K1251" s="5">
        <f>17193 / 86400</f>
        <v>0.19899305555555555</v>
      </c>
      <c r="L1251" s="5">
        <f>534 / 86400</f>
        <v>6.1805555555555555E-3</v>
      </c>
    </row>
    <row r="1252" spans="1:12" x14ac:dyDescent="0.25">
      <c r="A1252" s="3">
        <v>45705.624675925923</v>
      </c>
      <c r="B1252" t="s">
        <v>80</v>
      </c>
      <c r="C1252" s="3">
        <v>45705.99998842593</v>
      </c>
      <c r="D1252" t="s">
        <v>79</v>
      </c>
      <c r="E1252" s="4">
        <v>179.79499999999999</v>
      </c>
      <c r="F1252" s="4">
        <v>41781.955999999998</v>
      </c>
      <c r="G1252" s="4">
        <v>41961.750999999997</v>
      </c>
      <c r="H1252" s="5">
        <f>10172 / 86400</f>
        <v>0.11773148148148148</v>
      </c>
      <c r="I1252" t="s">
        <v>90</v>
      </c>
      <c r="J1252" t="s">
        <v>20</v>
      </c>
      <c r="K1252" s="5">
        <f>32427 / 86400</f>
        <v>0.37531249999999999</v>
      </c>
      <c r="L1252" s="5">
        <f>0 / 86400</f>
        <v>0</v>
      </c>
    </row>
    <row r="1253" spans="1:12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</row>
    <row r="1254" spans="1:12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</row>
    <row r="1255" spans="1:12" s="10" customFormat="1" ht="20.100000000000001" customHeight="1" x14ac:dyDescent="0.35">
      <c r="A1255" s="12" t="s">
        <v>493</v>
      </c>
      <c r="B1255" s="12"/>
      <c r="C1255" s="12"/>
      <c r="D1255" s="12"/>
      <c r="E1255" s="12"/>
      <c r="F1255" s="12"/>
      <c r="G1255" s="12"/>
      <c r="H1255" s="12"/>
      <c r="I1255" s="12"/>
      <c r="J1255" s="12"/>
    </row>
    <row r="1256" spans="1:12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</row>
    <row r="1257" spans="1:12" ht="30" x14ac:dyDescent="0.25">
      <c r="A1257" s="2" t="s">
        <v>6</v>
      </c>
      <c r="B1257" s="2" t="s">
        <v>7</v>
      </c>
      <c r="C1257" s="2" t="s">
        <v>8</v>
      </c>
      <c r="D1257" s="2" t="s">
        <v>9</v>
      </c>
      <c r="E1257" s="2" t="s">
        <v>10</v>
      </c>
      <c r="F1257" s="2" t="s">
        <v>11</v>
      </c>
      <c r="G1257" s="2" t="s">
        <v>12</v>
      </c>
      <c r="H1257" s="2" t="s">
        <v>13</v>
      </c>
      <c r="I1257" s="2" t="s">
        <v>14</v>
      </c>
      <c r="J1257" s="2" t="s">
        <v>15</v>
      </c>
      <c r="K1257" s="2" t="s">
        <v>16</v>
      </c>
      <c r="L1257" s="2" t="s">
        <v>17</v>
      </c>
    </row>
    <row r="1258" spans="1:12" x14ac:dyDescent="0.25">
      <c r="A1258" s="3">
        <v>45705.291076388894</v>
      </c>
      <c r="B1258" t="s">
        <v>112</v>
      </c>
      <c r="C1258" s="3">
        <v>45705.364004629635</v>
      </c>
      <c r="D1258" t="s">
        <v>128</v>
      </c>
      <c r="E1258" s="4">
        <v>35.081000000000003</v>
      </c>
      <c r="F1258" s="4">
        <v>192939.288</v>
      </c>
      <c r="G1258" s="4">
        <v>192974.36900000001</v>
      </c>
      <c r="H1258" s="5">
        <f>1580 / 86400</f>
        <v>1.8287037037037036E-2</v>
      </c>
      <c r="I1258" t="s">
        <v>44</v>
      </c>
      <c r="J1258" t="s">
        <v>20</v>
      </c>
      <c r="K1258" s="5">
        <f>6301 / 86400</f>
        <v>7.2928240740740738E-2</v>
      </c>
      <c r="L1258" s="5">
        <f>26682 / 86400</f>
        <v>0.30881944444444442</v>
      </c>
    </row>
    <row r="1259" spans="1:12" x14ac:dyDescent="0.25">
      <c r="A1259" s="3">
        <v>45705.381747685184</v>
      </c>
      <c r="B1259" t="s">
        <v>128</v>
      </c>
      <c r="C1259" s="3">
        <v>45705.504872685182</v>
      </c>
      <c r="D1259" t="s">
        <v>414</v>
      </c>
      <c r="E1259" s="4">
        <v>50.98</v>
      </c>
      <c r="F1259" s="4">
        <v>192974.36900000001</v>
      </c>
      <c r="G1259" s="4">
        <v>193025.34899999999</v>
      </c>
      <c r="H1259" s="5">
        <f>3560 / 86400</f>
        <v>4.1203703703703701E-2</v>
      </c>
      <c r="I1259" t="s">
        <v>22</v>
      </c>
      <c r="J1259" t="s">
        <v>32</v>
      </c>
      <c r="K1259" s="5">
        <f>10638 / 86400</f>
        <v>0.123125</v>
      </c>
      <c r="L1259" s="5">
        <f>204 / 86400</f>
        <v>2.3611111111111111E-3</v>
      </c>
    </row>
    <row r="1260" spans="1:12" x14ac:dyDescent="0.25">
      <c r="A1260" s="3">
        <v>45705.507233796292</v>
      </c>
      <c r="B1260" t="s">
        <v>430</v>
      </c>
      <c r="C1260" s="3">
        <v>45705.623935185184</v>
      </c>
      <c r="D1260" t="s">
        <v>51</v>
      </c>
      <c r="E1260" s="4">
        <v>50.456000000000003</v>
      </c>
      <c r="F1260" s="4">
        <v>193025.34899999999</v>
      </c>
      <c r="G1260" s="4">
        <v>193075.80499999999</v>
      </c>
      <c r="H1260" s="5">
        <f>3020 / 86400</f>
        <v>3.4953703703703702E-2</v>
      </c>
      <c r="I1260" t="s">
        <v>26</v>
      </c>
      <c r="J1260" t="s">
        <v>23</v>
      </c>
      <c r="K1260" s="5">
        <f>10083 / 86400</f>
        <v>0.11670138888888888</v>
      </c>
      <c r="L1260" s="5">
        <f>1903 / 86400</f>
        <v>2.2025462962962962E-2</v>
      </c>
    </row>
    <row r="1261" spans="1:12" x14ac:dyDescent="0.25">
      <c r="A1261" s="3">
        <v>45705.645960648151</v>
      </c>
      <c r="B1261" t="s">
        <v>51</v>
      </c>
      <c r="C1261" s="3">
        <v>45705.651770833334</v>
      </c>
      <c r="D1261" t="s">
        <v>80</v>
      </c>
      <c r="E1261" s="4">
        <v>1.4119999999999999</v>
      </c>
      <c r="F1261" s="4">
        <v>193075.80499999999</v>
      </c>
      <c r="G1261" s="4">
        <v>193077.217</v>
      </c>
      <c r="H1261" s="5">
        <f>100 / 86400</f>
        <v>1.1574074074074073E-3</v>
      </c>
      <c r="I1261" t="s">
        <v>147</v>
      </c>
      <c r="J1261" t="s">
        <v>118</v>
      </c>
      <c r="K1261" s="5">
        <f>502 / 86400</f>
        <v>5.8101851851851856E-3</v>
      </c>
      <c r="L1261" s="5">
        <f>1187 / 86400</f>
        <v>1.3738425925925926E-2</v>
      </c>
    </row>
    <row r="1262" spans="1:12" x14ac:dyDescent="0.25">
      <c r="A1262" s="3">
        <v>45705.665509259255</v>
      </c>
      <c r="B1262" t="s">
        <v>80</v>
      </c>
      <c r="C1262" s="3">
        <v>45705.66851851852</v>
      </c>
      <c r="D1262" t="s">
        <v>80</v>
      </c>
      <c r="E1262" s="4">
        <v>0.16900000000000001</v>
      </c>
      <c r="F1262" s="4">
        <v>193077.217</v>
      </c>
      <c r="G1262" s="4">
        <v>193077.386</v>
      </c>
      <c r="H1262" s="5">
        <f>119 / 86400</f>
        <v>1.3773148148148147E-3</v>
      </c>
      <c r="I1262" t="s">
        <v>118</v>
      </c>
      <c r="J1262" t="s">
        <v>143</v>
      </c>
      <c r="K1262" s="5">
        <f>260 / 86400</f>
        <v>3.0092592592592593E-3</v>
      </c>
      <c r="L1262" s="5">
        <f>922 / 86400</f>
        <v>1.0671296296296297E-2</v>
      </c>
    </row>
    <row r="1263" spans="1:12" x14ac:dyDescent="0.25">
      <c r="A1263" s="3">
        <v>45705.679189814815</v>
      </c>
      <c r="B1263" t="s">
        <v>80</v>
      </c>
      <c r="C1263" s="3">
        <v>45705.67967592593</v>
      </c>
      <c r="D1263" t="s">
        <v>161</v>
      </c>
      <c r="E1263" s="4">
        <v>2.4E-2</v>
      </c>
      <c r="F1263" s="4">
        <v>193077.386</v>
      </c>
      <c r="G1263" s="4">
        <v>193077.41</v>
      </c>
      <c r="H1263" s="5">
        <f>20 / 86400</f>
        <v>2.3148148148148149E-4</v>
      </c>
      <c r="I1263" t="s">
        <v>84</v>
      </c>
      <c r="J1263" t="s">
        <v>143</v>
      </c>
      <c r="K1263" s="5">
        <f>41 / 86400</f>
        <v>4.7453703703703704E-4</v>
      </c>
      <c r="L1263" s="5">
        <f>1053 / 86400</f>
        <v>1.21875E-2</v>
      </c>
    </row>
    <row r="1264" spans="1:12" x14ac:dyDescent="0.25">
      <c r="A1264" s="3">
        <v>45705.691863425927</v>
      </c>
      <c r="B1264" t="s">
        <v>80</v>
      </c>
      <c r="C1264" s="3">
        <v>45705.823287037041</v>
      </c>
      <c r="D1264" t="s">
        <v>183</v>
      </c>
      <c r="E1264" s="4">
        <v>59.460999999999999</v>
      </c>
      <c r="F1264" s="4">
        <v>193077.41</v>
      </c>
      <c r="G1264" s="4">
        <v>193136.87100000001</v>
      </c>
      <c r="H1264" s="5">
        <f>2778 / 86400</f>
        <v>3.215277777777778E-2</v>
      </c>
      <c r="I1264" t="s">
        <v>64</v>
      </c>
      <c r="J1264" t="s">
        <v>27</v>
      </c>
      <c r="K1264" s="5">
        <f>11355 / 86400</f>
        <v>0.13142361111111112</v>
      </c>
      <c r="L1264" s="5">
        <f>325 / 86400</f>
        <v>3.7615740740740739E-3</v>
      </c>
    </row>
    <row r="1265" spans="1:12" x14ac:dyDescent="0.25">
      <c r="A1265" s="3">
        <v>45705.827048611114</v>
      </c>
      <c r="B1265" t="s">
        <v>183</v>
      </c>
      <c r="C1265" s="3">
        <v>45705.942349537036</v>
      </c>
      <c r="D1265" t="s">
        <v>254</v>
      </c>
      <c r="E1265" s="4">
        <v>43.523000000000003</v>
      </c>
      <c r="F1265" s="4">
        <v>193136.87100000001</v>
      </c>
      <c r="G1265" s="4">
        <v>193180.394</v>
      </c>
      <c r="H1265" s="5">
        <f>3957 / 86400</f>
        <v>4.5798611111111109E-2</v>
      </c>
      <c r="I1265" t="s">
        <v>19</v>
      </c>
      <c r="J1265" t="s">
        <v>62</v>
      </c>
      <c r="K1265" s="5">
        <f>9962 / 86400</f>
        <v>0.11530092592592593</v>
      </c>
      <c r="L1265" s="5">
        <f>162 / 86400</f>
        <v>1.8749999999999999E-3</v>
      </c>
    </row>
    <row r="1266" spans="1:12" x14ac:dyDescent="0.25">
      <c r="A1266" s="3">
        <v>45705.944224537037</v>
      </c>
      <c r="B1266" t="s">
        <v>254</v>
      </c>
      <c r="C1266" s="3">
        <v>45705.946562500001</v>
      </c>
      <c r="D1266" t="s">
        <v>254</v>
      </c>
      <c r="E1266" s="4">
        <v>0.25600000000000001</v>
      </c>
      <c r="F1266" s="4">
        <v>193180.394</v>
      </c>
      <c r="G1266" s="4">
        <v>193180.65</v>
      </c>
      <c r="H1266" s="5">
        <f>120 / 86400</f>
        <v>1.3888888888888889E-3</v>
      </c>
      <c r="I1266" t="s">
        <v>62</v>
      </c>
      <c r="J1266" t="s">
        <v>142</v>
      </c>
      <c r="K1266" s="5">
        <f>201 / 86400</f>
        <v>2.3263888888888887E-3</v>
      </c>
      <c r="L1266" s="5">
        <f>360 / 86400</f>
        <v>4.1666666666666666E-3</v>
      </c>
    </row>
    <row r="1267" spans="1:12" x14ac:dyDescent="0.25">
      <c r="A1267" s="3">
        <v>45705.950729166667</v>
      </c>
      <c r="B1267" t="s">
        <v>254</v>
      </c>
      <c r="C1267" s="3">
        <v>45705.951909722222</v>
      </c>
      <c r="D1267" t="s">
        <v>254</v>
      </c>
      <c r="E1267" s="4">
        <v>4.0000000000000001E-3</v>
      </c>
      <c r="F1267" s="4">
        <v>193180.65</v>
      </c>
      <c r="G1267" s="4">
        <v>193180.65400000001</v>
      </c>
      <c r="H1267" s="5">
        <f>99 / 86400</f>
        <v>1.1458333333333333E-3</v>
      </c>
      <c r="I1267" t="s">
        <v>73</v>
      </c>
      <c r="J1267" t="s">
        <v>73</v>
      </c>
      <c r="K1267" s="5">
        <f>102 / 86400</f>
        <v>1.1805555555555556E-3</v>
      </c>
      <c r="L1267" s="5">
        <f>176 / 86400</f>
        <v>2.0370370370370369E-3</v>
      </c>
    </row>
    <row r="1268" spans="1:12" x14ac:dyDescent="0.25">
      <c r="A1268" s="3">
        <v>45705.953946759255</v>
      </c>
      <c r="B1268" t="s">
        <v>254</v>
      </c>
      <c r="C1268" s="3">
        <v>45705.99998842593</v>
      </c>
      <c r="D1268" t="s">
        <v>113</v>
      </c>
      <c r="E1268" s="4">
        <v>16.859000000000002</v>
      </c>
      <c r="F1268" s="4">
        <v>193180.65400000001</v>
      </c>
      <c r="G1268" s="4">
        <v>193197.51300000001</v>
      </c>
      <c r="H1268" s="5">
        <f>1738 / 86400</f>
        <v>2.011574074074074E-2</v>
      </c>
      <c r="I1268" t="s">
        <v>285</v>
      </c>
      <c r="J1268" t="s">
        <v>30</v>
      </c>
      <c r="K1268" s="5">
        <f>3978 / 86400</f>
        <v>4.6041666666666668E-2</v>
      </c>
      <c r="L1268" s="5">
        <f>0 / 86400</f>
        <v>0</v>
      </c>
    </row>
    <row r="1269" spans="1:12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</row>
    <row r="1270" spans="1:12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</row>
    <row r="1271" spans="1:12" s="10" customFormat="1" ht="20.100000000000001" customHeight="1" x14ac:dyDescent="0.35">
      <c r="A1271" s="12" t="s">
        <v>494</v>
      </c>
      <c r="B1271" s="12"/>
      <c r="C1271" s="12"/>
      <c r="D1271" s="12"/>
      <c r="E1271" s="12"/>
      <c r="F1271" s="12"/>
      <c r="G1271" s="12"/>
      <c r="H1271" s="12"/>
      <c r="I1271" s="12"/>
      <c r="J1271" s="12"/>
    </row>
    <row r="1272" spans="1:12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</row>
    <row r="1273" spans="1:12" ht="30" x14ac:dyDescent="0.25">
      <c r="A1273" s="2" t="s">
        <v>6</v>
      </c>
      <c r="B1273" s="2" t="s">
        <v>7</v>
      </c>
      <c r="C1273" s="2" t="s">
        <v>8</v>
      </c>
      <c r="D1273" s="2" t="s">
        <v>9</v>
      </c>
      <c r="E1273" s="2" t="s">
        <v>10</v>
      </c>
      <c r="F1273" s="2" t="s">
        <v>11</v>
      </c>
      <c r="G1273" s="2" t="s">
        <v>12</v>
      </c>
      <c r="H1273" s="2" t="s">
        <v>13</v>
      </c>
      <c r="I1273" s="2" t="s">
        <v>14</v>
      </c>
      <c r="J1273" s="2" t="s">
        <v>15</v>
      </c>
      <c r="K1273" s="2" t="s">
        <v>16</v>
      </c>
      <c r="L1273" s="2" t="s">
        <v>17</v>
      </c>
    </row>
    <row r="1274" spans="1:12" x14ac:dyDescent="0.25">
      <c r="A1274" s="3">
        <v>45705.211006944446</v>
      </c>
      <c r="B1274" t="s">
        <v>93</v>
      </c>
      <c r="C1274" s="3">
        <v>45705.450104166666</v>
      </c>
      <c r="D1274" t="s">
        <v>128</v>
      </c>
      <c r="E1274" s="4">
        <v>101.643</v>
      </c>
      <c r="F1274" s="4">
        <v>523834.97600000002</v>
      </c>
      <c r="G1274" s="4">
        <v>523936.61900000001</v>
      </c>
      <c r="H1274" s="5">
        <f>6979 / 86400</f>
        <v>8.0775462962962966E-2</v>
      </c>
      <c r="I1274" t="s">
        <v>29</v>
      </c>
      <c r="J1274" t="s">
        <v>23</v>
      </c>
      <c r="K1274" s="5">
        <f>20657 / 86400</f>
        <v>0.23908564814814814</v>
      </c>
      <c r="L1274" s="5">
        <f>19453 / 86400</f>
        <v>0.22515046296296296</v>
      </c>
    </row>
    <row r="1275" spans="1:12" x14ac:dyDescent="0.25">
      <c r="A1275" s="3">
        <v>45705.464247685188</v>
      </c>
      <c r="B1275" t="s">
        <v>128</v>
      </c>
      <c r="C1275" s="3">
        <v>45705.467708333337</v>
      </c>
      <c r="D1275" t="s">
        <v>80</v>
      </c>
      <c r="E1275" s="4">
        <v>1.2869999999999999</v>
      </c>
      <c r="F1275" s="4">
        <v>523936.61900000001</v>
      </c>
      <c r="G1275" s="4">
        <v>523937.90600000002</v>
      </c>
      <c r="H1275" s="5">
        <f>40 / 86400</f>
        <v>4.6296296296296298E-4</v>
      </c>
      <c r="I1275" t="s">
        <v>157</v>
      </c>
      <c r="J1275" t="s">
        <v>30</v>
      </c>
      <c r="K1275" s="5">
        <f>299 / 86400</f>
        <v>3.460648148148148E-3</v>
      </c>
      <c r="L1275" s="5">
        <f>497 / 86400</f>
        <v>5.7523148148148151E-3</v>
      </c>
    </row>
    <row r="1276" spans="1:12" x14ac:dyDescent="0.25">
      <c r="A1276" s="3">
        <v>45705.473460648151</v>
      </c>
      <c r="B1276" t="s">
        <v>80</v>
      </c>
      <c r="C1276" s="3">
        <v>45705.475821759261</v>
      </c>
      <c r="D1276" t="s">
        <v>80</v>
      </c>
      <c r="E1276" s="4">
        <v>0.17399999999999999</v>
      </c>
      <c r="F1276" s="4">
        <v>523937.90600000002</v>
      </c>
      <c r="G1276" s="4">
        <v>523938.08</v>
      </c>
      <c r="H1276" s="5">
        <f>80 / 86400</f>
        <v>9.2592592592592596E-4</v>
      </c>
      <c r="I1276" t="s">
        <v>75</v>
      </c>
      <c r="J1276" t="s">
        <v>84</v>
      </c>
      <c r="K1276" s="5">
        <f>204 / 86400</f>
        <v>2.3611111111111111E-3</v>
      </c>
      <c r="L1276" s="5">
        <f>2441 / 86400</f>
        <v>2.8252314814814813E-2</v>
      </c>
    </row>
    <row r="1277" spans="1:12" x14ac:dyDescent="0.25">
      <c r="A1277" s="3">
        <v>45705.504074074073</v>
      </c>
      <c r="B1277" t="s">
        <v>80</v>
      </c>
      <c r="C1277" s="3">
        <v>45705.504710648151</v>
      </c>
      <c r="D1277" t="s">
        <v>80</v>
      </c>
      <c r="E1277" s="4">
        <v>0</v>
      </c>
      <c r="F1277" s="4">
        <v>523938.08</v>
      </c>
      <c r="G1277" s="4">
        <v>523938.08</v>
      </c>
      <c r="H1277" s="5">
        <f>39 / 86400</f>
        <v>4.5138888888888887E-4</v>
      </c>
      <c r="I1277" t="s">
        <v>73</v>
      </c>
      <c r="J1277" t="s">
        <v>73</v>
      </c>
      <c r="K1277" s="5">
        <f>55 / 86400</f>
        <v>6.3657407407407413E-4</v>
      </c>
      <c r="L1277" s="5">
        <f>878 / 86400</f>
        <v>1.0162037037037037E-2</v>
      </c>
    </row>
    <row r="1278" spans="1:12" x14ac:dyDescent="0.25">
      <c r="A1278" s="3">
        <v>45705.514872685184</v>
      </c>
      <c r="B1278" t="s">
        <v>80</v>
      </c>
      <c r="C1278" s="3">
        <v>45705.516435185185</v>
      </c>
      <c r="D1278" t="s">
        <v>80</v>
      </c>
      <c r="E1278" s="4">
        <v>3.4000000000000002E-2</v>
      </c>
      <c r="F1278" s="4">
        <v>523938.08</v>
      </c>
      <c r="G1278" s="4">
        <v>523938.114</v>
      </c>
      <c r="H1278" s="5">
        <f>58 / 86400</f>
        <v>6.7129629629629625E-4</v>
      </c>
      <c r="I1278" t="s">
        <v>142</v>
      </c>
      <c r="J1278" t="s">
        <v>144</v>
      </c>
      <c r="K1278" s="5">
        <f>134 / 86400</f>
        <v>1.5509259259259259E-3</v>
      </c>
      <c r="L1278" s="5">
        <f>753 / 86400</f>
        <v>8.7152777777777784E-3</v>
      </c>
    </row>
    <row r="1279" spans="1:12" x14ac:dyDescent="0.25">
      <c r="A1279" s="3">
        <v>45705.525150462963</v>
      </c>
      <c r="B1279" t="s">
        <v>80</v>
      </c>
      <c r="C1279" s="3">
        <v>45705.784571759257</v>
      </c>
      <c r="D1279" t="s">
        <v>80</v>
      </c>
      <c r="E1279" s="4">
        <v>99.135000000000005</v>
      </c>
      <c r="F1279" s="4">
        <v>523938.114</v>
      </c>
      <c r="G1279" s="4">
        <v>524037.24900000001</v>
      </c>
      <c r="H1279" s="5">
        <f>8880 / 86400</f>
        <v>0.10277777777777777</v>
      </c>
      <c r="I1279" t="s">
        <v>95</v>
      </c>
      <c r="J1279" t="s">
        <v>62</v>
      </c>
      <c r="K1279" s="5">
        <f>22413 / 86400</f>
        <v>0.25940972222222225</v>
      </c>
      <c r="L1279" s="5">
        <f>764 / 86400</f>
        <v>8.8425925925925929E-3</v>
      </c>
    </row>
    <row r="1280" spans="1:12" x14ac:dyDescent="0.25">
      <c r="A1280" s="3">
        <v>45705.793414351851</v>
      </c>
      <c r="B1280" t="s">
        <v>80</v>
      </c>
      <c r="C1280" s="3">
        <v>45705.99998842593</v>
      </c>
      <c r="D1280" t="s">
        <v>114</v>
      </c>
      <c r="E1280" s="4">
        <v>93.947999999999993</v>
      </c>
      <c r="F1280" s="4">
        <v>524037.24900000001</v>
      </c>
      <c r="G1280" s="4">
        <v>524131.19699999999</v>
      </c>
      <c r="H1280" s="5">
        <f>5559 / 86400</f>
        <v>6.4340277777777774E-2</v>
      </c>
      <c r="I1280" t="s">
        <v>34</v>
      </c>
      <c r="J1280" t="s">
        <v>27</v>
      </c>
      <c r="K1280" s="5">
        <f>17848 / 86400</f>
        <v>0.20657407407407408</v>
      </c>
      <c r="L1280" s="5">
        <f>0 / 86400</f>
        <v>0</v>
      </c>
    </row>
    <row r="1281" spans="1:12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</row>
    <row r="1282" spans="1:12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</row>
    <row r="1283" spans="1:12" s="10" customFormat="1" ht="20.100000000000001" customHeight="1" x14ac:dyDescent="0.35">
      <c r="A1283" s="12" t="s">
        <v>495</v>
      </c>
      <c r="B1283" s="12"/>
      <c r="C1283" s="12"/>
      <c r="D1283" s="12"/>
      <c r="E1283" s="12"/>
      <c r="F1283" s="12"/>
      <c r="G1283" s="12"/>
      <c r="H1283" s="12"/>
      <c r="I1283" s="12"/>
      <c r="J1283" s="12"/>
    </row>
    <row r="1284" spans="1:12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</row>
    <row r="1285" spans="1:12" ht="30" x14ac:dyDescent="0.25">
      <c r="A1285" s="2" t="s">
        <v>6</v>
      </c>
      <c r="B1285" s="2" t="s">
        <v>7</v>
      </c>
      <c r="C1285" s="2" t="s">
        <v>8</v>
      </c>
      <c r="D1285" s="2" t="s">
        <v>9</v>
      </c>
      <c r="E1285" s="2" t="s">
        <v>10</v>
      </c>
      <c r="F1285" s="2" t="s">
        <v>11</v>
      </c>
      <c r="G1285" s="2" t="s">
        <v>12</v>
      </c>
      <c r="H1285" s="2" t="s">
        <v>13</v>
      </c>
      <c r="I1285" s="2" t="s">
        <v>14</v>
      </c>
      <c r="J1285" s="2" t="s">
        <v>15</v>
      </c>
      <c r="K1285" s="2" t="s">
        <v>16</v>
      </c>
      <c r="L1285" s="2" t="s">
        <v>17</v>
      </c>
    </row>
    <row r="1286" spans="1:12" x14ac:dyDescent="0.25">
      <c r="A1286" s="3">
        <v>45705.262129629627</v>
      </c>
      <c r="B1286" t="s">
        <v>115</v>
      </c>
      <c r="C1286" s="3">
        <v>45705.263298611113</v>
      </c>
      <c r="D1286" t="s">
        <v>21</v>
      </c>
      <c r="E1286" s="4">
        <v>0.11600000000000001</v>
      </c>
      <c r="F1286" s="4">
        <v>23608.874</v>
      </c>
      <c r="G1286" s="4">
        <v>23608.99</v>
      </c>
      <c r="H1286" s="5">
        <f>19 / 86400</f>
        <v>2.199074074074074E-4</v>
      </c>
      <c r="I1286" t="s">
        <v>45</v>
      </c>
      <c r="J1286" t="s">
        <v>148</v>
      </c>
      <c r="K1286" s="5">
        <f>101 / 86400</f>
        <v>1.1689814814814816E-3</v>
      </c>
      <c r="L1286" s="5">
        <f>22792 / 86400</f>
        <v>0.26379629629629631</v>
      </c>
    </row>
    <row r="1287" spans="1:12" x14ac:dyDescent="0.25">
      <c r="A1287" s="3">
        <v>45705.264965277776</v>
      </c>
      <c r="B1287" t="s">
        <v>21</v>
      </c>
      <c r="C1287" s="3">
        <v>45705.271481481483</v>
      </c>
      <c r="D1287" t="s">
        <v>128</v>
      </c>
      <c r="E1287" s="4">
        <v>2.0680000000000001</v>
      </c>
      <c r="F1287" s="4">
        <v>23608.99</v>
      </c>
      <c r="G1287" s="4">
        <v>23611.058000000001</v>
      </c>
      <c r="H1287" s="5">
        <f>80 / 86400</f>
        <v>9.2592592592592596E-4</v>
      </c>
      <c r="I1287" t="s">
        <v>152</v>
      </c>
      <c r="J1287" t="s">
        <v>66</v>
      </c>
      <c r="K1287" s="5">
        <f>563 / 86400</f>
        <v>6.5162037037037037E-3</v>
      </c>
      <c r="L1287" s="5">
        <f>183 / 86400</f>
        <v>2.1180555555555558E-3</v>
      </c>
    </row>
    <row r="1288" spans="1:12" x14ac:dyDescent="0.25">
      <c r="A1288" s="3">
        <v>45705.273599537039</v>
      </c>
      <c r="B1288" t="s">
        <v>128</v>
      </c>
      <c r="C1288" s="3">
        <v>45705.273854166662</v>
      </c>
      <c r="D1288" t="s">
        <v>128</v>
      </c>
      <c r="E1288" s="4">
        <v>2.9000000000000001E-2</v>
      </c>
      <c r="F1288" s="4">
        <v>23611.058000000001</v>
      </c>
      <c r="G1288" s="4">
        <v>23611.087</v>
      </c>
      <c r="H1288" s="5">
        <f>0 / 86400</f>
        <v>0</v>
      </c>
      <c r="I1288" t="s">
        <v>84</v>
      </c>
      <c r="J1288" t="s">
        <v>142</v>
      </c>
      <c r="K1288" s="5">
        <f>22 / 86400</f>
        <v>2.5462962962962961E-4</v>
      </c>
      <c r="L1288" s="5">
        <f>272 / 86400</f>
        <v>3.1481481481481482E-3</v>
      </c>
    </row>
    <row r="1289" spans="1:12" x14ac:dyDescent="0.25">
      <c r="A1289" s="3">
        <v>45705.277002314819</v>
      </c>
      <c r="B1289" t="s">
        <v>128</v>
      </c>
      <c r="C1289" s="3">
        <v>45705.563009259262</v>
      </c>
      <c r="D1289" t="s">
        <v>374</v>
      </c>
      <c r="E1289" s="4">
        <v>119.727</v>
      </c>
      <c r="F1289" s="4">
        <v>23611.087</v>
      </c>
      <c r="G1289" s="4">
        <v>23730.813999999998</v>
      </c>
      <c r="H1289" s="5">
        <f>6522 / 86400</f>
        <v>7.5486111111111115E-2</v>
      </c>
      <c r="I1289" t="s">
        <v>116</v>
      </c>
      <c r="J1289" t="s">
        <v>32</v>
      </c>
      <c r="K1289" s="5">
        <f>24711 / 86400</f>
        <v>0.28600694444444447</v>
      </c>
      <c r="L1289" s="5">
        <f>100 / 86400</f>
        <v>1.1574074074074073E-3</v>
      </c>
    </row>
    <row r="1290" spans="1:12" x14ac:dyDescent="0.25">
      <c r="A1290" s="3">
        <v>45705.564166666663</v>
      </c>
      <c r="B1290" t="s">
        <v>374</v>
      </c>
      <c r="C1290" s="3">
        <v>45705.56549768518</v>
      </c>
      <c r="D1290" t="s">
        <v>94</v>
      </c>
      <c r="E1290" s="4">
        <v>0.16700000000000001</v>
      </c>
      <c r="F1290" s="4">
        <v>23730.813999999998</v>
      </c>
      <c r="G1290" s="4">
        <v>23730.981</v>
      </c>
      <c r="H1290" s="5">
        <f>21 / 86400</f>
        <v>2.4305555555555555E-4</v>
      </c>
      <c r="I1290" t="s">
        <v>107</v>
      </c>
      <c r="J1290" t="s">
        <v>142</v>
      </c>
      <c r="K1290" s="5">
        <f>114 / 86400</f>
        <v>1.3194444444444445E-3</v>
      </c>
      <c r="L1290" s="5">
        <f>566 / 86400</f>
        <v>6.5509259259259262E-3</v>
      </c>
    </row>
    <row r="1291" spans="1:12" x14ac:dyDescent="0.25">
      <c r="A1291" s="3">
        <v>45705.572048611109</v>
      </c>
      <c r="B1291" t="s">
        <v>94</v>
      </c>
      <c r="C1291" s="3">
        <v>45705.573645833334</v>
      </c>
      <c r="D1291" t="s">
        <v>94</v>
      </c>
      <c r="E1291" s="4">
        <v>9.5000000000000001E-2</v>
      </c>
      <c r="F1291" s="4">
        <v>23730.981</v>
      </c>
      <c r="G1291" s="4">
        <v>23731.076000000001</v>
      </c>
      <c r="H1291" s="5">
        <f>59 / 86400</f>
        <v>6.8287037037037036E-4</v>
      </c>
      <c r="I1291" t="s">
        <v>118</v>
      </c>
      <c r="J1291" t="s">
        <v>143</v>
      </c>
      <c r="K1291" s="5">
        <f>138 / 86400</f>
        <v>1.5972222222222223E-3</v>
      </c>
      <c r="L1291" s="5">
        <f>1272 / 86400</f>
        <v>1.4722222222222222E-2</v>
      </c>
    </row>
    <row r="1292" spans="1:12" x14ac:dyDescent="0.25">
      <c r="A1292" s="3">
        <v>45705.588368055556</v>
      </c>
      <c r="B1292" t="s">
        <v>94</v>
      </c>
      <c r="C1292" s="3">
        <v>45705.850520833337</v>
      </c>
      <c r="D1292" t="s">
        <v>178</v>
      </c>
      <c r="E1292" s="4">
        <v>94.003</v>
      </c>
      <c r="F1292" s="4">
        <v>23731.076000000001</v>
      </c>
      <c r="G1292" s="4">
        <v>23825.079000000002</v>
      </c>
      <c r="H1292" s="5">
        <f>7480 / 86400</f>
        <v>8.6574074074074067E-2</v>
      </c>
      <c r="I1292" t="s">
        <v>140</v>
      </c>
      <c r="J1292" t="s">
        <v>30</v>
      </c>
      <c r="K1292" s="5">
        <f>22650 / 86400</f>
        <v>0.26215277777777779</v>
      </c>
      <c r="L1292" s="5">
        <f>265 / 86400</f>
        <v>3.0671296296296297E-3</v>
      </c>
    </row>
    <row r="1293" spans="1:12" x14ac:dyDescent="0.25">
      <c r="A1293" s="3">
        <v>45705.853587962964</v>
      </c>
      <c r="B1293" t="s">
        <v>178</v>
      </c>
      <c r="C1293" s="3">
        <v>45705.855995370366</v>
      </c>
      <c r="D1293" t="s">
        <v>80</v>
      </c>
      <c r="E1293" s="4">
        <v>0.52300000000000002</v>
      </c>
      <c r="F1293" s="4">
        <v>23825.079000000002</v>
      </c>
      <c r="G1293" s="4">
        <v>23825.601999999999</v>
      </c>
      <c r="H1293" s="5">
        <f>99 / 86400</f>
        <v>1.1458333333333333E-3</v>
      </c>
      <c r="I1293" t="s">
        <v>265</v>
      </c>
      <c r="J1293" t="s">
        <v>133</v>
      </c>
      <c r="K1293" s="5">
        <f>207 / 86400</f>
        <v>2.3958333333333331E-3</v>
      </c>
      <c r="L1293" s="5">
        <f>281 / 86400</f>
        <v>3.2523148148148147E-3</v>
      </c>
    </row>
    <row r="1294" spans="1:12" x14ac:dyDescent="0.25">
      <c r="A1294" s="3">
        <v>45705.859247685185</v>
      </c>
      <c r="B1294" t="s">
        <v>137</v>
      </c>
      <c r="C1294" s="3">
        <v>45705.860277777778</v>
      </c>
      <c r="D1294" t="s">
        <v>80</v>
      </c>
      <c r="E1294" s="4">
        <v>0.187</v>
      </c>
      <c r="F1294" s="4">
        <v>23825.601999999999</v>
      </c>
      <c r="G1294" s="4">
        <v>23825.789000000001</v>
      </c>
      <c r="H1294" s="5">
        <f>0 / 86400</f>
        <v>0</v>
      </c>
      <c r="I1294" t="s">
        <v>66</v>
      </c>
      <c r="J1294" t="s">
        <v>107</v>
      </c>
      <c r="K1294" s="5">
        <f>89 / 86400</f>
        <v>1.0300925925925926E-3</v>
      </c>
      <c r="L1294" s="5">
        <f>364 / 86400</f>
        <v>4.2129629629629626E-3</v>
      </c>
    </row>
    <row r="1295" spans="1:12" x14ac:dyDescent="0.25">
      <c r="A1295" s="3">
        <v>45705.864490740743</v>
      </c>
      <c r="B1295" t="s">
        <v>80</v>
      </c>
      <c r="C1295" s="3">
        <v>45705.867766203708</v>
      </c>
      <c r="D1295" t="s">
        <v>115</v>
      </c>
      <c r="E1295" s="4">
        <v>0.71</v>
      </c>
      <c r="F1295" s="4">
        <v>23825.789000000001</v>
      </c>
      <c r="G1295" s="4">
        <v>23826.499</v>
      </c>
      <c r="H1295" s="5">
        <f>100 / 86400</f>
        <v>1.1574074074074073E-3</v>
      </c>
      <c r="I1295" t="s">
        <v>150</v>
      </c>
      <c r="J1295" t="s">
        <v>133</v>
      </c>
      <c r="K1295" s="5">
        <f>282 / 86400</f>
        <v>3.2638888888888891E-3</v>
      </c>
      <c r="L1295" s="5">
        <f>1686 / 86400</f>
        <v>1.951388888888889E-2</v>
      </c>
    </row>
    <row r="1296" spans="1:12" x14ac:dyDescent="0.25">
      <c r="A1296" s="3">
        <v>45705.887280092589</v>
      </c>
      <c r="B1296" t="s">
        <v>115</v>
      </c>
      <c r="C1296" s="3">
        <v>45705.888831018514</v>
      </c>
      <c r="D1296" t="s">
        <v>115</v>
      </c>
      <c r="E1296" s="4">
        <v>6.4000000000000001E-2</v>
      </c>
      <c r="F1296" s="4">
        <v>23826.499</v>
      </c>
      <c r="G1296" s="4">
        <v>23826.562999999998</v>
      </c>
      <c r="H1296" s="5">
        <f>60 / 86400</f>
        <v>6.9444444444444447E-4</v>
      </c>
      <c r="I1296" t="s">
        <v>153</v>
      </c>
      <c r="J1296" t="s">
        <v>143</v>
      </c>
      <c r="K1296" s="5">
        <f>133 / 86400</f>
        <v>1.5393518518518519E-3</v>
      </c>
      <c r="L1296" s="5">
        <f>9604 / 86400</f>
        <v>0.11115740740740741</v>
      </c>
    </row>
    <row r="1297" spans="1:12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</row>
    <row r="1298" spans="1:12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</row>
    <row r="1299" spans="1:12" s="10" customFormat="1" ht="20.100000000000001" customHeight="1" x14ac:dyDescent="0.35">
      <c r="A1299" s="12" t="s">
        <v>496</v>
      </c>
      <c r="B1299" s="12"/>
      <c r="C1299" s="12"/>
      <c r="D1299" s="12"/>
      <c r="E1299" s="12"/>
      <c r="F1299" s="12"/>
      <c r="G1299" s="12"/>
      <c r="H1299" s="12"/>
      <c r="I1299" s="12"/>
      <c r="J1299" s="12"/>
    </row>
    <row r="1300" spans="1:12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</row>
    <row r="1301" spans="1:12" ht="30" x14ac:dyDescent="0.25">
      <c r="A1301" s="2" t="s">
        <v>6</v>
      </c>
      <c r="B1301" s="2" t="s">
        <v>7</v>
      </c>
      <c r="C1301" s="2" t="s">
        <v>8</v>
      </c>
      <c r="D1301" s="2" t="s">
        <v>9</v>
      </c>
      <c r="E1301" s="2" t="s">
        <v>10</v>
      </c>
      <c r="F1301" s="2" t="s">
        <v>11</v>
      </c>
      <c r="G1301" s="2" t="s">
        <v>12</v>
      </c>
      <c r="H1301" s="2" t="s">
        <v>13</v>
      </c>
      <c r="I1301" s="2" t="s">
        <v>14</v>
      </c>
      <c r="J1301" s="2" t="s">
        <v>15</v>
      </c>
      <c r="K1301" s="2" t="s">
        <v>16</v>
      </c>
      <c r="L1301" s="2" t="s">
        <v>17</v>
      </c>
    </row>
    <row r="1302" spans="1:12" x14ac:dyDescent="0.25">
      <c r="A1302" s="3">
        <v>45705.211273148147</v>
      </c>
      <c r="B1302" t="s">
        <v>39</v>
      </c>
      <c r="C1302" s="3">
        <v>45705.414965277778</v>
      </c>
      <c r="D1302" t="s">
        <v>80</v>
      </c>
      <c r="E1302" s="4">
        <v>80.820999999999998</v>
      </c>
      <c r="F1302" s="4">
        <v>64545.468999999997</v>
      </c>
      <c r="G1302" s="4">
        <v>64626.29</v>
      </c>
      <c r="H1302" s="5">
        <f>6320 / 86400</f>
        <v>7.3148148148148143E-2</v>
      </c>
      <c r="I1302" t="s">
        <v>60</v>
      </c>
      <c r="J1302" t="s">
        <v>32</v>
      </c>
      <c r="K1302" s="5">
        <f>17599 / 86400</f>
        <v>0.20369212962962963</v>
      </c>
      <c r="L1302" s="5">
        <f>20324 / 86400</f>
        <v>0.23523148148148149</v>
      </c>
    </row>
    <row r="1303" spans="1:12" x14ac:dyDescent="0.25">
      <c r="A1303" s="3">
        <v>45705.438923611116</v>
      </c>
      <c r="B1303" t="s">
        <v>161</v>
      </c>
      <c r="C1303" s="3">
        <v>45705.439513888894</v>
      </c>
      <c r="D1303" t="s">
        <v>80</v>
      </c>
      <c r="E1303" s="4">
        <v>2.3E-2</v>
      </c>
      <c r="F1303" s="4">
        <v>64626.29</v>
      </c>
      <c r="G1303" s="4">
        <v>64626.313000000002</v>
      </c>
      <c r="H1303" s="5">
        <f>0 / 86400</f>
        <v>0</v>
      </c>
      <c r="I1303" t="s">
        <v>151</v>
      </c>
      <c r="J1303" t="s">
        <v>143</v>
      </c>
      <c r="K1303" s="5">
        <f>50 / 86400</f>
        <v>5.7870370370370367E-4</v>
      </c>
      <c r="L1303" s="5">
        <f>191 / 86400</f>
        <v>2.2106481481481482E-3</v>
      </c>
    </row>
    <row r="1304" spans="1:12" x14ac:dyDescent="0.25">
      <c r="A1304" s="3">
        <v>45705.441724537042</v>
      </c>
      <c r="B1304" t="s">
        <v>80</v>
      </c>
      <c r="C1304" s="3">
        <v>45705.446018518516</v>
      </c>
      <c r="D1304" t="s">
        <v>128</v>
      </c>
      <c r="E1304" s="4">
        <v>1.331</v>
      </c>
      <c r="F1304" s="4">
        <v>64626.313000000002</v>
      </c>
      <c r="G1304" s="4">
        <v>64627.644</v>
      </c>
      <c r="H1304" s="5">
        <f>39 / 86400</f>
        <v>4.5138888888888887E-4</v>
      </c>
      <c r="I1304" t="s">
        <v>232</v>
      </c>
      <c r="J1304" t="s">
        <v>66</v>
      </c>
      <c r="K1304" s="5">
        <f>371 / 86400</f>
        <v>4.2939814814814811E-3</v>
      </c>
      <c r="L1304" s="5">
        <f>969 / 86400</f>
        <v>1.1215277777777777E-2</v>
      </c>
    </row>
    <row r="1305" spans="1:12" x14ac:dyDescent="0.25">
      <c r="A1305" s="3">
        <v>45705.457233796296</v>
      </c>
      <c r="B1305" t="s">
        <v>128</v>
      </c>
      <c r="C1305" s="3">
        <v>45705.80332175926</v>
      </c>
      <c r="D1305" t="s">
        <v>39</v>
      </c>
      <c r="E1305" s="4">
        <v>144.875</v>
      </c>
      <c r="F1305" s="4">
        <v>64627.644</v>
      </c>
      <c r="G1305" s="4">
        <v>64772.519</v>
      </c>
      <c r="H1305" s="5">
        <f>10458 / 86400</f>
        <v>0.12104166666666667</v>
      </c>
      <c r="I1305" t="s">
        <v>99</v>
      </c>
      <c r="J1305" t="s">
        <v>32</v>
      </c>
      <c r="K1305" s="5">
        <f>29901 / 86400</f>
        <v>0.34607638888888886</v>
      </c>
      <c r="L1305" s="5">
        <f>554 / 86400</f>
        <v>6.4120370370370373E-3</v>
      </c>
    </row>
    <row r="1306" spans="1:12" x14ac:dyDescent="0.25">
      <c r="A1306" s="3">
        <v>45705.809733796297</v>
      </c>
      <c r="B1306" t="s">
        <v>39</v>
      </c>
      <c r="C1306" s="3">
        <v>45705.813055555554</v>
      </c>
      <c r="D1306" t="s">
        <v>39</v>
      </c>
      <c r="E1306" s="4">
        <v>1.393</v>
      </c>
      <c r="F1306" s="4">
        <v>64772.519</v>
      </c>
      <c r="G1306" s="4">
        <v>64773.911999999997</v>
      </c>
      <c r="H1306" s="5">
        <f>99 / 86400</f>
        <v>1.1458333333333333E-3</v>
      </c>
      <c r="I1306" t="s">
        <v>214</v>
      </c>
      <c r="J1306" t="s">
        <v>23</v>
      </c>
      <c r="K1306" s="5">
        <f>286 / 86400</f>
        <v>3.3101851851851851E-3</v>
      </c>
      <c r="L1306" s="5">
        <f>16151 / 86400</f>
        <v>0.18693287037037037</v>
      </c>
    </row>
    <row r="1307" spans="1:12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</row>
    <row r="1308" spans="1:12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</row>
    <row r="1309" spans="1:12" s="10" customFormat="1" ht="20.100000000000001" customHeight="1" x14ac:dyDescent="0.35">
      <c r="A1309" s="12" t="s">
        <v>497</v>
      </c>
      <c r="B1309" s="12"/>
      <c r="C1309" s="12"/>
      <c r="D1309" s="12"/>
      <c r="E1309" s="12"/>
      <c r="F1309" s="12"/>
      <c r="G1309" s="12"/>
      <c r="H1309" s="12"/>
      <c r="I1309" s="12"/>
      <c r="J1309" s="12"/>
    </row>
    <row r="1310" spans="1:12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</row>
    <row r="1311" spans="1:12" ht="30" x14ac:dyDescent="0.25">
      <c r="A1311" s="2" t="s">
        <v>6</v>
      </c>
      <c r="B1311" s="2" t="s">
        <v>7</v>
      </c>
      <c r="C1311" s="2" t="s">
        <v>8</v>
      </c>
      <c r="D1311" s="2" t="s">
        <v>9</v>
      </c>
      <c r="E1311" s="2" t="s">
        <v>10</v>
      </c>
      <c r="F1311" s="2" t="s">
        <v>11</v>
      </c>
      <c r="G1311" s="2" t="s">
        <v>12</v>
      </c>
      <c r="H1311" s="2" t="s">
        <v>13</v>
      </c>
      <c r="I1311" s="2" t="s">
        <v>14</v>
      </c>
      <c r="J1311" s="2" t="s">
        <v>15</v>
      </c>
      <c r="K1311" s="2" t="s">
        <v>16</v>
      </c>
      <c r="L1311" s="2" t="s">
        <v>17</v>
      </c>
    </row>
    <row r="1312" spans="1:12" x14ac:dyDescent="0.25">
      <c r="A1312" s="3">
        <v>45705.274351851855</v>
      </c>
      <c r="B1312" t="s">
        <v>72</v>
      </c>
      <c r="C1312" s="3">
        <v>45705.275520833333</v>
      </c>
      <c r="D1312" t="s">
        <v>72</v>
      </c>
      <c r="E1312" s="4">
        <v>5.2999999999999999E-2</v>
      </c>
      <c r="F1312" s="4">
        <v>5805.4260000000004</v>
      </c>
      <c r="G1312" s="4">
        <v>5805.4790000000003</v>
      </c>
      <c r="H1312" s="5">
        <f>59 / 86400</f>
        <v>6.8287037037037036E-4</v>
      </c>
      <c r="I1312" t="s">
        <v>151</v>
      </c>
      <c r="J1312" t="s">
        <v>143</v>
      </c>
      <c r="K1312" s="5">
        <f>101 / 86400</f>
        <v>1.1689814814814816E-3</v>
      </c>
      <c r="L1312" s="5">
        <f>24040 / 86400</f>
        <v>0.27824074074074073</v>
      </c>
    </row>
    <row r="1313" spans="1:12" x14ac:dyDescent="0.25">
      <c r="A1313" s="3">
        <v>45705.279409722221</v>
      </c>
      <c r="B1313" t="s">
        <v>72</v>
      </c>
      <c r="C1313" s="3">
        <v>45705.284155092595</v>
      </c>
      <c r="D1313" t="s">
        <v>431</v>
      </c>
      <c r="E1313" s="4">
        <v>1.4379999999999999</v>
      </c>
      <c r="F1313" s="4">
        <v>5805.4790000000003</v>
      </c>
      <c r="G1313" s="4">
        <v>5806.9170000000004</v>
      </c>
      <c r="H1313" s="5">
        <f>40 / 86400</f>
        <v>4.6296296296296298E-4</v>
      </c>
      <c r="I1313" t="s">
        <v>141</v>
      </c>
      <c r="J1313" t="s">
        <v>66</v>
      </c>
      <c r="K1313" s="5">
        <f>410 / 86400</f>
        <v>4.7453703703703703E-3</v>
      </c>
      <c r="L1313" s="5">
        <f>655 / 86400</f>
        <v>7.5810185185185182E-3</v>
      </c>
    </row>
    <row r="1314" spans="1:12" x14ac:dyDescent="0.25">
      <c r="A1314" s="3">
        <v>45705.29173611111</v>
      </c>
      <c r="B1314" t="s">
        <v>431</v>
      </c>
      <c r="C1314" s="3">
        <v>45705.29954861111</v>
      </c>
      <c r="D1314" t="s">
        <v>432</v>
      </c>
      <c r="E1314" s="4">
        <v>1.665</v>
      </c>
      <c r="F1314" s="4">
        <v>5806.9170000000004</v>
      </c>
      <c r="G1314" s="4">
        <v>5808.5820000000003</v>
      </c>
      <c r="H1314" s="5">
        <f>239 / 86400</f>
        <v>2.7662037037037039E-3</v>
      </c>
      <c r="I1314" t="s">
        <v>117</v>
      </c>
      <c r="J1314" t="s">
        <v>133</v>
      </c>
      <c r="K1314" s="5">
        <f>675 / 86400</f>
        <v>7.8125E-3</v>
      </c>
      <c r="L1314" s="5">
        <f>428 / 86400</f>
        <v>4.9537037037037041E-3</v>
      </c>
    </row>
    <row r="1315" spans="1:12" x14ac:dyDescent="0.25">
      <c r="A1315" s="3">
        <v>45705.304502314815</v>
      </c>
      <c r="B1315" t="s">
        <v>432</v>
      </c>
      <c r="C1315" s="3">
        <v>45705.307824074072</v>
      </c>
      <c r="D1315" t="s">
        <v>18</v>
      </c>
      <c r="E1315" s="4">
        <v>0.84799999999999998</v>
      </c>
      <c r="F1315" s="4">
        <v>5808.5820000000003</v>
      </c>
      <c r="G1315" s="4">
        <v>5809.43</v>
      </c>
      <c r="H1315" s="5">
        <f>40 / 86400</f>
        <v>4.6296296296296298E-4</v>
      </c>
      <c r="I1315" t="s">
        <v>135</v>
      </c>
      <c r="J1315" t="s">
        <v>45</v>
      </c>
      <c r="K1315" s="5">
        <f>286 / 86400</f>
        <v>3.3101851851851851E-3</v>
      </c>
      <c r="L1315" s="5">
        <f>153 / 86400</f>
        <v>1.7708333333333332E-3</v>
      </c>
    </row>
    <row r="1316" spans="1:12" x14ac:dyDescent="0.25">
      <c r="A1316" s="3">
        <v>45705.309594907405</v>
      </c>
      <c r="B1316" t="s">
        <v>18</v>
      </c>
      <c r="C1316" s="3">
        <v>45705.313275462962</v>
      </c>
      <c r="D1316" t="s">
        <v>72</v>
      </c>
      <c r="E1316" s="4">
        <v>1.1579999999999999</v>
      </c>
      <c r="F1316" s="4">
        <v>5809.43</v>
      </c>
      <c r="G1316" s="4">
        <v>5810.5879999999997</v>
      </c>
      <c r="H1316" s="5">
        <f>20 / 86400</f>
        <v>2.3148148148148149E-4</v>
      </c>
      <c r="I1316" t="s">
        <v>141</v>
      </c>
      <c r="J1316" t="s">
        <v>66</v>
      </c>
      <c r="K1316" s="5">
        <f>318 / 86400</f>
        <v>3.6805555555555554E-3</v>
      </c>
      <c r="L1316" s="5">
        <f>262 / 86400</f>
        <v>3.0324074074074073E-3</v>
      </c>
    </row>
    <row r="1317" spans="1:12" x14ac:dyDescent="0.25">
      <c r="A1317" s="3">
        <v>45705.316307870366</v>
      </c>
      <c r="B1317" t="s">
        <v>72</v>
      </c>
      <c r="C1317" s="3">
        <v>45705.316921296297</v>
      </c>
      <c r="D1317" t="s">
        <v>72</v>
      </c>
      <c r="E1317" s="4">
        <v>1.7999999999999999E-2</v>
      </c>
      <c r="F1317" s="4">
        <v>5810.5879999999997</v>
      </c>
      <c r="G1317" s="4">
        <v>5810.6059999999998</v>
      </c>
      <c r="H1317" s="5">
        <f>40 / 86400</f>
        <v>4.6296296296296298E-4</v>
      </c>
      <c r="I1317" t="s">
        <v>153</v>
      </c>
      <c r="J1317" t="s">
        <v>144</v>
      </c>
      <c r="K1317" s="5">
        <f>52 / 86400</f>
        <v>6.018518518518519E-4</v>
      </c>
      <c r="L1317" s="5">
        <f>59017 / 86400</f>
        <v>0.68306712962962968</v>
      </c>
    </row>
    <row r="1318" spans="1:12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</row>
    <row r="1319" spans="1:12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</row>
    <row r="1320" spans="1:12" s="10" customFormat="1" ht="20.100000000000001" customHeight="1" x14ac:dyDescent="0.35">
      <c r="A1320" s="12" t="s">
        <v>498</v>
      </c>
      <c r="B1320" s="12"/>
      <c r="C1320" s="12"/>
      <c r="D1320" s="12"/>
      <c r="E1320" s="12"/>
      <c r="F1320" s="12"/>
      <c r="G1320" s="12"/>
      <c r="H1320" s="12"/>
      <c r="I1320" s="12"/>
      <c r="J1320" s="12"/>
    </row>
    <row r="1321" spans="1:12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</row>
    <row r="1322" spans="1:12" ht="30" x14ac:dyDescent="0.25">
      <c r="A1322" s="2" t="s">
        <v>6</v>
      </c>
      <c r="B1322" s="2" t="s">
        <v>7</v>
      </c>
      <c r="C1322" s="2" t="s">
        <v>8</v>
      </c>
      <c r="D1322" s="2" t="s">
        <v>9</v>
      </c>
      <c r="E1322" s="2" t="s">
        <v>10</v>
      </c>
      <c r="F1322" s="2" t="s">
        <v>11</v>
      </c>
      <c r="G1322" s="2" t="s">
        <v>12</v>
      </c>
      <c r="H1322" s="2" t="s">
        <v>13</v>
      </c>
      <c r="I1322" s="2" t="s">
        <v>14</v>
      </c>
      <c r="J1322" s="2" t="s">
        <v>15</v>
      </c>
      <c r="K1322" s="2" t="s">
        <v>16</v>
      </c>
      <c r="L1322" s="2" t="s">
        <v>17</v>
      </c>
    </row>
    <row r="1323" spans="1:12" x14ac:dyDescent="0.25">
      <c r="A1323" s="3">
        <v>45705.395185185189</v>
      </c>
      <c r="B1323" t="s">
        <v>28</v>
      </c>
      <c r="C1323" s="3">
        <v>45705.395289351851</v>
      </c>
      <c r="D1323" t="s">
        <v>28</v>
      </c>
      <c r="E1323" s="4">
        <v>0</v>
      </c>
      <c r="F1323" s="4">
        <v>408793.49300000002</v>
      </c>
      <c r="G1323" s="4">
        <v>408793.49300000002</v>
      </c>
      <c r="H1323" s="5">
        <f>0 / 86400</f>
        <v>0</v>
      </c>
      <c r="I1323" t="s">
        <v>73</v>
      </c>
      <c r="J1323" t="s">
        <v>73</v>
      </c>
      <c r="K1323" s="5">
        <f>8 / 86400</f>
        <v>9.2592592592592588E-5</v>
      </c>
      <c r="L1323" s="5">
        <f>34149 / 86400</f>
        <v>0.39524305555555556</v>
      </c>
    </row>
    <row r="1324" spans="1:12" x14ac:dyDescent="0.25">
      <c r="A1324" s="3">
        <v>45705.39534722222</v>
      </c>
      <c r="B1324" t="s">
        <v>28</v>
      </c>
      <c r="C1324" s="3">
        <v>45705.399513888886</v>
      </c>
      <c r="D1324" t="s">
        <v>28</v>
      </c>
      <c r="E1324" s="4">
        <v>0.11600000000000001</v>
      </c>
      <c r="F1324" s="4">
        <v>408793.49300000002</v>
      </c>
      <c r="G1324" s="4">
        <v>408793.609</v>
      </c>
      <c r="H1324" s="5">
        <f>266 / 86400</f>
        <v>3.0787037037037037E-3</v>
      </c>
      <c r="I1324" t="s">
        <v>151</v>
      </c>
      <c r="J1324" t="s">
        <v>144</v>
      </c>
      <c r="K1324" s="5">
        <f>360 / 86400</f>
        <v>4.1666666666666666E-3</v>
      </c>
      <c r="L1324" s="5">
        <f>2 / 86400</f>
        <v>2.3148148148148147E-5</v>
      </c>
    </row>
    <row r="1325" spans="1:12" x14ac:dyDescent="0.25">
      <c r="A1325" s="3">
        <v>45705.399537037039</v>
      </c>
      <c r="B1325" t="s">
        <v>28</v>
      </c>
      <c r="C1325" s="3">
        <v>45705.401099537034</v>
      </c>
      <c r="D1325" t="s">
        <v>28</v>
      </c>
      <c r="E1325" s="4">
        <v>0</v>
      </c>
      <c r="F1325" s="4">
        <v>408793.609</v>
      </c>
      <c r="G1325" s="4">
        <v>408793.609</v>
      </c>
      <c r="H1325" s="5">
        <f>129 / 86400</f>
        <v>1.4930555555555556E-3</v>
      </c>
      <c r="I1325" t="s">
        <v>73</v>
      </c>
      <c r="J1325" t="s">
        <v>73</v>
      </c>
      <c r="K1325" s="5">
        <f>135 / 86400</f>
        <v>1.5625000000000001E-3</v>
      </c>
      <c r="L1325" s="5">
        <f>4467 / 86400</f>
        <v>5.1701388888888887E-2</v>
      </c>
    </row>
    <row r="1326" spans="1:12" x14ac:dyDescent="0.25">
      <c r="A1326" s="3">
        <v>45705.452800925923</v>
      </c>
      <c r="B1326" t="s">
        <v>28</v>
      </c>
      <c r="C1326" s="3">
        <v>45705.460729166662</v>
      </c>
      <c r="D1326" t="s">
        <v>111</v>
      </c>
      <c r="E1326" s="4">
        <v>2.4590000000000001</v>
      </c>
      <c r="F1326" s="4">
        <v>408793.609</v>
      </c>
      <c r="G1326" s="4">
        <v>408796.06800000003</v>
      </c>
      <c r="H1326" s="5">
        <f>339 / 86400</f>
        <v>3.9236111111111112E-3</v>
      </c>
      <c r="I1326" t="s">
        <v>180</v>
      </c>
      <c r="J1326" t="s">
        <v>66</v>
      </c>
      <c r="K1326" s="5">
        <f>685 / 86400</f>
        <v>7.9282407407407409E-3</v>
      </c>
      <c r="L1326" s="5">
        <f>2120 / 86400</f>
        <v>2.4537037037037038E-2</v>
      </c>
    </row>
    <row r="1327" spans="1:12" x14ac:dyDescent="0.25">
      <c r="A1327" s="3">
        <v>45705.485266203701</v>
      </c>
      <c r="B1327" t="s">
        <v>111</v>
      </c>
      <c r="C1327" s="3">
        <v>45705.527349537035</v>
      </c>
      <c r="D1327" t="s">
        <v>94</v>
      </c>
      <c r="E1327" s="4">
        <v>22.494</v>
      </c>
      <c r="F1327" s="4">
        <v>408796.06800000003</v>
      </c>
      <c r="G1327" s="4">
        <v>408818.56199999998</v>
      </c>
      <c r="H1327" s="5">
        <f>1059 / 86400</f>
        <v>1.2256944444444445E-2</v>
      </c>
      <c r="I1327" t="s">
        <v>101</v>
      </c>
      <c r="J1327" t="s">
        <v>135</v>
      </c>
      <c r="K1327" s="5">
        <f>3636 / 86400</f>
        <v>4.2083333333333334E-2</v>
      </c>
      <c r="L1327" s="5">
        <f>680 / 86400</f>
        <v>7.8703703703703696E-3</v>
      </c>
    </row>
    <row r="1328" spans="1:12" x14ac:dyDescent="0.25">
      <c r="A1328" s="3">
        <v>45705.535219907411</v>
      </c>
      <c r="B1328" t="s">
        <v>94</v>
      </c>
      <c r="C1328" s="3">
        <v>45705.537476851852</v>
      </c>
      <c r="D1328" t="s">
        <v>51</v>
      </c>
      <c r="E1328" s="4">
        <v>0.42599999999999999</v>
      </c>
      <c r="F1328" s="4">
        <v>408818.56199999998</v>
      </c>
      <c r="G1328" s="4">
        <v>408818.98800000001</v>
      </c>
      <c r="H1328" s="5">
        <f>20 / 86400</f>
        <v>2.3148148148148149E-4</v>
      </c>
      <c r="I1328" t="s">
        <v>32</v>
      </c>
      <c r="J1328" t="s">
        <v>107</v>
      </c>
      <c r="K1328" s="5">
        <f>194 / 86400</f>
        <v>2.2453703703703702E-3</v>
      </c>
      <c r="L1328" s="5">
        <f>2443 / 86400</f>
        <v>2.8275462962962964E-2</v>
      </c>
    </row>
    <row r="1329" spans="1:12" x14ac:dyDescent="0.25">
      <c r="A1329" s="3">
        <v>45705.565752314811</v>
      </c>
      <c r="B1329" t="s">
        <v>51</v>
      </c>
      <c r="C1329" s="3">
        <v>45705.568055555559</v>
      </c>
      <c r="D1329" t="s">
        <v>433</v>
      </c>
      <c r="E1329" s="4">
        <v>0.67700000000000005</v>
      </c>
      <c r="F1329" s="4">
        <v>408818.98800000001</v>
      </c>
      <c r="G1329" s="4">
        <v>408819.66499999998</v>
      </c>
      <c r="H1329" s="5">
        <f>0 / 86400</f>
        <v>0</v>
      </c>
      <c r="I1329" t="s">
        <v>152</v>
      </c>
      <c r="J1329" t="s">
        <v>162</v>
      </c>
      <c r="K1329" s="5">
        <f>198 / 86400</f>
        <v>2.2916666666666667E-3</v>
      </c>
      <c r="L1329" s="5">
        <f>64 / 86400</f>
        <v>7.407407407407407E-4</v>
      </c>
    </row>
    <row r="1330" spans="1:12" x14ac:dyDescent="0.25">
      <c r="A1330" s="3">
        <v>45705.568796296298</v>
      </c>
      <c r="B1330" t="s">
        <v>433</v>
      </c>
      <c r="C1330" s="3">
        <v>45705.570925925931</v>
      </c>
      <c r="D1330" t="s">
        <v>128</v>
      </c>
      <c r="E1330" s="4">
        <v>0.58899999999999997</v>
      </c>
      <c r="F1330" s="4">
        <v>408819.66499999998</v>
      </c>
      <c r="G1330" s="4">
        <v>408820.25400000002</v>
      </c>
      <c r="H1330" s="5">
        <f>20 / 86400</f>
        <v>2.3148148148148149E-4</v>
      </c>
      <c r="I1330" t="s">
        <v>135</v>
      </c>
      <c r="J1330" t="s">
        <v>162</v>
      </c>
      <c r="K1330" s="5">
        <f>184 / 86400</f>
        <v>2.1296296296296298E-3</v>
      </c>
      <c r="L1330" s="5">
        <f>3042 / 86400</f>
        <v>3.5208333333333335E-2</v>
      </c>
    </row>
    <row r="1331" spans="1:12" x14ac:dyDescent="0.25">
      <c r="A1331" s="3">
        <v>45705.606134259258</v>
      </c>
      <c r="B1331" t="s">
        <v>128</v>
      </c>
      <c r="C1331" s="3">
        <v>45705.776423611111</v>
      </c>
      <c r="D1331" t="s">
        <v>434</v>
      </c>
      <c r="E1331" s="4">
        <v>78.347999999999999</v>
      </c>
      <c r="F1331" s="4">
        <v>408820.25400000002</v>
      </c>
      <c r="G1331" s="4">
        <v>408898.60200000001</v>
      </c>
      <c r="H1331" s="5">
        <f>3900 / 86400</f>
        <v>4.5138888888888888E-2</v>
      </c>
      <c r="I1331" t="s">
        <v>34</v>
      </c>
      <c r="J1331" t="s">
        <v>27</v>
      </c>
      <c r="K1331" s="5">
        <f>14713 / 86400</f>
        <v>0.17028935185185184</v>
      </c>
      <c r="L1331" s="5">
        <f>235 / 86400</f>
        <v>2.7199074074074074E-3</v>
      </c>
    </row>
    <row r="1332" spans="1:12" x14ac:dyDescent="0.25">
      <c r="A1332" s="3">
        <v>45705.779143518521</v>
      </c>
      <c r="B1332" t="s">
        <v>434</v>
      </c>
      <c r="C1332" s="3">
        <v>45705.942557870367</v>
      </c>
      <c r="D1332" t="s">
        <v>111</v>
      </c>
      <c r="E1332" s="4">
        <v>75.024000000000001</v>
      </c>
      <c r="F1332" s="4">
        <v>408898.60200000001</v>
      </c>
      <c r="G1332" s="4">
        <v>408973.62599999999</v>
      </c>
      <c r="H1332" s="5">
        <f>4748 / 86400</f>
        <v>5.4953703703703706E-2</v>
      </c>
      <c r="I1332" t="s">
        <v>90</v>
      </c>
      <c r="J1332" t="s">
        <v>27</v>
      </c>
      <c r="K1332" s="5">
        <f>14119 / 86400</f>
        <v>0.16341435185185185</v>
      </c>
      <c r="L1332" s="5">
        <f>450 / 86400</f>
        <v>5.208333333333333E-3</v>
      </c>
    </row>
    <row r="1333" spans="1:12" x14ac:dyDescent="0.25">
      <c r="A1333" s="3">
        <v>45705.947766203702</v>
      </c>
      <c r="B1333" t="s">
        <v>111</v>
      </c>
      <c r="C1333" s="3">
        <v>45705.94798611111</v>
      </c>
      <c r="D1333" t="s">
        <v>111</v>
      </c>
      <c r="E1333" s="4">
        <v>2.1000000000000001E-2</v>
      </c>
      <c r="F1333" s="4">
        <v>408973.62599999999</v>
      </c>
      <c r="G1333" s="4">
        <v>408973.647</v>
      </c>
      <c r="H1333" s="5">
        <f>0 / 86400</f>
        <v>0</v>
      </c>
      <c r="I1333" t="s">
        <v>153</v>
      </c>
      <c r="J1333" t="s">
        <v>148</v>
      </c>
      <c r="K1333" s="5">
        <f>18 / 86400</f>
        <v>2.0833333333333335E-4</v>
      </c>
      <c r="L1333" s="5">
        <f>685 / 86400</f>
        <v>7.9282407407407409E-3</v>
      </c>
    </row>
    <row r="1334" spans="1:12" x14ac:dyDescent="0.25">
      <c r="A1334" s="3">
        <v>45705.955914351856</v>
      </c>
      <c r="B1334" t="s">
        <v>111</v>
      </c>
      <c r="C1334" s="3">
        <v>45705.960324074069</v>
      </c>
      <c r="D1334" t="s">
        <v>28</v>
      </c>
      <c r="E1334" s="4">
        <v>2.2570000000000001</v>
      </c>
      <c r="F1334" s="4">
        <v>408973.647</v>
      </c>
      <c r="G1334" s="4">
        <v>408975.90399999998</v>
      </c>
      <c r="H1334" s="5">
        <f>60 / 86400</f>
        <v>6.9444444444444447E-4</v>
      </c>
      <c r="I1334" t="s">
        <v>173</v>
      </c>
      <c r="J1334" t="s">
        <v>38</v>
      </c>
      <c r="K1334" s="5">
        <f>381 / 86400</f>
        <v>4.409722222222222E-3</v>
      </c>
      <c r="L1334" s="5">
        <f>134 / 86400</f>
        <v>1.5509259259259259E-3</v>
      </c>
    </row>
    <row r="1335" spans="1:12" x14ac:dyDescent="0.25">
      <c r="A1335" s="3">
        <v>45705.961875000001</v>
      </c>
      <c r="B1335" t="s">
        <v>28</v>
      </c>
      <c r="C1335" s="3">
        <v>45705.961886574078</v>
      </c>
      <c r="D1335" t="s">
        <v>28</v>
      </c>
      <c r="E1335" s="4">
        <v>0</v>
      </c>
      <c r="F1335" s="4">
        <v>408975.90399999998</v>
      </c>
      <c r="G1335" s="4">
        <v>408975.90399999998</v>
      </c>
      <c r="H1335" s="5">
        <f>0 / 86400</f>
        <v>0</v>
      </c>
      <c r="I1335" t="s">
        <v>73</v>
      </c>
      <c r="J1335" t="s">
        <v>73</v>
      </c>
      <c r="K1335" s="5">
        <f>1 / 86400</f>
        <v>1.1574074074074073E-5</v>
      </c>
      <c r="L1335" s="5">
        <f>2 / 86400</f>
        <v>2.3148148148148147E-5</v>
      </c>
    </row>
    <row r="1336" spans="1:12" x14ac:dyDescent="0.25">
      <c r="A1336" s="3">
        <v>45705.961909722224</v>
      </c>
      <c r="B1336" t="s">
        <v>28</v>
      </c>
      <c r="C1336" s="3">
        <v>45705.96193287037</v>
      </c>
      <c r="D1336" t="s">
        <v>28</v>
      </c>
      <c r="E1336" s="4">
        <v>0</v>
      </c>
      <c r="F1336" s="4">
        <v>408975.90399999998</v>
      </c>
      <c r="G1336" s="4">
        <v>408975.90399999998</v>
      </c>
      <c r="H1336" s="5">
        <f>0 / 86400</f>
        <v>0</v>
      </c>
      <c r="I1336" t="s">
        <v>73</v>
      </c>
      <c r="J1336" t="s">
        <v>73</v>
      </c>
      <c r="K1336" s="5">
        <f>2 / 86400</f>
        <v>2.3148148148148147E-5</v>
      </c>
      <c r="L1336" s="5">
        <f>45 / 86400</f>
        <v>5.2083333333333333E-4</v>
      </c>
    </row>
    <row r="1337" spans="1:12" x14ac:dyDescent="0.25">
      <c r="A1337" s="3">
        <v>45705.962453703702</v>
      </c>
      <c r="B1337" t="s">
        <v>28</v>
      </c>
      <c r="C1337" s="3">
        <v>45705.963680555556</v>
      </c>
      <c r="D1337" t="s">
        <v>28</v>
      </c>
      <c r="E1337" s="4">
        <v>0.02</v>
      </c>
      <c r="F1337" s="4">
        <v>408975.90399999998</v>
      </c>
      <c r="G1337" s="4">
        <v>408975.924</v>
      </c>
      <c r="H1337" s="5">
        <f>79 / 86400</f>
        <v>9.1435185185185185E-4</v>
      </c>
      <c r="I1337" t="s">
        <v>143</v>
      </c>
      <c r="J1337" t="s">
        <v>144</v>
      </c>
      <c r="K1337" s="5">
        <f>106 / 86400</f>
        <v>1.2268518518518518E-3</v>
      </c>
      <c r="L1337" s="5">
        <f>3137 / 86400</f>
        <v>3.6307870370370372E-2</v>
      </c>
    </row>
    <row r="1338" spans="1:12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</row>
    <row r="1339" spans="1:12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</row>
    <row r="1340" spans="1:12" s="10" customFormat="1" ht="20.100000000000001" customHeight="1" x14ac:dyDescent="0.35">
      <c r="A1340" s="12" t="s">
        <v>499</v>
      </c>
      <c r="B1340" s="12"/>
      <c r="C1340" s="12"/>
      <c r="D1340" s="12"/>
      <c r="E1340" s="12"/>
      <c r="F1340" s="12"/>
      <c r="G1340" s="12"/>
      <c r="H1340" s="12"/>
      <c r="I1340" s="12"/>
      <c r="J1340" s="12"/>
    </row>
    <row r="1341" spans="1:12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</row>
    <row r="1342" spans="1:12" ht="30" x14ac:dyDescent="0.25">
      <c r="A1342" s="2" t="s">
        <v>6</v>
      </c>
      <c r="B1342" s="2" t="s">
        <v>7</v>
      </c>
      <c r="C1342" s="2" t="s">
        <v>8</v>
      </c>
      <c r="D1342" s="2" t="s">
        <v>9</v>
      </c>
      <c r="E1342" s="2" t="s">
        <v>10</v>
      </c>
      <c r="F1342" s="2" t="s">
        <v>11</v>
      </c>
      <c r="G1342" s="2" t="s">
        <v>12</v>
      </c>
      <c r="H1342" s="2" t="s">
        <v>13</v>
      </c>
      <c r="I1342" s="2" t="s">
        <v>14</v>
      </c>
      <c r="J1342" s="2" t="s">
        <v>15</v>
      </c>
      <c r="K1342" s="2" t="s">
        <v>16</v>
      </c>
      <c r="L1342" s="2" t="s">
        <v>17</v>
      </c>
    </row>
    <row r="1343" spans="1:12" x14ac:dyDescent="0.25">
      <c r="A1343" s="3">
        <v>45705</v>
      </c>
      <c r="B1343" t="s">
        <v>96</v>
      </c>
      <c r="C1343" s="3">
        <v>45705.011446759258</v>
      </c>
      <c r="D1343" t="s">
        <v>111</v>
      </c>
      <c r="E1343" s="4">
        <v>7.8760000000000003</v>
      </c>
      <c r="F1343" s="4">
        <v>551179.34199999995</v>
      </c>
      <c r="G1343" s="4">
        <v>551187.21799999999</v>
      </c>
      <c r="H1343" s="5">
        <f>100 / 86400</f>
        <v>1.1574074074074073E-3</v>
      </c>
      <c r="I1343" t="s">
        <v>192</v>
      </c>
      <c r="J1343" t="s">
        <v>150</v>
      </c>
      <c r="K1343" s="5">
        <f>989 / 86400</f>
        <v>1.1446759259259259E-2</v>
      </c>
      <c r="L1343" s="5">
        <f>568 / 86400</f>
        <v>6.5740740740740742E-3</v>
      </c>
    </row>
    <row r="1344" spans="1:12" x14ac:dyDescent="0.25">
      <c r="A1344" s="3">
        <v>45705.018020833333</v>
      </c>
      <c r="B1344" t="s">
        <v>111</v>
      </c>
      <c r="C1344" s="3">
        <v>45705.02851851852</v>
      </c>
      <c r="D1344" t="s">
        <v>82</v>
      </c>
      <c r="E1344" s="4">
        <v>0.29799999999999999</v>
      </c>
      <c r="F1344" s="4">
        <v>551187.21799999999</v>
      </c>
      <c r="G1344" s="4">
        <v>551187.51599999995</v>
      </c>
      <c r="H1344" s="5">
        <f>760 / 86400</f>
        <v>8.7962962962962968E-3</v>
      </c>
      <c r="I1344" t="s">
        <v>32</v>
      </c>
      <c r="J1344" t="s">
        <v>144</v>
      </c>
      <c r="K1344" s="5">
        <f>907 / 86400</f>
        <v>1.0497685185185185E-2</v>
      </c>
      <c r="L1344" s="5">
        <f>19786 / 86400</f>
        <v>0.22900462962962964</v>
      </c>
    </row>
    <row r="1345" spans="1:12" x14ac:dyDescent="0.25">
      <c r="A1345" s="3">
        <v>45705.257523148146</v>
      </c>
      <c r="B1345" t="s">
        <v>82</v>
      </c>
      <c r="C1345" s="3">
        <v>45705.270914351851</v>
      </c>
      <c r="D1345" t="s">
        <v>217</v>
      </c>
      <c r="E1345" s="4">
        <v>8.0280000000000005</v>
      </c>
      <c r="F1345" s="4">
        <v>551187.51599999995</v>
      </c>
      <c r="G1345" s="4">
        <v>551195.54399999999</v>
      </c>
      <c r="H1345" s="5">
        <f>300 / 86400</f>
        <v>3.472222222222222E-3</v>
      </c>
      <c r="I1345" t="s">
        <v>173</v>
      </c>
      <c r="J1345" t="s">
        <v>163</v>
      </c>
      <c r="K1345" s="5">
        <f>1157 / 86400</f>
        <v>1.3391203703703704E-2</v>
      </c>
      <c r="L1345" s="5">
        <f>1041 / 86400</f>
        <v>1.2048611111111111E-2</v>
      </c>
    </row>
    <row r="1346" spans="1:12" x14ac:dyDescent="0.25">
      <c r="A1346" s="3">
        <v>45705.282962962963</v>
      </c>
      <c r="B1346" t="s">
        <v>217</v>
      </c>
      <c r="C1346" s="3">
        <v>45705.462280092594</v>
      </c>
      <c r="D1346" t="s">
        <v>93</v>
      </c>
      <c r="E1346" s="4">
        <v>79.835999999999999</v>
      </c>
      <c r="F1346" s="4">
        <v>551195.54399999999</v>
      </c>
      <c r="G1346" s="4">
        <v>551275.38</v>
      </c>
      <c r="H1346" s="5">
        <f>4520 / 86400</f>
        <v>5.2314814814814814E-2</v>
      </c>
      <c r="I1346" t="s">
        <v>119</v>
      </c>
      <c r="J1346" t="s">
        <v>27</v>
      </c>
      <c r="K1346" s="5">
        <f>15493 / 86400</f>
        <v>0.17931712962962962</v>
      </c>
      <c r="L1346" s="5">
        <f>2224 / 86400</f>
        <v>2.5740740740740741E-2</v>
      </c>
    </row>
    <row r="1347" spans="1:12" x14ac:dyDescent="0.25">
      <c r="A1347" s="3">
        <v>45705.488020833334</v>
      </c>
      <c r="B1347" t="s">
        <v>93</v>
      </c>
      <c r="C1347" s="3">
        <v>45705.49046296296</v>
      </c>
      <c r="D1347" t="s">
        <v>93</v>
      </c>
      <c r="E1347" s="4">
        <v>4.1000000000000002E-2</v>
      </c>
      <c r="F1347" s="4">
        <v>551275.38</v>
      </c>
      <c r="G1347" s="4">
        <v>551275.42099999997</v>
      </c>
      <c r="H1347" s="5">
        <f>139 / 86400</f>
        <v>1.6087962962962963E-3</v>
      </c>
      <c r="I1347" t="s">
        <v>84</v>
      </c>
      <c r="J1347" t="s">
        <v>144</v>
      </c>
      <c r="K1347" s="5">
        <f>211 / 86400</f>
        <v>2.4421296296296296E-3</v>
      </c>
      <c r="L1347" s="5">
        <f>2232 / 86400</f>
        <v>2.5833333333333333E-2</v>
      </c>
    </row>
    <row r="1348" spans="1:12" x14ac:dyDescent="0.25">
      <c r="A1348" s="3">
        <v>45705.516296296293</v>
      </c>
      <c r="B1348" t="s">
        <v>93</v>
      </c>
      <c r="C1348" s="3">
        <v>45705.518009259264</v>
      </c>
      <c r="D1348" t="s">
        <v>411</v>
      </c>
      <c r="E1348" s="4">
        <v>5.6000000000000001E-2</v>
      </c>
      <c r="F1348" s="4">
        <v>551275.42099999997</v>
      </c>
      <c r="G1348" s="4">
        <v>551275.47699999996</v>
      </c>
      <c r="H1348" s="5">
        <f>99 / 86400</f>
        <v>1.1458333333333333E-3</v>
      </c>
      <c r="I1348" t="s">
        <v>142</v>
      </c>
      <c r="J1348" t="s">
        <v>144</v>
      </c>
      <c r="K1348" s="5">
        <f>148 / 86400</f>
        <v>1.712962962962963E-3</v>
      </c>
      <c r="L1348" s="5">
        <f>1207 / 86400</f>
        <v>1.3969907407407407E-2</v>
      </c>
    </row>
    <row r="1349" spans="1:12" x14ac:dyDescent="0.25">
      <c r="A1349" s="3">
        <v>45705.53197916667</v>
      </c>
      <c r="B1349" t="s">
        <v>411</v>
      </c>
      <c r="C1349" s="3">
        <v>45705.541400462964</v>
      </c>
      <c r="D1349" t="s">
        <v>48</v>
      </c>
      <c r="E1349" s="4">
        <v>0.91900000000000004</v>
      </c>
      <c r="F1349" s="4">
        <v>551275.47699999996</v>
      </c>
      <c r="G1349" s="4">
        <v>551276.39599999995</v>
      </c>
      <c r="H1349" s="5">
        <f>521 / 86400</f>
        <v>6.030092592592593E-3</v>
      </c>
      <c r="I1349" t="s">
        <v>265</v>
      </c>
      <c r="J1349" t="s">
        <v>148</v>
      </c>
      <c r="K1349" s="5">
        <f>814 / 86400</f>
        <v>9.4212962962962957E-3</v>
      </c>
      <c r="L1349" s="5">
        <f>948 / 86400</f>
        <v>1.0972222222222222E-2</v>
      </c>
    </row>
    <row r="1350" spans="1:12" x14ac:dyDescent="0.25">
      <c r="A1350" s="3">
        <v>45705.552372685182</v>
      </c>
      <c r="B1350" t="s">
        <v>48</v>
      </c>
      <c r="C1350" s="3">
        <v>45705.56181712963</v>
      </c>
      <c r="D1350" t="s">
        <v>48</v>
      </c>
      <c r="E1350" s="4">
        <v>0.38800000000000001</v>
      </c>
      <c r="F1350" s="4">
        <v>551276.39599999995</v>
      </c>
      <c r="G1350" s="4">
        <v>551276.78399999999</v>
      </c>
      <c r="H1350" s="5">
        <f>459 / 86400</f>
        <v>5.3125000000000004E-3</v>
      </c>
      <c r="I1350" t="s">
        <v>133</v>
      </c>
      <c r="J1350" t="s">
        <v>143</v>
      </c>
      <c r="K1350" s="5">
        <f>816 / 86400</f>
        <v>9.4444444444444445E-3</v>
      </c>
      <c r="L1350" s="5">
        <f>416 / 86400</f>
        <v>4.8148148148148152E-3</v>
      </c>
    </row>
    <row r="1351" spans="1:12" x14ac:dyDescent="0.25">
      <c r="A1351" s="3">
        <v>45705.566631944443</v>
      </c>
      <c r="B1351" t="s">
        <v>48</v>
      </c>
      <c r="C1351" s="3">
        <v>45705.567199074074</v>
      </c>
      <c r="D1351" t="s">
        <v>48</v>
      </c>
      <c r="E1351" s="4">
        <v>7.0000000000000001E-3</v>
      </c>
      <c r="F1351" s="4">
        <v>551276.78399999999</v>
      </c>
      <c r="G1351" s="4">
        <v>551276.79099999997</v>
      </c>
      <c r="H1351" s="5">
        <f>20 / 86400</f>
        <v>2.3148148148148149E-4</v>
      </c>
      <c r="I1351" t="s">
        <v>144</v>
      </c>
      <c r="J1351" t="s">
        <v>144</v>
      </c>
      <c r="K1351" s="5">
        <f>48 / 86400</f>
        <v>5.5555555555555556E-4</v>
      </c>
      <c r="L1351" s="5">
        <f>5975 / 86400</f>
        <v>6.9155092592592587E-2</v>
      </c>
    </row>
    <row r="1352" spans="1:12" x14ac:dyDescent="0.25">
      <c r="A1352" s="3">
        <v>45705.636354166665</v>
      </c>
      <c r="B1352" t="s">
        <v>48</v>
      </c>
      <c r="C1352" s="3">
        <v>45705.640115740738</v>
      </c>
      <c r="D1352" t="s">
        <v>48</v>
      </c>
      <c r="E1352" s="4">
        <v>0.25700000000000001</v>
      </c>
      <c r="F1352" s="4">
        <v>551276.79099999997</v>
      </c>
      <c r="G1352" s="4">
        <v>551277.04799999995</v>
      </c>
      <c r="H1352" s="5">
        <f>159 / 86400</f>
        <v>1.8402777777777777E-3</v>
      </c>
      <c r="I1352" t="s">
        <v>23</v>
      </c>
      <c r="J1352" t="s">
        <v>84</v>
      </c>
      <c r="K1352" s="5">
        <f>325 / 86400</f>
        <v>3.7615740740740739E-3</v>
      </c>
      <c r="L1352" s="5">
        <f>4956 / 86400</f>
        <v>5.7361111111111113E-2</v>
      </c>
    </row>
    <row r="1353" spans="1:12" x14ac:dyDescent="0.25">
      <c r="A1353" s="3">
        <v>45705.697476851856</v>
      </c>
      <c r="B1353" t="s">
        <v>48</v>
      </c>
      <c r="C1353" s="3">
        <v>45705.703090277777</v>
      </c>
      <c r="D1353" t="s">
        <v>411</v>
      </c>
      <c r="E1353" s="4">
        <v>0.43099999999999999</v>
      </c>
      <c r="F1353" s="4">
        <v>551277.04799999995</v>
      </c>
      <c r="G1353" s="4">
        <v>551277.47900000005</v>
      </c>
      <c r="H1353" s="5">
        <f>279 / 86400</f>
        <v>3.2291666666666666E-3</v>
      </c>
      <c r="I1353" t="s">
        <v>129</v>
      </c>
      <c r="J1353" t="s">
        <v>84</v>
      </c>
      <c r="K1353" s="5">
        <f>485 / 86400</f>
        <v>5.6134259259259262E-3</v>
      </c>
      <c r="L1353" s="5">
        <f>3 / 86400</f>
        <v>3.4722222222222222E-5</v>
      </c>
    </row>
    <row r="1354" spans="1:12" x14ac:dyDescent="0.25">
      <c r="A1354" s="3">
        <v>45705.703125</v>
      </c>
      <c r="B1354" t="s">
        <v>411</v>
      </c>
      <c r="C1354" s="3">
        <v>45705.708831018521</v>
      </c>
      <c r="D1354" t="s">
        <v>411</v>
      </c>
      <c r="E1354" s="4">
        <v>0</v>
      </c>
      <c r="F1354" s="4">
        <v>551277.47900000005</v>
      </c>
      <c r="G1354" s="4">
        <v>551277.47900000005</v>
      </c>
      <c r="H1354" s="5">
        <f>484 / 86400</f>
        <v>5.6018518518518518E-3</v>
      </c>
      <c r="I1354" t="s">
        <v>73</v>
      </c>
      <c r="J1354" t="s">
        <v>73</v>
      </c>
      <c r="K1354" s="5">
        <f>493 / 86400</f>
        <v>5.7060185185185183E-3</v>
      </c>
      <c r="L1354" s="5">
        <f>4 / 86400</f>
        <v>4.6296296296296294E-5</v>
      </c>
    </row>
    <row r="1355" spans="1:12" x14ac:dyDescent="0.25">
      <c r="A1355" s="3">
        <v>45705.708877314813</v>
      </c>
      <c r="B1355" t="s">
        <v>411</v>
      </c>
      <c r="C1355" s="3">
        <v>45705.711319444439</v>
      </c>
      <c r="D1355" t="s">
        <v>411</v>
      </c>
      <c r="E1355" s="4">
        <v>0</v>
      </c>
      <c r="F1355" s="4">
        <v>551277.47900000005</v>
      </c>
      <c r="G1355" s="4">
        <v>551277.47900000005</v>
      </c>
      <c r="H1355" s="5">
        <f>206 / 86400</f>
        <v>2.3842592592592591E-3</v>
      </c>
      <c r="I1355" t="s">
        <v>73</v>
      </c>
      <c r="J1355" t="s">
        <v>73</v>
      </c>
      <c r="K1355" s="5">
        <f>211 / 86400</f>
        <v>2.4421296296296296E-3</v>
      </c>
      <c r="L1355" s="5">
        <f>242 / 86400</f>
        <v>2.8009259259259259E-3</v>
      </c>
    </row>
    <row r="1356" spans="1:12" x14ac:dyDescent="0.25">
      <c r="A1356" s="3">
        <v>45705.714120370365</v>
      </c>
      <c r="B1356" t="s">
        <v>411</v>
      </c>
      <c r="C1356" s="3">
        <v>45705.714675925927</v>
      </c>
      <c r="D1356" t="s">
        <v>411</v>
      </c>
      <c r="E1356" s="4">
        <v>2E-3</v>
      </c>
      <c r="F1356" s="4">
        <v>551277.47900000005</v>
      </c>
      <c r="G1356" s="4">
        <v>551277.48100000003</v>
      </c>
      <c r="H1356" s="5">
        <f>39 / 86400</f>
        <v>4.5138888888888887E-4</v>
      </c>
      <c r="I1356" t="s">
        <v>73</v>
      </c>
      <c r="J1356" t="s">
        <v>73</v>
      </c>
      <c r="K1356" s="5">
        <f>47 / 86400</f>
        <v>5.4398148148148144E-4</v>
      </c>
      <c r="L1356" s="5">
        <f>228 / 86400</f>
        <v>2.638888888888889E-3</v>
      </c>
    </row>
    <row r="1357" spans="1:12" x14ac:dyDescent="0.25">
      <c r="A1357" s="3">
        <v>45705.717314814814</v>
      </c>
      <c r="B1357" t="s">
        <v>411</v>
      </c>
      <c r="C1357" s="3">
        <v>45705.720462962963</v>
      </c>
      <c r="D1357" t="s">
        <v>70</v>
      </c>
      <c r="E1357" s="4">
        <v>0.35299999999999998</v>
      </c>
      <c r="F1357" s="4">
        <v>551277.48100000003</v>
      </c>
      <c r="G1357" s="4">
        <v>551277.83400000003</v>
      </c>
      <c r="H1357" s="5">
        <f>119 / 86400</f>
        <v>1.3773148148148147E-3</v>
      </c>
      <c r="I1357" t="s">
        <v>30</v>
      </c>
      <c r="J1357" t="s">
        <v>142</v>
      </c>
      <c r="K1357" s="5">
        <f>271 / 86400</f>
        <v>3.1365740740740742E-3</v>
      </c>
      <c r="L1357" s="5">
        <f>346 / 86400</f>
        <v>4.0046296296296297E-3</v>
      </c>
    </row>
    <row r="1358" spans="1:12" x14ac:dyDescent="0.25">
      <c r="A1358" s="3">
        <v>45705.72446759259</v>
      </c>
      <c r="B1358" t="s">
        <v>70</v>
      </c>
      <c r="C1358" s="3">
        <v>45705.99998842593</v>
      </c>
      <c r="D1358" t="s">
        <v>113</v>
      </c>
      <c r="E1358" s="4">
        <v>111.80200000000001</v>
      </c>
      <c r="F1358" s="4">
        <v>551277.83400000003</v>
      </c>
      <c r="G1358" s="4">
        <v>551389.63600000006</v>
      </c>
      <c r="H1358" s="5">
        <f>8162 / 86400</f>
        <v>9.4467592592592589E-2</v>
      </c>
      <c r="I1358" t="s">
        <v>99</v>
      </c>
      <c r="J1358" t="s">
        <v>32</v>
      </c>
      <c r="K1358" s="5">
        <f>23805 / 86400</f>
        <v>0.27552083333333333</v>
      </c>
      <c r="L1358" s="5">
        <f>0 / 86400</f>
        <v>0</v>
      </c>
    </row>
    <row r="1359" spans="1:12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</row>
    <row r="1360" spans="1:12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</row>
    <row r="1361" spans="1:12" s="10" customFormat="1" ht="20.100000000000001" customHeight="1" x14ac:dyDescent="0.35">
      <c r="A1361" s="12" t="s">
        <v>500</v>
      </c>
      <c r="B1361" s="12"/>
      <c r="C1361" s="12"/>
      <c r="D1361" s="12"/>
      <c r="E1361" s="12"/>
      <c r="F1361" s="12"/>
      <c r="G1361" s="12"/>
      <c r="H1361" s="12"/>
      <c r="I1361" s="12"/>
      <c r="J1361" s="12"/>
    </row>
    <row r="1362" spans="1:12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</row>
    <row r="1363" spans="1:12" ht="30" x14ac:dyDescent="0.25">
      <c r="A1363" s="2" t="s">
        <v>6</v>
      </c>
      <c r="B1363" s="2" t="s">
        <v>7</v>
      </c>
      <c r="C1363" s="2" t="s">
        <v>8</v>
      </c>
      <c r="D1363" s="2" t="s">
        <v>9</v>
      </c>
      <c r="E1363" s="2" t="s">
        <v>10</v>
      </c>
      <c r="F1363" s="2" t="s">
        <v>11</v>
      </c>
      <c r="G1363" s="2" t="s">
        <v>12</v>
      </c>
      <c r="H1363" s="2" t="s">
        <v>13</v>
      </c>
      <c r="I1363" s="2" t="s">
        <v>14</v>
      </c>
      <c r="J1363" s="2" t="s">
        <v>15</v>
      </c>
      <c r="K1363" s="2" t="s">
        <v>16</v>
      </c>
      <c r="L1363" s="2" t="s">
        <v>17</v>
      </c>
    </row>
    <row r="1364" spans="1:12" x14ac:dyDescent="0.25">
      <c r="A1364" s="3">
        <v>45705</v>
      </c>
      <c r="B1364" t="s">
        <v>120</v>
      </c>
      <c r="C1364" s="3">
        <v>45705.04724537037</v>
      </c>
      <c r="D1364" t="s">
        <v>36</v>
      </c>
      <c r="E1364" s="4">
        <v>61.404999999992548</v>
      </c>
      <c r="F1364" s="4">
        <v>57259.770000000004</v>
      </c>
      <c r="G1364" s="4">
        <v>57321.175000000003</v>
      </c>
      <c r="H1364" s="5">
        <f>2621 / 86400</f>
        <v>3.033564814814815E-2</v>
      </c>
      <c r="I1364" t="s">
        <v>33</v>
      </c>
      <c r="J1364" t="s">
        <v>251</v>
      </c>
      <c r="K1364" s="5">
        <f>4082 / 86400</f>
        <v>4.7245370370370368E-2</v>
      </c>
      <c r="L1364" s="5">
        <f>27295 / 86400</f>
        <v>0.31591435185185185</v>
      </c>
    </row>
    <row r="1365" spans="1:12" x14ac:dyDescent="0.25">
      <c r="A1365" s="3">
        <v>45705.363159722227</v>
      </c>
      <c r="B1365" t="s">
        <v>36</v>
      </c>
      <c r="C1365" s="3">
        <v>45705.363206018519</v>
      </c>
      <c r="D1365" t="s">
        <v>36</v>
      </c>
      <c r="E1365" s="4">
        <v>0</v>
      </c>
      <c r="F1365" s="4">
        <v>57321.175000000003</v>
      </c>
      <c r="G1365" s="4">
        <v>57321.175000000003</v>
      </c>
      <c r="H1365" s="5">
        <f>0 / 86400</f>
        <v>0</v>
      </c>
      <c r="I1365" t="s">
        <v>73</v>
      </c>
      <c r="J1365" t="s">
        <v>73</v>
      </c>
      <c r="K1365" s="5">
        <f>3 / 86400</f>
        <v>3.4722222222222222E-5</v>
      </c>
      <c r="L1365" s="5">
        <f>125 / 86400</f>
        <v>1.4467592592592592E-3</v>
      </c>
    </row>
    <row r="1366" spans="1:12" x14ac:dyDescent="0.25">
      <c r="A1366" s="3">
        <v>45705.364652777775</v>
      </c>
      <c r="B1366" t="s">
        <v>36</v>
      </c>
      <c r="C1366" s="3">
        <v>45705.406805555554</v>
      </c>
      <c r="D1366" t="s">
        <v>435</v>
      </c>
      <c r="E1366" s="4">
        <v>29.165000000007449</v>
      </c>
      <c r="F1366" s="4">
        <v>57321.175000000003</v>
      </c>
      <c r="G1366" s="4">
        <v>57350.340000000011</v>
      </c>
      <c r="H1366" s="5">
        <f>2420 / 86400</f>
        <v>2.8009259259259258E-2</v>
      </c>
      <c r="I1366" t="s">
        <v>159</v>
      </c>
      <c r="J1366" t="s">
        <v>150</v>
      </c>
      <c r="K1366" s="5">
        <f>3641 / 86400</f>
        <v>4.2141203703703702E-2</v>
      </c>
      <c r="L1366" s="5">
        <f>13 / 86400</f>
        <v>1.5046296296296297E-4</v>
      </c>
    </row>
    <row r="1367" spans="1:12" x14ac:dyDescent="0.25">
      <c r="A1367" s="3">
        <v>45705.406956018516</v>
      </c>
      <c r="B1367" t="s">
        <v>435</v>
      </c>
      <c r="C1367" s="3">
        <v>45705.407094907408</v>
      </c>
      <c r="D1367" t="s">
        <v>435</v>
      </c>
      <c r="E1367" s="4">
        <v>0</v>
      </c>
      <c r="F1367" s="4">
        <v>57350.340000000011</v>
      </c>
      <c r="G1367" s="4">
        <v>57350.340000000011</v>
      </c>
      <c r="H1367" s="5">
        <f>0 / 86400</f>
        <v>0</v>
      </c>
      <c r="I1367" t="s">
        <v>73</v>
      </c>
      <c r="J1367" t="s">
        <v>73</v>
      </c>
      <c r="K1367" s="5">
        <f>12 / 86400</f>
        <v>1.3888888888888889E-4</v>
      </c>
      <c r="L1367" s="5">
        <f>65 / 86400</f>
        <v>7.5231481481481482E-4</v>
      </c>
    </row>
    <row r="1368" spans="1:12" x14ac:dyDescent="0.25">
      <c r="A1368" s="3">
        <v>45705.407847222217</v>
      </c>
      <c r="B1368" t="s">
        <v>435</v>
      </c>
      <c r="C1368" s="3">
        <v>45705.408715277779</v>
      </c>
      <c r="D1368" t="s">
        <v>435</v>
      </c>
      <c r="E1368" s="4">
        <v>0</v>
      </c>
      <c r="F1368" s="4">
        <v>57350.340000000011</v>
      </c>
      <c r="G1368" s="4">
        <v>57350.340000000011</v>
      </c>
      <c r="H1368" s="5">
        <f>0 / 86400</f>
        <v>0</v>
      </c>
      <c r="I1368" t="s">
        <v>73</v>
      </c>
      <c r="J1368" t="s">
        <v>73</v>
      </c>
      <c r="K1368" s="5">
        <f>74 / 86400</f>
        <v>8.564814814814815E-4</v>
      </c>
      <c r="L1368" s="5">
        <f>546 / 86400</f>
        <v>6.3194444444444444E-3</v>
      </c>
    </row>
    <row r="1369" spans="1:12" x14ac:dyDescent="0.25">
      <c r="A1369" s="3">
        <v>45705.415034722224</v>
      </c>
      <c r="B1369" t="s">
        <v>435</v>
      </c>
      <c r="C1369" s="3">
        <v>45705.428101851852</v>
      </c>
      <c r="D1369" t="s">
        <v>111</v>
      </c>
      <c r="E1369" s="4">
        <v>24.294999999992548</v>
      </c>
      <c r="F1369" s="4">
        <v>57350.340000000011</v>
      </c>
      <c r="G1369" s="4">
        <v>57374.635000000002</v>
      </c>
      <c r="H1369" s="5">
        <f>300 / 86400</f>
        <v>3.472222222222222E-3</v>
      </c>
      <c r="I1369" t="s">
        <v>333</v>
      </c>
      <c r="J1369" t="s">
        <v>34</v>
      </c>
      <c r="K1369" s="5">
        <f>1129 / 86400</f>
        <v>1.306712962962963E-2</v>
      </c>
      <c r="L1369" s="5">
        <f>2184 / 86400</f>
        <v>2.5277777777777777E-2</v>
      </c>
    </row>
    <row r="1370" spans="1:12" x14ac:dyDescent="0.25">
      <c r="A1370" s="3">
        <v>45705.453379629631</v>
      </c>
      <c r="B1370" t="s">
        <v>111</v>
      </c>
      <c r="C1370" s="3">
        <v>45705.679594907408</v>
      </c>
      <c r="D1370" t="s">
        <v>369</v>
      </c>
      <c r="E1370" s="4">
        <v>537.86500000000001</v>
      </c>
      <c r="F1370" s="4">
        <v>57374.635000000002</v>
      </c>
      <c r="G1370" s="4">
        <v>57912.5</v>
      </c>
      <c r="H1370" s="5">
        <f>6078 / 86400</f>
        <v>7.0347222222222228E-2</v>
      </c>
      <c r="I1370" t="s">
        <v>99</v>
      </c>
      <c r="J1370" t="s">
        <v>436</v>
      </c>
      <c r="K1370" s="5">
        <f>19545 / 86400</f>
        <v>0.22621527777777778</v>
      </c>
      <c r="L1370" s="5">
        <f>342 / 86400</f>
        <v>3.9583333333333337E-3</v>
      </c>
    </row>
    <row r="1371" spans="1:12" x14ac:dyDescent="0.25">
      <c r="A1371" s="3">
        <v>45705.683553240742</v>
      </c>
      <c r="B1371" t="s">
        <v>369</v>
      </c>
      <c r="C1371" s="3">
        <v>45705.686412037037</v>
      </c>
      <c r="D1371" t="s">
        <v>28</v>
      </c>
      <c r="E1371" s="4">
        <v>4.6950000000000003</v>
      </c>
      <c r="F1371" s="4">
        <v>57912.5</v>
      </c>
      <c r="G1371" s="4">
        <v>57917.195</v>
      </c>
      <c r="H1371" s="5">
        <f>0 / 86400</f>
        <v>0</v>
      </c>
      <c r="I1371" t="s">
        <v>163</v>
      </c>
      <c r="J1371" t="s">
        <v>221</v>
      </c>
      <c r="K1371" s="5">
        <f>247 / 86400</f>
        <v>2.8587962962962963E-3</v>
      </c>
      <c r="L1371" s="5">
        <f>407 / 86400</f>
        <v>4.7106481481481478E-3</v>
      </c>
    </row>
    <row r="1372" spans="1:12" x14ac:dyDescent="0.25">
      <c r="A1372" s="3">
        <v>45705.691122685181</v>
      </c>
      <c r="B1372" t="s">
        <v>28</v>
      </c>
      <c r="C1372" s="3">
        <v>45705.693807870368</v>
      </c>
      <c r="D1372" t="s">
        <v>36</v>
      </c>
      <c r="E1372" s="4">
        <v>3.3650000000000002</v>
      </c>
      <c r="F1372" s="4">
        <v>57917.195</v>
      </c>
      <c r="G1372" s="4">
        <v>57920.56</v>
      </c>
      <c r="H1372" s="5">
        <f>0 / 86400</f>
        <v>0</v>
      </c>
      <c r="I1372" t="s">
        <v>135</v>
      </c>
      <c r="J1372" t="s">
        <v>181</v>
      </c>
      <c r="K1372" s="5">
        <f>231 / 86400</f>
        <v>2.673611111111111E-3</v>
      </c>
      <c r="L1372" s="5">
        <f>22120 / 86400</f>
        <v>0.25601851851851853</v>
      </c>
    </row>
    <row r="1373" spans="1:12" x14ac:dyDescent="0.25">
      <c r="A1373" s="3">
        <v>45705.949826388889</v>
      </c>
      <c r="B1373" t="s">
        <v>36</v>
      </c>
      <c r="C1373" s="3">
        <v>45705.950520833328</v>
      </c>
      <c r="D1373" t="s">
        <v>36</v>
      </c>
      <c r="E1373" s="4">
        <v>0.27</v>
      </c>
      <c r="F1373" s="4">
        <v>57920.56</v>
      </c>
      <c r="G1373" s="4">
        <v>57920.83</v>
      </c>
      <c r="H1373" s="5">
        <f>20 / 86400</f>
        <v>2.3148148148148149E-4</v>
      </c>
      <c r="I1373" t="s">
        <v>151</v>
      </c>
      <c r="J1373" t="s">
        <v>62</v>
      </c>
      <c r="K1373" s="5">
        <f>60 / 86400</f>
        <v>6.9444444444444447E-4</v>
      </c>
      <c r="L1373" s="5">
        <f>4274 / 86400</f>
        <v>4.9467592592592591E-2</v>
      </c>
    </row>
    <row r="1374" spans="1:12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</row>
    <row r="1375" spans="1:12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</row>
    <row r="1376" spans="1:12" s="10" customFormat="1" ht="20.100000000000001" customHeight="1" x14ac:dyDescent="0.35">
      <c r="A1376" s="12" t="s">
        <v>501</v>
      </c>
      <c r="B1376" s="12"/>
      <c r="C1376" s="12"/>
      <c r="D1376" s="12"/>
      <c r="E1376" s="12"/>
      <c r="F1376" s="12"/>
      <c r="G1376" s="12"/>
      <c r="H1376" s="12"/>
      <c r="I1376" s="12"/>
      <c r="J1376" s="12"/>
    </row>
    <row r="1377" spans="1:12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</row>
    <row r="1378" spans="1:12" ht="30" x14ac:dyDescent="0.25">
      <c r="A1378" s="2" t="s">
        <v>6</v>
      </c>
      <c r="B1378" s="2" t="s">
        <v>7</v>
      </c>
      <c r="C1378" s="2" t="s">
        <v>8</v>
      </c>
      <c r="D1378" s="2" t="s">
        <v>9</v>
      </c>
      <c r="E1378" s="2" t="s">
        <v>10</v>
      </c>
      <c r="F1378" s="2" t="s">
        <v>11</v>
      </c>
      <c r="G1378" s="2" t="s">
        <v>12</v>
      </c>
      <c r="H1378" s="2" t="s">
        <v>13</v>
      </c>
      <c r="I1378" s="2" t="s">
        <v>14</v>
      </c>
      <c r="J1378" s="2" t="s">
        <v>15</v>
      </c>
      <c r="K1378" s="2" t="s">
        <v>16</v>
      </c>
      <c r="L1378" s="2" t="s">
        <v>17</v>
      </c>
    </row>
    <row r="1379" spans="1:12" x14ac:dyDescent="0.25">
      <c r="A1379" s="3">
        <v>45705</v>
      </c>
      <c r="B1379" t="s">
        <v>121</v>
      </c>
      <c r="C1379" s="3">
        <v>45705.031192129631</v>
      </c>
      <c r="D1379" t="s">
        <v>411</v>
      </c>
      <c r="E1379" s="4">
        <v>19.734999999999999</v>
      </c>
      <c r="F1379" s="4">
        <v>60455.576000000001</v>
      </c>
      <c r="G1379" s="4">
        <v>60475.311000000002</v>
      </c>
      <c r="H1379" s="5">
        <f>380 / 86400</f>
        <v>4.3981481481481484E-3</v>
      </c>
      <c r="I1379" t="s">
        <v>251</v>
      </c>
      <c r="J1379" t="s">
        <v>288</v>
      </c>
      <c r="K1379" s="5">
        <f>2695 / 86400</f>
        <v>3.1192129629629629E-2</v>
      </c>
      <c r="L1379" s="5">
        <f>1302 / 86400</f>
        <v>1.5069444444444444E-2</v>
      </c>
    </row>
    <row r="1380" spans="1:12" x14ac:dyDescent="0.25">
      <c r="A1380" s="3">
        <v>45705.046261574069</v>
      </c>
      <c r="B1380" t="s">
        <v>411</v>
      </c>
      <c r="C1380" s="3">
        <v>45705.047997685186</v>
      </c>
      <c r="D1380" t="s">
        <v>437</v>
      </c>
      <c r="E1380" s="4">
        <v>0.27900000000000003</v>
      </c>
      <c r="F1380" s="4">
        <v>60475.311000000002</v>
      </c>
      <c r="G1380" s="4">
        <v>60475.59</v>
      </c>
      <c r="H1380" s="5">
        <f>20 / 86400</f>
        <v>2.3148148148148149E-4</v>
      </c>
      <c r="I1380" t="s">
        <v>135</v>
      </c>
      <c r="J1380" t="s">
        <v>151</v>
      </c>
      <c r="K1380" s="5">
        <f>149 / 86400</f>
        <v>1.724537037037037E-3</v>
      </c>
      <c r="L1380" s="5">
        <f>120 / 86400</f>
        <v>1.3888888888888889E-3</v>
      </c>
    </row>
    <row r="1381" spans="1:12" x14ac:dyDescent="0.25">
      <c r="A1381" s="3">
        <v>45705.049386574072</v>
      </c>
      <c r="B1381" t="s">
        <v>437</v>
      </c>
      <c r="C1381" s="3">
        <v>45705.050439814819</v>
      </c>
      <c r="D1381" t="s">
        <v>437</v>
      </c>
      <c r="E1381" s="4">
        <v>3.7999999999999999E-2</v>
      </c>
      <c r="F1381" s="4">
        <v>60475.59</v>
      </c>
      <c r="G1381" s="4">
        <v>60475.627999999997</v>
      </c>
      <c r="H1381" s="5">
        <f>79 / 86400</f>
        <v>9.1435185185185185E-4</v>
      </c>
      <c r="I1381" t="s">
        <v>151</v>
      </c>
      <c r="J1381" t="s">
        <v>143</v>
      </c>
      <c r="K1381" s="5">
        <f>91 / 86400</f>
        <v>1.0532407407407407E-3</v>
      </c>
      <c r="L1381" s="5">
        <f>12472 / 86400</f>
        <v>0.14435185185185184</v>
      </c>
    </row>
    <row r="1382" spans="1:12" x14ac:dyDescent="0.25">
      <c r="A1382" s="3">
        <v>45705.194791666669</v>
      </c>
      <c r="B1382" t="s">
        <v>437</v>
      </c>
      <c r="C1382" s="3">
        <v>45705.198831018519</v>
      </c>
      <c r="D1382" t="s">
        <v>137</v>
      </c>
      <c r="E1382" s="4">
        <v>0.53300000000000003</v>
      </c>
      <c r="F1382" s="4">
        <v>60475.627999999997</v>
      </c>
      <c r="G1382" s="4">
        <v>60476.161</v>
      </c>
      <c r="H1382" s="5">
        <f>139 / 86400</f>
        <v>1.6087962962962963E-3</v>
      </c>
      <c r="I1382" t="s">
        <v>32</v>
      </c>
      <c r="J1382" t="s">
        <v>153</v>
      </c>
      <c r="K1382" s="5">
        <f>348 / 86400</f>
        <v>4.0277777777777777E-3</v>
      </c>
      <c r="L1382" s="5">
        <f>140 / 86400</f>
        <v>1.6203703703703703E-3</v>
      </c>
    </row>
    <row r="1383" spans="1:12" x14ac:dyDescent="0.25">
      <c r="A1383" s="3">
        <v>45705.20045138889</v>
      </c>
      <c r="B1383" t="s">
        <v>137</v>
      </c>
      <c r="C1383" s="3">
        <v>45705.301423611112</v>
      </c>
      <c r="D1383" t="s">
        <v>329</v>
      </c>
      <c r="E1383" s="4">
        <v>52.494999999999997</v>
      </c>
      <c r="F1383" s="4">
        <v>60476.161</v>
      </c>
      <c r="G1383" s="4">
        <v>60528.656000000003</v>
      </c>
      <c r="H1383" s="5">
        <f>2120 / 86400</f>
        <v>2.4537037037037038E-2</v>
      </c>
      <c r="I1383" t="s">
        <v>58</v>
      </c>
      <c r="J1383" t="s">
        <v>135</v>
      </c>
      <c r="K1383" s="5">
        <f>8723 / 86400</f>
        <v>0.10096064814814815</v>
      </c>
      <c r="L1383" s="5">
        <f>101 / 86400</f>
        <v>1.1689814814814816E-3</v>
      </c>
    </row>
    <row r="1384" spans="1:12" x14ac:dyDescent="0.25">
      <c r="A1384" s="3">
        <v>45705.30259259259</v>
      </c>
      <c r="B1384" t="s">
        <v>329</v>
      </c>
      <c r="C1384" s="3">
        <v>45705.373333333337</v>
      </c>
      <c r="D1384" t="s">
        <v>79</v>
      </c>
      <c r="E1384" s="4">
        <v>24.879000000000001</v>
      </c>
      <c r="F1384" s="4">
        <v>60528.656000000003</v>
      </c>
      <c r="G1384" s="4">
        <v>60553.535000000003</v>
      </c>
      <c r="H1384" s="5">
        <f>2460 / 86400</f>
        <v>2.8472222222222222E-2</v>
      </c>
      <c r="I1384" t="s">
        <v>65</v>
      </c>
      <c r="J1384" t="s">
        <v>30</v>
      </c>
      <c r="K1384" s="5">
        <f>6112 / 86400</f>
        <v>7.0740740740740743E-2</v>
      </c>
      <c r="L1384" s="5">
        <f>9 / 86400</f>
        <v>1.0416666666666667E-4</v>
      </c>
    </row>
    <row r="1385" spans="1:12" x14ac:dyDescent="0.25">
      <c r="A1385" s="3">
        <v>45705.373437499999</v>
      </c>
      <c r="B1385" t="s">
        <v>79</v>
      </c>
      <c r="C1385" s="3">
        <v>45705.447337962964</v>
      </c>
      <c r="D1385" t="s">
        <v>329</v>
      </c>
      <c r="E1385" s="4">
        <v>26.155000000000001</v>
      </c>
      <c r="F1385" s="4">
        <v>60553.535000000003</v>
      </c>
      <c r="G1385" s="4">
        <v>60579.69</v>
      </c>
      <c r="H1385" s="5">
        <f>2120 / 86400</f>
        <v>2.4537037037037038E-2</v>
      </c>
      <c r="I1385" t="s">
        <v>92</v>
      </c>
      <c r="J1385" t="s">
        <v>30</v>
      </c>
      <c r="K1385" s="5">
        <f>6385 / 86400</f>
        <v>7.3900462962962959E-2</v>
      </c>
      <c r="L1385" s="5">
        <f>174 / 86400</f>
        <v>2.0138888888888888E-3</v>
      </c>
    </row>
    <row r="1386" spans="1:12" x14ac:dyDescent="0.25">
      <c r="A1386" s="3">
        <v>45705.44935185185</v>
      </c>
      <c r="B1386" t="s">
        <v>329</v>
      </c>
      <c r="C1386" s="3">
        <v>45705.513472222221</v>
      </c>
      <c r="D1386" t="s">
        <v>229</v>
      </c>
      <c r="E1386" s="4">
        <v>20.417000000000002</v>
      </c>
      <c r="F1386" s="4">
        <v>60579.69</v>
      </c>
      <c r="G1386" s="4">
        <v>60600.107000000004</v>
      </c>
      <c r="H1386" s="5">
        <f>2038 / 86400</f>
        <v>2.3587962962962963E-2</v>
      </c>
      <c r="I1386" t="s">
        <v>97</v>
      </c>
      <c r="J1386" t="s">
        <v>66</v>
      </c>
      <c r="K1386" s="5">
        <f>5540 / 86400</f>
        <v>6.4120370370370369E-2</v>
      </c>
      <c r="L1386" s="5">
        <f>61 / 86400</f>
        <v>7.0601851851851847E-4</v>
      </c>
    </row>
    <row r="1387" spans="1:12" x14ac:dyDescent="0.25">
      <c r="A1387" s="3">
        <v>45705.514178240745</v>
      </c>
      <c r="B1387" t="s">
        <v>229</v>
      </c>
      <c r="C1387" s="3">
        <v>45705.57335648148</v>
      </c>
      <c r="D1387" t="s">
        <v>80</v>
      </c>
      <c r="E1387" s="4">
        <v>32.244999999999997</v>
      </c>
      <c r="F1387" s="4">
        <v>60600.107000000004</v>
      </c>
      <c r="G1387" s="4">
        <v>60632.351999999999</v>
      </c>
      <c r="H1387" s="5">
        <f>1220 / 86400</f>
        <v>1.412037037037037E-2</v>
      </c>
      <c r="I1387" t="s">
        <v>116</v>
      </c>
      <c r="J1387" t="s">
        <v>141</v>
      </c>
      <c r="K1387" s="5">
        <f>5112 / 86400</f>
        <v>5.9166666666666666E-2</v>
      </c>
      <c r="L1387" s="5">
        <f>459 / 86400</f>
        <v>5.3125000000000004E-3</v>
      </c>
    </row>
    <row r="1388" spans="1:12" x14ac:dyDescent="0.25">
      <c r="A1388" s="3">
        <v>45705.578668981485</v>
      </c>
      <c r="B1388" t="s">
        <v>80</v>
      </c>
      <c r="C1388" s="3">
        <v>45705.57913194444</v>
      </c>
      <c r="D1388" t="s">
        <v>161</v>
      </c>
      <c r="E1388" s="4">
        <v>6.6000000000000003E-2</v>
      </c>
      <c r="F1388" s="4">
        <v>60632.351999999999</v>
      </c>
      <c r="G1388" s="4">
        <v>60632.417999999998</v>
      </c>
      <c r="H1388" s="5">
        <f>0 / 86400</f>
        <v>0</v>
      </c>
      <c r="I1388" t="s">
        <v>133</v>
      </c>
      <c r="J1388" t="s">
        <v>153</v>
      </c>
      <c r="K1388" s="5">
        <f>40 / 86400</f>
        <v>4.6296296296296298E-4</v>
      </c>
      <c r="L1388" s="5">
        <f>837 / 86400</f>
        <v>9.6874999999999999E-3</v>
      </c>
    </row>
    <row r="1389" spans="1:12" x14ac:dyDescent="0.25">
      <c r="A1389" s="3">
        <v>45705.588819444441</v>
      </c>
      <c r="B1389" t="s">
        <v>80</v>
      </c>
      <c r="C1389" s="3">
        <v>45705.590081018519</v>
      </c>
      <c r="D1389" t="s">
        <v>80</v>
      </c>
      <c r="E1389" s="4">
        <v>0.22600000000000001</v>
      </c>
      <c r="F1389" s="4">
        <v>60632.417999999998</v>
      </c>
      <c r="G1389" s="4">
        <v>60632.644</v>
      </c>
      <c r="H1389" s="5">
        <f>20 / 86400</f>
        <v>2.3148148148148149E-4</v>
      </c>
      <c r="I1389" t="s">
        <v>23</v>
      </c>
      <c r="J1389" t="s">
        <v>151</v>
      </c>
      <c r="K1389" s="5">
        <f>109 / 86400</f>
        <v>1.261574074074074E-3</v>
      </c>
      <c r="L1389" s="5">
        <f>547 / 86400</f>
        <v>6.3310185185185188E-3</v>
      </c>
    </row>
    <row r="1390" spans="1:12" x14ac:dyDescent="0.25">
      <c r="A1390" s="3">
        <v>45705.596412037034</v>
      </c>
      <c r="B1390" t="s">
        <v>80</v>
      </c>
      <c r="C1390" s="3">
        <v>45705.597974537042</v>
      </c>
      <c r="D1390" t="s">
        <v>437</v>
      </c>
      <c r="E1390" s="4">
        <v>0.16200000000000001</v>
      </c>
      <c r="F1390" s="4">
        <v>60632.644</v>
      </c>
      <c r="G1390" s="4">
        <v>60632.805999999997</v>
      </c>
      <c r="H1390" s="5">
        <f>40 / 86400</f>
        <v>4.6296296296296298E-4</v>
      </c>
      <c r="I1390" t="s">
        <v>162</v>
      </c>
      <c r="J1390" t="s">
        <v>148</v>
      </c>
      <c r="K1390" s="5">
        <f>134 / 86400</f>
        <v>1.5509259259259259E-3</v>
      </c>
      <c r="L1390" s="5">
        <f>651 / 86400</f>
        <v>7.5347222222222222E-3</v>
      </c>
    </row>
    <row r="1391" spans="1:12" x14ac:dyDescent="0.25">
      <c r="A1391" s="3">
        <v>45705.605509259258</v>
      </c>
      <c r="B1391" t="s">
        <v>437</v>
      </c>
      <c r="C1391" s="3">
        <v>45705.60869212963</v>
      </c>
      <c r="D1391" t="s">
        <v>437</v>
      </c>
      <c r="E1391" s="4">
        <v>0.10100000000000001</v>
      </c>
      <c r="F1391" s="4">
        <v>60632.805999999997</v>
      </c>
      <c r="G1391" s="4">
        <v>60632.906999999999</v>
      </c>
      <c r="H1391" s="5">
        <f>100 / 86400</f>
        <v>1.1574074074074073E-3</v>
      </c>
      <c r="I1391" t="s">
        <v>153</v>
      </c>
      <c r="J1391" t="s">
        <v>144</v>
      </c>
      <c r="K1391" s="5">
        <f>275 / 86400</f>
        <v>3.1828703703703702E-3</v>
      </c>
      <c r="L1391" s="5">
        <f>7660 / 86400</f>
        <v>8.8657407407407407E-2</v>
      </c>
    </row>
    <row r="1392" spans="1:12" x14ac:dyDescent="0.25">
      <c r="A1392" s="3">
        <v>45705.697349537033</v>
      </c>
      <c r="B1392" t="s">
        <v>437</v>
      </c>
      <c r="C1392" s="3">
        <v>45705.78056712963</v>
      </c>
      <c r="D1392" t="s">
        <v>438</v>
      </c>
      <c r="E1392" s="4">
        <v>38.301000000000002</v>
      </c>
      <c r="F1392" s="4">
        <v>60632.906999999999</v>
      </c>
      <c r="G1392" s="4">
        <v>60671.207999999999</v>
      </c>
      <c r="H1392" s="5">
        <f>2200 / 86400</f>
        <v>2.5462962962962962E-2</v>
      </c>
      <c r="I1392" t="s">
        <v>37</v>
      </c>
      <c r="J1392" t="s">
        <v>27</v>
      </c>
      <c r="K1392" s="5">
        <f>7189 / 86400</f>
        <v>8.3206018518518512E-2</v>
      </c>
      <c r="L1392" s="5">
        <f>20 / 86400</f>
        <v>2.3148148148148149E-4</v>
      </c>
    </row>
    <row r="1393" spans="1:12" x14ac:dyDescent="0.25">
      <c r="A1393" s="3">
        <v>45705.780798611115</v>
      </c>
      <c r="B1393" t="s">
        <v>438</v>
      </c>
      <c r="C1393" s="3">
        <v>45705.792210648149</v>
      </c>
      <c r="D1393" t="s">
        <v>238</v>
      </c>
      <c r="E1393" s="4">
        <v>2.8929999999999998</v>
      </c>
      <c r="F1393" s="4">
        <v>60671.207999999999</v>
      </c>
      <c r="G1393" s="4">
        <v>60674.101000000002</v>
      </c>
      <c r="H1393" s="5">
        <f>280 / 86400</f>
        <v>3.2407407407407406E-3</v>
      </c>
      <c r="I1393" t="s">
        <v>196</v>
      </c>
      <c r="J1393" t="s">
        <v>45</v>
      </c>
      <c r="K1393" s="5">
        <f>986 / 86400</f>
        <v>1.1412037037037037E-2</v>
      </c>
      <c r="L1393" s="5">
        <f>62 / 86400</f>
        <v>7.1759259259259259E-4</v>
      </c>
    </row>
    <row r="1394" spans="1:12" x14ac:dyDescent="0.25">
      <c r="A1394" s="3">
        <v>45705.792928240742</v>
      </c>
      <c r="B1394" t="s">
        <v>238</v>
      </c>
      <c r="C1394" s="3">
        <v>45705.914224537039</v>
      </c>
      <c r="D1394" t="s">
        <v>89</v>
      </c>
      <c r="E1394" s="4">
        <v>53.936</v>
      </c>
      <c r="F1394" s="4">
        <v>60674.101000000002</v>
      </c>
      <c r="G1394" s="4">
        <v>60728.036999999997</v>
      </c>
      <c r="H1394" s="5">
        <f>3620 / 86400</f>
        <v>4.189814814814815E-2</v>
      </c>
      <c r="I1394" t="s">
        <v>116</v>
      </c>
      <c r="J1394" t="s">
        <v>27</v>
      </c>
      <c r="K1394" s="5">
        <f>10479 / 86400</f>
        <v>0.12128472222222222</v>
      </c>
      <c r="L1394" s="5">
        <f>28 / 86400</f>
        <v>3.2407407407407406E-4</v>
      </c>
    </row>
    <row r="1395" spans="1:12" x14ac:dyDescent="0.25">
      <c r="A1395" s="3">
        <v>45705.914548611108</v>
      </c>
      <c r="B1395" t="s">
        <v>89</v>
      </c>
      <c r="C1395" s="3">
        <v>45705.94594907407</v>
      </c>
      <c r="D1395" t="s">
        <v>439</v>
      </c>
      <c r="E1395" s="4">
        <v>17.626000000000001</v>
      </c>
      <c r="F1395" s="4">
        <v>60728.036999999997</v>
      </c>
      <c r="G1395" s="4">
        <v>60745.663</v>
      </c>
      <c r="H1395" s="5">
        <f>500 / 86400</f>
        <v>5.7870370370370367E-3</v>
      </c>
      <c r="I1395" t="s">
        <v>97</v>
      </c>
      <c r="J1395" t="s">
        <v>141</v>
      </c>
      <c r="K1395" s="5">
        <f>2713 / 86400</f>
        <v>3.1400462962962963E-2</v>
      </c>
      <c r="L1395" s="5">
        <f>786 / 86400</f>
        <v>9.0972222222222218E-3</v>
      </c>
    </row>
    <row r="1396" spans="1:12" x14ac:dyDescent="0.25">
      <c r="A1396" s="3">
        <v>45705.955046296294</v>
      </c>
      <c r="B1396" t="s">
        <v>439</v>
      </c>
      <c r="C1396" s="3">
        <v>45705.975462962961</v>
      </c>
      <c r="D1396" t="s">
        <v>242</v>
      </c>
      <c r="E1396" s="4">
        <v>4.5010000000000003</v>
      </c>
      <c r="F1396" s="4">
        <v>60745.663</v>
      </c>
      <c r="G1396" s="4">
        <v>60750.163999999997</v>
      </c>
      <c r="H1396" s="5">
        <f>1020 / 86400</f>
        <v>1.1805555555555555E-2</v>
      </c>
      <c r="I1396" t="s">
        <v>179</v>
      </c>
      <c r="J1396" t="s">
        <v>133</v>
      </c>
      <c r="K1396" s="5">
        <f>1764 / 86400</f>
        <v>2.0416666666666666E-2</v>
      </c>
      <c r="L1396" s="5">
        <f>9 / 86400</f>
        <v>1.0416666666666667E-4</v>
      </c>
    </row>
    <row r="1397" spans="1:12" x14ac:dyDescent="0.25">
      <c r="A1397" s="3">
        <v>45705.97556712963</v>
      </c>
      <c r="B1397" t="s">
        <v>242</v>
      </c>
      <c r="C1397" s="3">
        <v>45705.992060185185</v>
      </c>
      <c r="D1397" t="s">
        <v>440</v>
      </c>
      <c r="E1397" s="4">
        <v>6.5739999999999998</v>
      </c>
      <c r="F1397" s="4">
        <v>60750.163999999997</v>
      </c>
      <c r="G1397" s="4">
        <v>60756.737999999998</v>
      </c>
      <c r="H1397" s="5">
        <f>380 / 86400</f>
        <v>4.3981481481481484E-3</v>
      </c>
      <c r="I1397" t="s">
        <v>97</v>
      </c>
      <c r="J1397" t="s">
        <v>32</v>
      </c>
      <c r="K1397" s="5">
        <f>1424 / 86400</f>
        <v>1.6481481481481482E-2</v>
      </c>
      <c r="L1397" s="5">
        <f>8 / 86400</f>
        <v>9.2592592592592588E-5</v>
      </c>
    </row>
    <row r="1398" spans="1:12" x14ac:dyDescent="0.25">
      <c r="A1398" s="3">
        <v>45705.992152777777</v>
      </c>
      <c r="B1398" t="s">
        <v>440</v>
      </c>
      <c r="C1398" s="3">
        <v>45705.995520833334</v>
      </c>
      <c r="D1398" t="s">
        <v>122</v>
      </c>
      <c r="E1398" s="4">
        <v>4.2999999999999997E-2</v>
      </c>
      <c r="F1398" s="4">
        <v>60756.737999999998</v>
      </c>
      <c r="G1398" s="4">
        <v>60756.781000000003</v>
      </c>
      <c r="H1398" s="5">
        <f>259 / 86400</f>
        <v>2.9976851851851853E-3</v>
      </c>
      <c r="I1398" t="s">
        <v>84</v>
      </c>
      <c r="J1398" t="s">
        <v>144</v>
      </c>
      <c r="K1398" s="5">
        <f>291 / 86400</f>
        <v>3.3680555555555556E-3</v>
      </c>
      <c r="L1398" s="5">
        <f>49 / 86400</f>
        <v>5.6712962962962967E-4</v>
      </c>
    </row>
    <row r="1399" spans="1:12" x14ac:dyDescent="0.25">
      <c r="A1399" s="3">
        <v>45705.996087962965</v>
      </c>
      <c r="B1399" t="s">
        <v>122</v>
      </c>
      <c r="C1399" s="3">
        <v>45705.997488425928</v>
      </c>
      <c r="D1399" t="s">
        <v>122</v>
      </c>
      <c r="E1399" s="4">
        <v>0</v>
      </c>
      <c r="F1399" s="4">
        <v>60756.781000000003</v>
      </c>
      <c r="G1399" s="4">
        <v>60756.781000000003</v>
      </c>
      <c r="H1399" s="5">
        <f>119 / 86400</f>
        <v>1.3773148148148147E-3</v>
      </c>
      <c r="I1399" t="s">
        <v>73</v>
      </c>
      <c r="J1399" t="s">
        <v>73</v>
      </c>
      <c r="K1399" s="5">
        <f>120 / 86400</f>
        <v>1.3888888888888889E-3</v>
      </c>
      <c r="L1399" s="5">
        <f>192 / 86400</f>
        <v>2.2222222222222222E-3</v>
      </c>
    </row>
    <row r="1400" spans="1:12" x14ac:dyDescent="0.25">
      <c r="A1400" s="3">
        <v>45705.999710648146</v>
      </c>
      <c r="B1400" t="s">
        <v>103</v>
      </c>
      <c r="C1400" s="3">
        <v>45705.99998842593</v>
      </c>
      <c r="D1400" t="s">
        <v>122</v>
      </c>
      <c r="E1400" s="4">
        <v>0</v>
      </c>
      <c r="F1400" s="4">
        <v>60756.781000000003</v>
      </c>
      <c r="G1400" s="4">
        <v>60756.781000000003</v>
      </c>
      <c r="H1400" s="5">
        <f>19 / 86400</f>
        <v>2.199074074074074E-4</v>
      </c>
      <c r="I1400" t="s">
        <v>73</v>
      </c>
      <c r="J1400" t="s">
        <v>73</v>
      </c>
      <c r="K1400" s="5">
        <f>24 / 86400</f>
        <v>2.7777777777777778E-4</v>
      </c>
      <c r="L1400" s="5">
        <f>0 / 86400</f>
        <v>0</v>
      </c>
    </row>
    <row r="1401" spans="1:12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</row>
    <row r="1402" spans="1:12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</row>
    <row r="1403" spans="1:12" s="10" customFormat="1" ht="20.100000000000001" customHeight="1" x14ac:dyDescent="0.35">
      <c r="A1403" s="12" t="s">
        <v>502</v>
      </c>
      <c r="B1403" s="12"/>
      <c r="C1403" s="12"/>
      <c r="D1403" s="12"/>
      <c r="E1403" s="12"/>
      <c r="F1403" s="12"/>
      <c r="G1403" s="12"/>
      <c r="H1403" s="12"/>
      <c r="I1403" s="12"/>
      <c r="J1403" s="12"/>
    </row>
    <row r="1404" spans="1:12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</row>
    <row r="1405" spans="1:12" ht="30" x14ac:dyDescent="0.25">
      <c r="A1405" s="2" t="s">
        <v>6</v>
      </c>
      <c r="B1405" s="2" t="s">
        <v>7</v>
      </c>
      <c r="C1405" s="2" t="s">
        <v>8</v>
      </c>
      <c r="D1405" s="2" t="s">
        <v>9</v>
      </c>
      <c r="E1405" s="2" t="s">
        <v>10</v>
      </c>
      <c r="F1405" s="2" t="s">
        <v>11</v>
      </c>
      <c r="G1405" s="2" t="s">
        <v>12</v>
      </c>
      <c r="H1405" s="2" t="s">
        <v>13</v>
      </c>
      <c r="I1405" s="2" t="s">
        <v>14</v>
      </c>
      <c r="J1405" s="2" t="s">
        <v>15</v>
      </c>
      <c r="K1405" s="2" t="s">
        <v>16</v>
      </c>
      <c r="L1405" s="2" t="s">
        <v>17</v>
      </c>
    </row>
    <row r="1406" spans="1:12" x14ac:dyDescent="0.25">
      <c r="A1406" s="3">
        <v>45705.216608796298</v>
      </c>
      <c r="B1406" t="s">
        <v>94</v>
      </c>
      <c r="C1406" s="3">
        <v>45705.220393518517</v>
      </c>
      <c r="D1406" t="s">
        <v>161</v>
      </c>
      <c r="E1406" s="4">
        <v>0.65600000000000003</v>
      </c>
      <c r="F1406" s="4">
        <v>64187.504999999997</v>
      </c>
      <c r="G1406" s="4">
        <v>64188.161</v>
      </c>
      <c r="H1406" s="5">
        <f>159 / 86400</f>
        <v>1.8402777777777777E-3</v>
      </c>
      <c r="I1406" t="s">
        <v>152</v>
      </c>
      <c r="J1406" t="s">
        <v>151</v>
      </c>
      <c r="K1406" s="5">
        <f>327 / 86400</f>
        <v>3.7847222222222223E-3</v>
      </c>
      <c r="L1406" s="5">
        <f>19640 / 86400</f>
        <v>0.2273148148148148</v>
      </c>
    </row>
    <row r="1407" spans="1:12" x14ac:dyDescent="0.25">
      <c r="A1407" s="3">
        <v>45705.231099537035</v>
      </c>
      <c r="B1407" t="s">
        <v>161</v>
      </c>
      <c r="C1407" s="3">
        <v>45705.368391203709</v>
      </c>
      <c r="D1407" t="s">
        <v>329</v>
      </c>
      <c r="E1407" s="4">
        <v>58.527000000000001</v>
      </c>
      <c r="F1407" s="4">
        <v>64188.161</v>
      </c>
      <c r="G1407" s="4">
        <v>64246.688000000002</v>
      </c>
      <c r="H1407" s="5">
        <f>4060 / 86400</f>
        <v>4.6990740740740743E-2</v>
      </c>
      <c r="I1407" t="s">
        <v>64</v>
      </c>
      <c r="J1407" t="s">
        <v>23</v>
      </c>
      <c r="K1407" s="5">
        <f>11861 / 86400</f>
        <v>0.13728009259259261</v>
      </c>
      <c r="L1407" s="5">
        <f>131 / 86400</f>
        <v>1.5162037037037036E-3</v>
      </c>
    </row>
    <row r="1408" spans="1:12" x14ac:dyDescent="0.25">
      <c r="A1408" s="3">
        <v>45705.36990740741</v>
      </c>
      <c r="B1408" t="s">
        <v>329</v>
      </c>
      <c r="C1408" s="3">
        <v>45705.491539351853</v>
      </c>
      <c r="D1408" t="s">
        <v>400</v>
      </c>
      <c r="E1408" s="4">
        <v>46.386000000000003</v>
      </c>
      <c r="F1408" s="4">
        <v>64246.688000000002</v>
      </c>
      <c r="G1408" s="4">
        <v>64293.074000000001</v>
      </c>
      <c r="H1408" s="5">
        <f>3780 / 86400</f>
        <v>4.3749999999999997E-2</v>
      </c>
      <c r="I1408" t="s">
        <v>42</v>
      </c>
      <c r="J1408" t="s">
        <v>62</v>
      </c>
      <c r="K1408" s="5">
        <f>10509 / 86400</f>
        <v>0.12163194444444445</v>
      </c>
      <c r="L1408" s="5">
        <f>2017 / 86400</f>
        <v>2.3344907407407408E-2</v>
      </c>
    </row>
    <row r="1409" spans="1:12" x14ac:dyDescent="0.25">
      <c r="A1409" s="3">
        <v>45705.514884259261</v>
      </c>
      <c r="B1409" t="s">
        <v>290</v>
      </c>
      <c r="C1409" s="3">
        <v>45705.641435185185</v>
      </c>
      <c r="D1409" t="s">
        <v>80</v>
      </c>
      <c r="E1409" s="4">
        <v>61.656999999999996</v>
      </c>
      <c r="F1409" s="4">
        <v>64293.074000000001</v>
      </c>
      <c r="G1409" s="4">
        <v>64354.731</v>
      </c>
      <c r="H1409" s="5">
        <f>3299 / 86400</f>
        <v>3.8182870370370367E-2</v>
      </c>
      <c r="I1409" t="s">
        <v>91</v>
      </c>
      <c r="J1409" t="s">
        <v>20</v>
      </c>
      <c r="K1409" s="5">
        <f>10933 / 86400</f>
        <v>0.12653935185185186</v>
      </c>
      <c r="L1409" s="5">
        <f>385 / 86400</f>
        <v>4.4560185185185189E-3</v>
      </c>
    </row>
    <row r="1410" spans="1:12" x14ac:dyDescent="0.25">
      <c r="A1410" s="3">
        <v>45705.645891203705</v>
      </c>
      <c r="B1410" t="s">
        <v>80</v>
      </c>
      <c r="C1410" s="3">
        <v>45705.647094907406</v>
      </c>
      <c r="D1410" t="s">
        <v>411</v>
      </c>
      <c r="E1410" s="4">
        <v>0.27900000000000003</v>
      </c>
      <c r="F1410" s="4">
        <v>64354.731</v>
      </c>
      <c r="G1410" s="4">
        <v>64355.01</v>
      </c>
      <c r="H1410" s="5">
        <f>19 / 86400</f>
        <v>2.199074074074074E-4</v>
      </c>
      <c r="I1410" t="s">
        <v>288</v>
      </c>
      <c r="J1410" t="s">
        <v>118</v>
      </c>
      <c r="K1410" s="5">
        <f>104 / 86400</f>
        <v>1.2037037037037038E-3</v>
      </c>
      <c r="L1410" s="5">
        <f>245 / 86400</f>
        <v>2.8356481481481483E-3</v>
      </c>
    </row>
    <row r="1411" spans="1:12" x14ac:dyDescent="0.25">
      <c r="A1411" s="3">
        <v>45705.649930555555</v>
      </c>
      <c r="B1411" t="s">
        <v>397</v>
      </c>
      <c r="C1411" s="3">
        <v>45705.654097222221</v>
      </c>
      <c r="D1411" t="s">
        <v>94</v>
      </c>
      <c r="E1411" s="4">
        <v>1.2729999999999999</v>
      </c>
      <c r="F1411" s="4">
        <v>64355.01</v>
      </c>
      <c r="G1411" s="4">
        <v>64356.283000000003</v>
      </c>
      <c r="H1411" s="5">
        <f>99 / 86400</f>
        <v>1.1458333333333333E-3</v>
      </c>
      <c r="I1411" t="s">
        <v>194</v>
      </c>
      <c r="J1411" t="s">
        <v>66</v>
      </c>
      <c r="K1411" s="5">
        <f>360 / 86400</f>
        <v>4.1666666666666666E-3</v>
      </c>
      <c r="L1411" s="5">
        <f>495 / 86400</f>
        <v>5.7291666666666663E-3</v>
      </c>
    </row>
    <row r="1412" spans="1:12" x14ac:dyDescent="0.25">
      <c r="A1412" s="3">
        <v>45705.659826388888</v>
      </c>
      <c r="B1412" t="s">
        <v>94</v>
      </c>
      <c r="C1412" s="3">
        <v>45705.779872685191</v>
      </c>
      <c r="D1412" t="s">
        <v>413</v>
      </c>
      <c r="E1412" s="4">
        <v>59.768000000000001</v>
      </c>
      <c r="F1412" s="4">
        <v>64356.283000000003</v>
      </c>
      <c r="G1412" s="4">
        <v>64416.050999999999</v>
      </c>
      <c r="H1412" s="5">
        <f>3138 / 86400</f>
        <v>3.6319444444444446E-2</v>
      </c>
      <c r="I1412" t="s">
        <v>92</v>
      </c>
      <c r="J1412" t="s">
        <v>38</v>
      </c>
      <c r="K1412" s="5">
        <f>10372 / 86400</f>
        <v>0.12004629629629629</v>
      </c>
      <c r="L1412" s="5">
        <f>257 / 86400</f>
        <v>2.9745370370370373E-3</v>
      </c>
    </row>
    <row r="1413" spans="1:12" x14ac:dyDescent="0.25">
      <c r="A1413" s="3">
        <v>45705.782847222217</v>
      </c>
      <c r="B1413" t="s">
        <v>164</v>
      </c>
      <c r="C1413" s="3">
        <v>45705.990011574075</v>
      </c>
      <c r="D1413" t="s">
        <v>87</v>
      </c>
      <c r="E1413" s="4">
        <v>93.947000000000003</v>
      </c>
      <c r="F1413" s="4">
        <v>64416.050999999999</v>
      </c>
      <c r="G1413" s="4">
        <v>64509.998</v>
      </c>
      <c r="H1413" s="5">
        <f>6021 / 86400</f>
        <v>6.9687499999999999E-2</v>
      </c>
      <c r="I1413" t="s">
        <v>26</v>
      </c>
      <c r="J1413" t="s">
        <v>27</v>
      </c>
      <c r="K1413" s="5">
        <f>17899 / 86400</f>
        <v>0.20716435185185186</v>
      </c>
      <c r="L1413" s="5">
        <f>389 / 86400</f>
        <v>4.5023148148148149E-3</v>
      </c>
    </row>
    <row r="1414" spans="1:12" x14ac:dyDescent="0.25">
      <c r="A1414" s="3">
        <v>45705.994513888887</v>
      </c>
      <c r="B1414" t="s">
        <v>87</v>
      </c>
      <c r="C1414" s="3">
        <v>45705.99628472222</v>
      </c>
      <c r="D1414" t="s">
        <v>123</v>
      </c>
      <c r="E1414" s="4">
        <v>0.03</v>
      </c>
      <c r="F1414" s="4">
        <v>64509.998</v>
      </c>
      <c r="G1414" s="4">
        <v>64510.027999999998</v>
      </c>
      <c r="H1414" s="5">
        <f>99 / 86400</f>
        <v>1.1458333333333333E-3</v>
      </c>
      <c r="I1414" t="s">
        <v>153</v>
      </c>
      <c r="J1414" t="s">
        <v>144</v>
      </c>
      <c r="K1414" s="5">
        <f>153 / 86400</f>
        <v>1.7708333333333332E-3</v>
      </c>
      <c r="L1414" s="5">
        <f>320 / 86400</f>
        <v>3.7037037037037038E-3</v>
      </c>
    </row>
    <row r="1415" spans="1:12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</row>
    <row r="1416" spans="1:12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</row>
    <row r="1417" spans="1:12" s="10" customFormat="1" ht="20.100000000000001" customHeight="1" x14ac:dyDescent="0.35">
      <c r="A1417" s="12" t="s">
        <v>503</v>
      </c>
      <c r="B1417" s="12"/>
      <c r="C1417" s="12"/>
      <c r="D1417" s="12"/>
      <c r="E1417" s="12"/>
      <c r="F1417" s="12"/>
      <c r="G1417" s="12"/>
      <c r="H1417" s="12"/>
      <c r="I1417" s="12"/>
      <c r="J1417" s="12"/>
    </row>
    <row r="1418" spans="1:12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</row>
    <row r="1419" spans="1:12" ht="30" x14ac:dyDescent="0.25">
      <c r="A1419" s="2" t="s">
        <v>6</v>
      </c>
      <c r="B1419" s="2" t="s">
        <v>7</v>
      </c>
      <c r="C1419" s="2" t="s">
        <v>8</v>
      </c>
      <c r="D1419" s="2" t="s">
        <v>9</v>
      </c>
      <c r="E1419" s="2" t="s">
        <v>10</v>
      </c>
      <c r="F1419" s="2" t="s">
        <v>11</v>
      </c>
      <c r="G1419" s="2" t="s">
        <v>12</v>
      </c>
      <c r="H1419" s="2" t="s">
        <v>13</v>
      </c>
      <c r="I1419" s="2" t="s">
        <v>14</v>
      </c>
      <c r="J1419" s="2" t="s">
        <v>15</v>
      </c>
      <c r="K1419" s="2" t="s">
        <v>16</v>
      </c>
      <c r="L1419" s="2" t="s">
        <v>17</v>
      </c>
    </row>
    <row r="1420" spans="1:12" x14ac:dyDescent="0.25">
      <c r="A1420" s="3">
        <v>45705.044768518521</v>
      </c>
      <c r="B1420" t="s">
        <v>94</v>
      </c>
      <c r="C1420" s="3">
        <v>45705.047384259262</v>
      </c>
      <c r="D1420" t="s">
        <v>94</v>
      </c>
      <c r="E1420" s="4">
        <v>0.05</v>
      </c>
      <c r="F1420" s="4">
        <v>292531.33</v>
      </c>
      <c r="G1420" s="4">
        <v>292531.38</v>
      </c>
      <c r="H1420" s="5">
        <f>160 / 86400</f>
        <v>1.8518518518518519E-3</v>
      </c>
      <c r="I1420" t="s">
        <v>153</v>
      </c>
      <c r="J1420" t="s">
        <v>144</v>
      </c>
      <c r="K1420" s="5">
        <f>226 / 86400</f>
        <v>2.6157407407407405E-3</v>
      </c>
      <c r="L1420" s="5">
        <f>23065 / 86400</f>
        <v>0.26695601851851852</v>
      </c>
    </row>
    <row r="1421" spans="1:12" x14ac:dyDescent="0.25">
      <c r="A1421" s="3">
        <v>45705.269571759258</v>
      </c>
      <c r="B1421" t="s">
        <v>94</v>
      </c>
      <c r="C1421" s="3">
        <v>45705.426585648151</v>
      </c>
      <c r="D1421" t="s">
        <v>51</v>
      </c>
      <c r="E1421" s="4">
        <v>79.165999999999997</v>
      </c>
      <c r="F1421" s="4">
        <v>292531.38</v>
      </c>
      <c r="G1421" s="4">
        <v>292610.54599999997</v>
      </c>
      <c r="H1421" s="5">
        <f>4198 / 86400</f>
        <v>4.8587962962962965E-2</v>
      </c>
      <c r="I1421" t="s">
        <v>95</v>
      </c>
      <c r="J1421" t="s">
        <v>38</v>
      </c>
      <c r="K1421" s="5">
        <f>13565 / 86400</f>
        <v>0.1570023148148148</v>
      </c>
      <c r="L1421" s="5">
        <f>1662 / 86400</f>
        <v>1.923611111111111E-2</v>
      </c>
    </row>
    <row r="1422" spans="1:12" x14ac:dyDescent="0.25">
      <c r="A1422" s="3">
        <v>45705.445821759262</v>
      </c>
      <c r="B1422" t="s">
        <v>51</v>
      </c>
      <c r="C1422" s="3">
        <v>45705.446354166663</v>
      </c>
      <c r="D1422" t="s">
        <v>51</v>
      </c>
      <c r="E1422" s="4">
        <v>1.4999999999999999E-2</v>
      </c>
      <c r="F1422" s="4">
        <v>292610.54599999997</v>
      </c>
      <c r="G1422" s="4">
        <v>292610.56099999999</v>
      </c>
      <c r="H1422" s="5">
        <f>0 / 86400</f>
        <v>0</v>
      </c>
      <c r="I1422" t="s">
        <v>142</v>
      </c>
      <c r="J1422" t="s">
        <v>144</v>
      </c>
      <c r="K1422" s="5">
        <f>46 / 86400</f>
        <v>5.3240740740740744E-4</v>
      </c>
      <c r="L1422" s="5">
        <f>1289 / 86400</f>
        <v>1.4918981481481481E-2</v>
      </c>
    </row>
    <row r="1423" spans="1:12" x14ac:dyDescent="0.25">
      <c r="A1423" s="3">
        <v>45705.461273148147</v>
      </c>
      <c r="B1423" t="s">
        <v>51</v>
      </c>
      <c r="C1423" s="3">
        <v>45705.462488425925</v>
      </c>
      <c r="D1423" t="s">
        <v>51</v>
      </c>
      <c r="E1423" s="4">
        <v>5.7000000000000002E-2</v>
      </c>
      <c r="F1423" s="4">
        <v>292610.56099999999</v>
      </c>
      <c r="G1423" s="4">
        <v>292610.61800000002</v>
      </c>
      <c r="H1423" s="5">
        <f>0 / 86400</f>
        <v>0</v>
      </c>
      <c r="I1423" t="s">
        <v>84</v>
      </c>
      <c r="J1423" t="s">
        <v>143</v>
      </c>
      <c r="K1423" s="5">
        <f>104 / 86400</f>
        <v>1.2037037037037038E-3</v>
      </c>
      <c r="L1423" s="5">
        <f>219 / 86400</f>
        <v>2.5347222222222221E-3</v>
      </c>
    </row>
    <row r="1424" spans="1:12" x14ac:dyDescent="0.25">
      <c r="A1424" s="3">
        <v>45705.46502314815</v>
      </c>
      <c r="B1424" t="s">
        <v>51</v>
      </c>
      <c r="C1424" s="3">
        <v>45705.482442129629</v>
      </c>
      <c r="D1424" t="s">
        <v>80</v>
      </c>
      <c r="E1424" s="4">
        <v>1.5189999999999999</v>
      </c>
      <c r="F1424" s="4">
        <v>292610.61800000002</v>
      </c>
      <c r="G1424" s="4">
        <v>292612.13699999999</v>
      </c>
      <c r="H1424" s="5">
        <f>1040 / 86400</f>
        <v>1.2037037037037037E-2</v>
      </c>
      <c r="I1424" t="s">
        <v>129</v>
      </c>
      <c r="J1424" t="s">
        <v>148</v>
      </c>
      <c r="K1424" s="5">
        <f>1505 / 86400</f>
        <v>1.7418981481481483E-2</v>
      </c>
      <c r="L1424" s="5">
        <f>3113 / 86400</f>
        <v>3.6030092592592593E-2</v>
      </c>
    </row>
    <row r="1425" spans="1:12" x14ac:dyDescent="0.25">
      <c r="A1425" s="3">
        <v>45705.518472222218</v>
      </c>
      <c r="B1425" t="s">
        <v>80</v>
      </c>
      <c r="C1425" s="3">
        <v>45705.526747685188</v>
      </c>
      <c r="D1425" t="s">
        <v>128</v>
      </c>
      <c r="E1425" s="4">
        <v>1.2869999999999999</v>
      </c>
      <c r="F1425" s="4">
        <v>292612.13699999999</v>
      </c>
      <c r="G1425" s="4">
        <v>292613.424</v>
      </c>
      <c r="H1425" s="5">
        <f>380 / 86400</f>
        <v>4.3981481481481484E-3</v>
      </c>
      <c r="I1425" t="s">
        <v>199</v>
      </c>
      <c r="J1425" t="s">
        <v>153</v>
      </c>
      <c r="K1425" s="5">
        <f>715 / 86400</f>
        <v>8.2754629629629636E-3</v>
      </c>
      <c r="L1425" s="5">
        <f>227 / 86400</f>
        <v>2.627314814814815E-3</v>
      </c>
    </row>
    <row r="1426" spans="1:12" x14ac:dyDescent="0.25">
      <c r="A1426" s="3">
        <v>45705.529374999998</v>
      </c>
      <c r="B1426" t="s">
        <v>128</v>
      </c>
      <c r="C1426" s="3">
        <v>45705.885208333333</v>
      </c>
      <c r="D1426" t="s">
        <v>94</v>
      </c>
      <c r="E1426" s="4">
        <v>142.417</v>
      </c>
      <c r="F1426" s="4">
        <v>292613.424</v>
      </c>
      <c r="G1426" s="4">
        <v>292755.84100000001</v>
      </c>
      <c r="H1426" s="5">
        <f>11857 / 86400</f>
        <v>0.13723379629629628</v>
      </c>
      <c r="I1426" t="s">
        <v>124</v>
      </c>
      <c r="J1426" t="s">
        <v>32</v>
      </c>
      <c r="K1426" s="5">
        <f>30743 / 86400</f>
        <v>0.35582175925925924</v>
      </c>
      <c r="L1426" s="5">
        <f>9917 / 86400</f>
        <v>0.11478009259259259</v>
      </c>
    </row>
    <row r="1427" spans="1:12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</row>
    <row r="1428" spans="1:12" x14ac:dyDescent="0.25">
      <c r="A1428" s="11" t="s">
        <v>126</v>
      </c>
      <c r="B1428" s="11"/>
      <c r="C1428" s="11"/>
      <c r="D1428" s="11"/>
      <c r="E1428" s="11"/>
      <c r="F1428" s="11"/>
      <c r="G1428" s="11"/>
      <c r="H1428" s="11"/>
      <c r="I1428" s="11"/>
      <c r="J1428" s="11"/>
    </row>
  </sheetData>
  <mergeCells count="262">
    <mergeCell ref="A1:J1"/>
    <mergeCell ref="A2:J2"/>
    <mergeCell ref="A3:J3"/>
    <mergeCell ref="A4:J4"/>
    <mergeCell ref="A5:J5"/>
    <mergeCell ref="A6:J6"/>
    <mergeCell ref="A72:J72"/>
    <mergeCell ref="A73:J73"/>
    <mergeCell ref="A74:J74"/>
    <mergeCell ref="A75:J75"/>
    <mergeCell ref="A76:J76"/>
    <mergeCell ref="A77:J77"/>
    <mergeCell ref="A90:J90"/>
    <mergeCell ref="A91:J91"/>
    <mergeCell ref="A92:J92"/>
    <mergeCell ref="A93:J93"/>
    <mergeCell ref="A105:J105"/>
    <mergeCell ref="A106:J106"/>
    <mergeCell ref="A107:J107"/>
    <mergeCell ref="A108:J108"/>
    <mergeCell ref="A128:J128"/>
    <mergeCell ref="A129:J129"/>
    <mergeCell ref="A130:J130"/>
    <mergeCell ref="A131:J131"/>
    <mergeCell ref="A145:J145"/>
    <mergeCell ref="A146:J146"/>
    <mergeCell ref="A147:J147"/>
    <mergeCell ref="A148:J148"/>
    <mergeCell ref="A163:J163"/>
    <mergeCell ref="A164:J164"/>
    <mergeCell ref="A165:J165"/>
    <mergeCell ref="A166:J166"/>
    <mergeCell ref="A181:J181"/>
    <mergeCell ref="A182:J182"/>
    <mergeCell ref="A183:J183"/>
    <mergeCell ref="A184:J184"/>
    <mergeCell ref="A195:J195"/>
    <mergeCell ref="A196:J196"/>
    <mergeCell ref="A197:J197"/>
    <mergeCell ref="A198:J198"/>
    <mergeCell ref="A554:J554"/>
    <mergeCell ref="A555:J555"/>
    <mergeCell ref="A556:J556"/>
    <mergeCell ref="A557:J557"/>
    <mergeCell ref="A563:J563"/>
    <mergeCell ref="A564:J564"/>
    <mergeCell ref="A565:J565"/>
    <mergeCell ref="A566:J566"/>
    <mergeCell ref="A579:J579"/>
    <mergeCell ref="A580:J580"/>
    <mergeCell ref="A581:J581"/>
    <mergeCell ref="A582:J582"/>
    <mergeCell ref="A599:J599"/>
    <mergeCell ref="A600:J600"/>
    <mergeCell ref="A601:J601"/>
    <mergeCell ref="A602:J602"/>
    <mergeCell ref="A610:J610"/>
    <mergeCell ref="A611:J611"/>
    <mergeCell ref="A612:J612"/>
    <mergeCell ref="A613:J613"/>
    <mergeCell ref="A633:J633"/>
    <mergeCell ref="A634:J634"/>
    <mergeCell ref="A635:J635"/>
    <mergeCell ref="A636:J636"/>
    <mergeCell ref="A651:J651"/>
    <mergeCell ref="A652:J652"/>
    <mergeCell ref="A653:J653"/>
    <mergeCell ref="A654:J654"/>
    <mergeCell ref="A669:J669"/>
    <mergeCell ref="A670:J670"/>
    <mergeCell ref="A671:J671"/>
    <mergeCell ref="A672:J672"/>
    <mergeCell ref="A682:J682"/>
    <mergeCell ref="A683:J683"/>
    <mergeCell ref="A684:J684"/>
    <mergeCell ref="A685:J685"/>
    <mergeCell ref="A705:J705"/>
    <mergeCell ref="A706:J706"/>
    <mergeCell ref="A707:J707"/>
    <mergeCell ref="A708:J708"/>
    <mergeCell ref="A730:J730"/>
    <mergeCell ref="A731:J731"/>
    <mergeCell ref="A732:J732"/>
    <mergeCell ref="A733:J733"/>
    <mergeCell ref="A743:J743"/>
    <mergeCell ref="A744:J744"/>
    <mergeCell ref="A745:J745"/>
    <mergeCell ref="A746:J746"/>
    <mergeCell ref="A757:J757"/>
    <mergeCell ref="A758:J758"/>
    <mergeCell ref="A759:J759"/>
    <mergeCell ref="A760:J760"/>
    <mergeCell ref="A777:J777"/>
    <mergeCell ref="A778:J778"/>
    <mergeCell ref="A779:J779"/>
    <mergeCell ref="A780:J780"/>
    <mergeCell ref="A799:J799"/>
    <mergeCell ref="A800:J800"/>
    <mergeCell ref="A801:J801"/>
    <mergeCell ref="A802:J802"/>
    <mergeCell ref="A809:J809"/>
    <mergeCell ref="A810:J810"/>
    <mergeCell ref="A811:J811"/>
    <mergeCell ref="A812:J812"/>
    <mergeCell ref="A827:J827"/>
    <mergeCell ref="A828:J828"/>
    <mergeCell ref="A829:J829"/>
    <mergeCell ref="A830:J830"/>
    <mergeCell ref="A835:J835"/>
    <mergeCell ref="A836:J836"/>
    <mergeCell ref="A837:J837"/>
    <mergeCell ref="A838:J838"/>
    <mergeCell ref="A848:J848"/>
    <mergeCell ref="A849:J849"/>
    <mergeCell ref="A850:J850"/>
    <mergeCell ref="A851:J851"/>
    <mergeCell ref="A854:J854"/>
    <mergeCell ref="A855:J855"/>
    <mergeCell ref="A856:J856"/>
    <mergeCell ref="A857:J857"/>
    <mergeCell ref="A869:J869"/>
    <mergeCell ref="A870:J870"/>
    <mergeCell ref="A871:J871"/>
    <mergeCell ref="A872:J872"/>
    <mergeCell ref="A893:J893"/>
    <mergeCell ref="A894:J894"/>
    <mergeCell ref="A895:J895"/>
    <mergeCell ref="A896:J896"/>
    <mergeCell ref="A911:J911"/>
    <mergeCell ref="A912:J912"/>
    <mergeCell ref="A913:J913"/>
    <mergeCell ref="A914:J914"/>
    <mergeCell ref="A936:J936"/>
    <mergeCell ref="A937:J937"/>
    <mergeCell ref="A938:J938"/>
    <mergeCell ref="A939:J939"/>
    <mergeCell ref="A945:J945"/>
    <mergeCell ref="A946:J946"/>
    <mergeCell ref="A947:J947"/>
    <mergeCell ref="A948:J948"/>
    <mergeCell ref="A952:J952"/>
    <mergeCell ref="A953:J953"/>
    <mergeCell ref="A954:J954"/>
    <mergeCell ref="A955:J955"/>
    <mergeCell ref="A965:J965"/>
    <mergeCell ref="A966:J966"/>
    <mergeCell ref="A967:J967"/>
    <mergeCell ref="A968:J968"/>
    <mergeCell ref="A973:J973"/>
    <mergeCell ref="A974:J974"/>
    <mergeCell ref="A975:J975"/>
    <mergeCell ref="A976:J976"/>
    <mergeCell ref="A985:J985"/>
    <mergeCell ref="A986:J986"/>
    <mergeCell ref="A987:J987"/>
    <mergeCell ref="A988:J988"/>
    <mergeCell ref="A1024:J1024"/>
    <mergeCell ref="A1025:J1025"/>
    <mergeCell ref="A1026:J1026"/>
    <mergeCell ref="A1027:J1027"/>
    <mergeCell ref="A1039:J1039"/>
    <mergeCell ref="A1040:J1040"/>
    <mergeCell ref="A1041:J1041"/>
    <mergeCell ref="A1042:J1042"/>
    <mergeCell ref="A1059:J1059"/>
    <mergeCell ref="A1060:J1060"/>
    <mergeCell ref="A1061:J1061"/>
    <mergeCell ref="A1062:J1062"/>
    <mergeCell ref="A1073:J1073"/>
    <mergeCell ref="A1074:J1074"/>
    <mergeCell ref="A1075:J1075"/>
    <mergeCell ref="A1076:J1076"/>
    <mergeCell ref="A1091:J1091"/>
    <mergeCell ref="A1092:J1092"/>
    <mergeCell ref="A1093:J1093"/>
    <mergeCell ref="A1094:J1094"/>
    <mergeCell ref="A1110:J1110"/>
    <mergeCell ref="A1111:J1111"/>
    <mergeCell ref="A1112:J1112"/>
    <mergeCell ref="A1113:J1113"/>
    <mergeCell ref="A1124:J1124"/>
    <mergeCell ref="A1125:J1125"/>
    <mergeCell ref="A1126:J1126"/>
    <mergeCell ref="A1127:J1127"/>
    <mergeCell ref="A1137:J1137"/>
    <mergeCell ref="A1138:J1138"/>
    <mergeCell ref="A1139:J1139"/>
    <mergeCell ref="A1140:J1140"/>
    <mergeCell ref="A1154:J1154"/>
    <mergeCell ref="A1155:J1155"/>
    <mergeCell ref="A1156:J1156"/>
    <mergeCell ref="A1157:J1157"/>
    <mergeCell ref="A1169:J1169"/>
    <mergeCell ref="A1170:J1170"/>
    <mergeCell ref="A1171:J1171"/>
    <mergeCell ref="A1172:J1172"/>
    <mergeCell ref="A1180:J1180"/>
    <mergeCell ref="A1181:J1181"/>
    <mergeCell ref="A1182:J1182"/>
    <mergeCell ref="A1183:J1183"/>
    <mergeCell ref="A1196:J1196"/>
    <mergeCell ref="A1197:J1197"/>
    <mergeCell ref="A1198:J1198"/>
    <mergeCell ref="A1199:J1199"/>
    <mergeCell ref="A1205:J1205"/>
    <mergeCell ref="A1206:J1206"/>
    <mergeCell ref="A1207:J1207"/>
    <mergeCell ref="A1208:J1208"/>
    <mergeCell ref="A1221:J1221"/>
    <mergeCell ref="A1222:J1222"/>
    <mergeCell ref="A1223:J1223"/>
    <mergeCell ref="A1224:J1224"/>
    <mergeCell ref="A1241:J1241"/>
    <mergeCell ref="A1242:J1242"/>
    <mergeCell ref="A1243:J1243"/>
    <mergeCell ref="A1244:J1244"/>
    <mergeCell ref="A1253:J1253"/>
    <mergeCell ref="A1254:J1254"/>
    <mergeCell ref="A1255:J1255"/>
    <mergeCell ref="A1256:J1256"/>
    <mergeCell ref="A1269:J1269"/>
    <mergeCell ref="A1270:J1270"/>
    <mergeCell ref="A1271:J1271"/>
    <mergeCell ref="A1272:J1272"/>
    <mergeCell ref="A1281:J1281"/>
    <mergeCell ref="A1282:J1282"/>
    <mergeCell ref="A1283:J1283"/>
    <mergeCell ref="A1284:J1284"/>
    <mergeCell ref="A1297:J1297"/>
    <mergeCell ref="A1298:J1298"/>
    <mergeCell ref="A1299:J1299"/>
    <mergeCell ref="A1300:J1300"/>
    <mergeCell ref="A1307:J1307"/>
    <mergeCell ref="A1308:J1308"/>
    <mergeCell ref="A1309:J1309"/>
    <mergeCell ref="A1310:J1310"/>
    <mergeCell ref="A1318:J1318"/>
    <mergeCell ref="A1319:J1319"/>
    <mergeCell ref="A1320:J1320"/>
    <mergeCell ref="A1321:J1321"/>
    <mergeCell ref="A1338:J1338"/>
    <mergeCell ref="A1339:J1339"/>
    <mergeCell ref="A1340:J1340"/>
    <mergeCell ref="A1341:J1341"/>
    <mergeCell ref="A1359:J1359"/>
    <mergeCell ref="A1360:J1360"/>
    <mergeCell ref="A1361:J1361"/>
    <mergeCell ref="A1362:J1362"/>
    <mergeCell ref="A1374:J1374"/>
    <mergeCell ref="A1375:J1375"/>
    <mergeCell ref="A1376:J1376"/>
    <mergeCell ref="A1427:J1427"/>
    <mergeCell ref="A1428:J1428"/>
    <mergeCell ref="A1377:J1377"/>
    <mergeCell ref="A1401:J1401"/>
    <mergeCell ref="A1402:J1402"/>
    <mergeCell ref="A1403:J1403"/>
    <mergeCell ref="A1404:J1404"/>
    <mergeCell ref="A1415:J1415"/>
    <mergeCell ref="A1416:J1416"/>
    <mergeCell ref="A1417:J1417"/>
    <mergeCell ref="A1418:J141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2025-09-22T19:52:41Z</dcterms:created>
  <dcterms:modified xsi:type="dcterms:W3CDTF">2025-09-23T05:49:44Z</dcterms:modified>
</cp:coreProperties>
</file>