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83397C5F-790D-4508-8B4B-92333162F8A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479" i="1" l="1"/>
  <c r="K1479" i="1"/>
  <c r="H1479" i="1"/>
  <c r="L1478" i="1"/>
  <c r="K1478" i="1"/>
  <c r="H1478" i="1"/>
  <c r="L1472" i="1"/>
  <c r="K1472" i="1"/>
  <c r="H1472" i="1"/>
  <c r="L1471" i="1"/>
  <c r="K1471" i="1"/>
  <c r="H1471" i="1"/>
  <c r="L1470" i="1"/>
  <c r="K1470" i="1"/>
  <c r="H1470" i="1"/>
  <c r="L1469" i="1"/>
  <c r="K1469" i="1"/>
  <c r="H1469" i="1"/>
  <c r="L1468" i="1"/>
  <c r="K1468" i="1"/>
  <c r="H1468" i="1"/>
  <c r="L1467" i="1"/>
  <c r="K1467" i="1"/>
  <c r="H1467" i="1"/>
  <c r="L1466" i="1"/>
  <c r="K1466" i="1"/>
  <c r="H1466" i="1"/>
  <c r="L1465" i="1"/>
  <c r="K1465" i="1"/>
  <c r="H1465" i="1"/>
  <c r="L1464" i="1"/>
  <c r="K1464" i="1"/>
  <c r="H1464" i="1"/>
  <c r="L1463" i="1"/>
  <c r="K1463" i="1"/>
  <c r="H1463" i="1"/>
  <c r="L1462" i="1"/>
  <c r="K1462" i="1"/>
  <c r="H1462" i="1"/>
  <c r="L1461" i="1"/>
  <c r="K1461" i="1"/>
  <c r="H1461" i="1"/>
  <c r="L1455" i="1"/>
  <c r="K1455" i="1"/>
  <c r="H1455" i="1"/>
  <c r="L1454" i="1"/>
  <c r="K1454" i="1"/>
  <c r="H1454" i="1"/>
  <c r="L1453" i="1"/>
  <c r="K1453" i="1"/>
  <c r="H1453" i="1"/>
  <c r="L1452" i="1"/>
  <c r="K1452" i="1"/>
  <c r="H1452" i="1"/>
  <c r="L1451" i="1"/>
  <c r="K1451" i="1"/>
  <c r="H1451" i="1"/>
  <c r="L1450" i="1"/>
  <c r="K1450" i="1"/>
  <c r="H1450" i="1"/>
  <c r="L1449" i="1"/>
  <c r="K1449" i="1"/>
  <c r="H1449" i="1"/>
  <c r="L1448" i="1"/>
  <c r="K1448" i="1"/>
  <c r="H1448" i="1"/>
  <c r="L1447" i="1"/>
  <c r="K1447" i="1"/>
  <c r="H1447" i="1"/>
  <c r="L1446" i="1"/>
  <c r="K1446" i="1"/>
  <c r="H1446" i="1"/>
  <c r="L1445" i="1"/>
  <c r="K1445" i="1"/>
  <c r="H1445" i="1"/>
  <c r="L1444" i="1"/>
  <c r="K1444" i="1"/>
  <c r="H1444" i="1"/>
  <c r="L1443" i="1"/>
  <c r="K1443" i="1"/>
  <c r="H1443" i="1"/>
  <c r="L1442" i="1"/>
  <c r="K1442" i="1"/>
  <c r="H1442" i="1"/>
  <c r="L1441" i="1"/>
  <c r="K1441" i="1"/>
  <c r="H1441" i="1"/>
  <c r="L1440" i="1"/>
  <c r="K1440" i="1"/>
  <c r="H1440" i="1"/>
  <c r="L1439" i="1"/>
  <c r="K1439" i="1"/>
  <c r="H1439" i="1"/>
  <c r="L1438" i="1"/>
  <c r="K1438" i="1"/>
  <c r="H1438" i="1"/>
  <c r="L1437" i="1"/>
  <c r="K1437" i="1"/>
  <c r="H1437" i="1"/>
  <c r="L1436" i="1"/>
  <c r="K1436" i="1"/>
  <c r="H1436" i="1"/>
  <c r="L1430" i="1"/>
  <c r="K1430" i="1"/>
  <c r="H1430" i="1"/>
  <c r="L1429" i="1"/>
  <c r="K1429" i="1"/>
  <c r="H1429" i="1"/>
  <c r="L1428" i="1"/>
  <c r="K1428" i="1"/>
  <c r="H1428" i="1"/>
  <c r="L1427" i="1"/>
  <c r="K1427" i="1"/>
  <c r="H1427" i="1"/>
  <c r="L1426" i="1"/>
  <c r="K1426" i="1"/>
  <c r="H1426" i="1"/>
  <c r="L1425" i="1"/>
  <c r="K1425" i="1"/>
  <c r="H1425" i="1"/>
  <c r="L1424" i="1"/>
  <c r="K1424" i="1"/>
  <c r="H1424" i="1"/>
  <c r="L1423" i="1"/>
  <c r="K1423" i="1"/>
  <c r="H1423" i="1"/>
  <c r="L1422" i="1"/>
  <c r="K1422" i="1"/>
  <c r="H1422" i="1"/>
  <c r="L1421" i="1"/>
  <c r="K1421" i="1"/>
  <c r="H1421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0" i="1"/>
  <c r="K1410" i="1"/>
  <c r="H1410" i="1"/>
  <c r="L1409" i="1"/>
  <c r="K1409" i="1"/>
  <c r="H1409" i="1"/>
  <c r="L1408" i="1"/>
  <c r="K1408" i="1"/>
  <c r="H1408" i="1"/>
  <c r="L1407" i="1"/>
  <c r="K1407" i="1"/>
  <c r="H1407" i="1"/>
  <c r="L1401" i="1"/>
  <c r="K1401" i="1"/>
  <c r="H1401" i="1"/>
  <c r="L1400" i="1"/>
  <c r="K1400" i="1"/>
  <c r="H1400" i="1"/>
  <c r="L1399" i="1"/>
  <c r="K1399" i="1"/>
  <c r="H1399" i="1"/>
  <c r="L1398" i="1"/>
  <c r="K1398" i="1"/>
  <c r="H1398" i="1"/>
  <c r="L1397" i="1"/>
  <c r="K1397" i="1"/>
  <c r="H1397" i="1"/>
  <c r="L1396" i="1"/>
  <c r="K1396" i="1"/>
  <c r="H1396" i="1"/>
  <c r="L1395" i="1"/>
  <c r="K1395" i="1"/>
  <c r="H1395" i="1"/>
  <c r="L1394" i="1"/>
  <c r="K1394" i="1"/>
  <c r="H1394" i="1"/>
  <c r="L1393" i="1"/>
  <c r="K1393" i="1"/>
  <c r="H1393" i="1"/>
  <c r="L1392" i="1"/>
  <c r="K1392" i="1"/>
  <c r="H1392" i="1"/>
  <c r="L1391" i="1"/>
  <c r="K1391" i="1"/>
  <c r="H1391" i="1"/>
  <c r="L1390" i="1"/>
  <c r="K1390" i="1"/>
  <c r="H1390" i="1"/>
  <c r="L1389" i="1"/>
  <c r="K1389" i="1"/>
  <c r="H1389" i="1"/>
  <c r="L1388" i="1"/>
  <c r="K1388" i="1"/>
  <c r="H1388" i="1"/>
  <c r="L1387" i="1"/>
  <c r="K1387" i="1"/>
  <c r="H1387" i="1"/>
  <c r="L1386" i="1"/>
  <c r="K1386" i="1"/>
  <c r="H1386" i="1"/>
  <c r="L1385" i="1"/>
  <c r="K1385" i="1"/>
  <c r="H1385" i="1"/>
  <c r="L1384" i="1"/>
  <c r="K1384" i="1"/>
  <c r="H1384" i="1"/>
  <c r="L1383" i="1"/>
  <c r="K1383" i="1"/>
  <c r="H1383" i="1"/>
  <c r="L1382" i="1"/>
  <c r="K1382" i="1"/>
  <c r="H1382" i="1"/>
  <c r="L1381" i="1"/>
  <c r="K1381" i="1"/>
  <c r="H1381" i="1"/>
  <c r="L1380" i="1"/>
  <c r="K1380" i="1"/>
  <c r="H1380" i="1"/>
  <c r="L1379" i="1"/>
  <c r="K1379" i="1"/>
  <c r="H1379" i="1"/>
  <c r="L1378" i="1"/>
  <c r="K1378" i="1"/>
  <c r="H1378" i="1"/>
  <c r="L1377" i="1"/>
  <c r="K1377" i="1"/>
  <c r="H1377" i="1"/>
  <c r="L1371" i="1"/>
  <c r="K1371" i="1"/>
  <c r="H1371" i="1"/>
  <c r="L1370" i="1"/>
  <c r="K1370" i="1"/>
  <c r="H1370" i="1"/>
  <c r="L1369" i="1"/>
  <c r="K1369" i="1"/>
  <c r="H1369" i="1"/>
  <c r="L1368" i="1"/>
  <c r="K1368" i="1"/>
  <c r="H1368" i="1"/>
  <c r="L1367" i="1"/>
  <c r="K1367" i="1"/>
  <c r="H1367" i="1"/>
  <c r="L1366" i="1"/>
  <c r="K1366" i="1"/>
  <c r="H1366" i="1"/>
  <c r="L1365" i="1"/>
  <c r="K1365" i="1"/>
  <c r="H1365" i="1"/>
  <c r="L1364" i="1"/>
  <c r="K1364" i="1"/>
  <c r="H1364" i="1"/>
  <c r="L1358" i="1"/>
  <c r="K1358" i="1"/>
  <c r="H1358" i="1"/>
  <c r="L1357" i="1"/>
  <c r="K1357" i="1"/>
  <c r="H1357" i="1"/>
  <c r="L1356" i="1"/>
  <c r="K1356" i="1"/>
  <c r="H1356" i="1"/>
  <c r="L1355" i="1"/>
  <c r="K1355" i="1"/>
  <c r="H1355" i="1"/>
  <c r="L1354" i="1"/>
  <c r="K1354" i="1"/>
  <c r="H1354" i="1"/>
  <c r="L1353" i="1"/>
  <c r="K1353" i="1"/>
  <c r="H1353" i="1"/>
  <c r="L1352" i="1"/>
  <c r="K1352" i="1"/>
  <c r="H1352" i="1"/>
  <c r="L1351" i="1"/>
  <c r="K1351" i="1"/>
  <c r="H1351" i="1"/>
  <c r="L1350" i="1"/>
  <c r="K1350" i="1"/>
  <c r="H1350" i="1"/>
  <c r="L1344" i="1"/>
  <c r="K1344" i="1"/>
  <c r="H1344" i="1"/>
  <c r="L1343" i="1"/>
  <c r="K1343" i="1"/>
  <c r="H1343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7" i="1"/>
  <c r="K1337" i="1"/>
  <c r="H1337" i="1"/>
  <c r="L1336" i="1"/>
  <c r="K1336" i="1"/>
  <c r="H1336" i="1"/>
  <c r="L1335" i="1"/>
  <c r="K1335" i="1"/>
  <c r="H1335" i="1"/>
  <c r="L1334" i="1"/>
  <c r="K1334" i="1"/>
  <c r="H1334" i="1"/>
  <c r="L1333" i="1"/>
  <c r="K1333" i="1"/>
  <c r="H1333" i="1"/>
  <c r="L1332" i="1"/>
  <c r="K1332" i="1"/>
  <c r="H1332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22" i="1"/>
  <c r="K1322" i="1"/>
  <c r="H1322" i="1"/>
  <c r="L1321" i="1"/>
  <c r="K1321" i="1"/>
  <c r="H1321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11" i="1"/>
  <c r="K1311" i="1"/>
  <c r="H1311" i="1"/>
  <c r="L1310" i="1"/>
  <c r="K1310" i="1"/>
  <c r="H1310" i="1"/>
  <c r="L1309" i="1"/>
  <c r="K1309" i="1"/>
  <c r="H1309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L1283" i="1"/>
  <c r="K1283" i="1"/>
  <c r="H1283" i="1"/>
  <c r="L1282" i="1"/>
  <c r="K1282" i="1"/>
  <c r="H1282" i="1"/>
  <c r="L1281" i="1"/>
  <c r="K1281" i="1"/>
  <c r="H1281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2" i="1"/>
  <c r="K1262" i="1"/>
  <c r="H1262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07" i="1"/>
  <c r="K1107" i="1"/>
  <c r="H1107" i="1"/>
  <c r="L1106" i="1"/>
  <c r="K1106" i="1"/>
  <c r="H1106" i="1"/>
  <c r="L1100" i="1"/>
  <c r="K1100" i="1"/>
  <c r="H1100" i="1"/>
  <c r="L1099" i="1"/>
  <c r="K1099" i="1"/>
  <c r="H1099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87" i="1"/>
  <c r="K987" i="1"/>
  <c r="H987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26" i="1"/>
  <c r="K126" i="1"/>
  <c r="H126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2" i="1"/>
  <c r="K102" i="1"/>
  <c r="H102" i="1"/>
  <c r="L101" i="1"/>
  <c r="K101" i="1"/>
  <c r="H101" i="1"/>
  <c r="L100" i="1"/>
  <c r="K100" i="1"/>
  <c r="H100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<sst xmlns="http://schemas.openxmlformats.org/spreadsheetml/2006/main" count="5539" uniqueCount="530">
  <si>
    <t>Informe de trayectos</t>
  </si>
  <si>
    <t>Periodo: 20 de febrero de 2025 0:00 - 20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</si>
  <si>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</si>
  <si>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</si>
  <si>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</si>
  <si>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</si>
  <si>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</si>
  <si>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</si>
  <si>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</si>
  <si>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</si>
  <si>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</si>
  <si>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</si>
  <si>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</si>
  <si>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</si>
  <si>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</si>
  <si>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</si>
  <si>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</si>
  <si>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</si>
  <si>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</si>
  <si>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94 km/h</t>
  </si>
  <si>
    <t>17 km/h</t>
  </si>
  <si>
    <t>Jirón Huarochirí, 643, Lima, Lima Metropolitana, Lima, 15082, Perú</t>
  </si>
  <si>
    <t>0 km/h</t>
  </si>
  <si>
    <t>Los Huancas, Ate, Lima Metropolitana, Lima, 15483, Perú</t>
  </si>
  <si>
    <t>Avenida Los Incas, Ate, Lima Metropolitana, Lima, 15483, Perú</t>
  </si>
  <si>
    <t>42 km/h</t>
  </si>
  <si>
    <t>7 km/h</t>
  </si>
  <si>
    <t>Ate, Lima Metropolitana, Lima, 15483, Perú</t>
  </si>
  <si>
    <t>65 km/h</t>
  </si>
  <si>
    <t>13 km/h</t>
  </si>
  <si>
    <t>Calle Manantiales de Vida, Ate, Lima Metropolitana, Lima, 15487, Perú</t>
  </si>
  <si>
    <t>33 km/h</t>
  </si>
  <si>
    <t>6 km/h</t>
  </si>
  <si>
    <t>71 km/h</t>
  </si>
  <si>
    <t>18 km/h</t>
  </si>
  <si>
    <t>Avenida Huancaray, Santa Anita, Lima Metropolitana, Lima, 15009, Perú, (RUTA DESVIO TEM.  4507)</t>
  </si>
  <si>
    <t>Ate, Lima Metropolitana, Lima, 15008, Perú</t>
  </si>
  <si>
    <t>82 km/h</t>
  </si>
  <si>
    <t>21 km/h</t>
  </si>
  <si>
    <t>Carretera Central, Chaclacayo, Lima Metropolitana, Lima, 15476, Perú</t>
  </si>
  <si>
    <t>67 km/h</t>
  </si>
  <si>
    <t>Avenida Las Retamas, Ricardo Palma, Huarochirí, Lima, 15468, Perú</t>
  </si>
  <si>
    <t>Calle los Alamos, Chosica, Lima Metropolitana, Lima, 15468, Perú</t>
  </si>
  <si>
    <t>75 km/h</t>
  </si>
  <si>
    <t>15 km/h</t>
  </si>
  <si>
    <t>Calle Las Gardenias, Ricardo Palma, Huarochirí, Lima, 15468, Perú</t>
  </si>
  <si>
    <t>77 km/h</t>
  </si>
  <si>
    <t>Capitan Gamarra, Ricardo Palma, Huarochirí, Lima, 15468, Perú, (Ruta4507nueva era 23-10-23)</t>
  </si>
  <si>
    <t>91 km/h</t>
  </si>
  <si>
    <t>16 km/h</t>
  </si>
  <si>
    <t>Calle A, Chosica, Lima Metropolitana, Lima, 15468, Perú</t>
  </si>
  <si>
    <t>Avenida Lima Norte, Santa Eulalia, Lima Metropolitana, Lima, 15468, Perú</t>
  </si>
  <si>
    <t>88 km/h</t>
  </si>
  <si>
    <t>Avenida José Carlos Mariátegui, Ricardo Palma, Huarochirí, Lima, 15468, Perú</t>
  </si>
  <si>
    <t>30 km/h</t>
  </si>
  <si>
    <t>5 km/h</t>
  </si>
  <si>
    <t>Carretera Central, 200, Chaclacayo, Lima Metropolitana, Lima, 15476, Perú</t>
  </si>
  <si>
    <t>81 km/h</t>
  </si>
  <si>
    <t>14 km/h</t>
  </si>
  <si>
    <t>Avenida Micaela Bastidas, 382, Santa Eulalia, Huarochirí, Lima, 15468, Perú</t>
  </si>
  <si>
    <t>Avenida José Carlos Mariátegui, Ate, Lima Metropolitana, Lima, 15487, Perú</t>
  </si>
  <si>
    <t>84 km/h</t>
  </si>
  <si>
    <t>Calle Cerro de Pasco, Ate, Lima Metropolitana, Lima, 15498, Perú</t>
  </si>
  <si>
    <t>Avenida Bernard de Balaguer, Lurigancho, Lima Metropolitana, Lima, 15464, Perú</t>
  </si>
  <si>
    <t>69 km/h</t>
  </si>
  <si>
    <t>12 km/h</t>
  </si>
  <si>
    <t>Calle 1, Ate, Lima Metropolitana, Lima, 15483, Perú</t>
  </si>
  <si>
    <t>85 km/h</t>
  </si>
  <si>
    <t>19 km/h</t>
  </si>
  <si>
    <t>Avenida Las Retamas, Chaclacayo, Lima Metropolitana, Lima, 15474, Perú</t>
  </si>
  <si>
    <t>Avenida Nicolás de Ayllón, Ate, Lima Metropolitana, Lima, 15002, Perú, (Ruta4507nueva era 23-10-23, RUTA DESVIO TEM.  4507)</t>
  </si>
  <si>
    <t>Calle Nueva Los Alamos, Santa Eulalia, Huarochirí, Lima, 15468, Perú</t>
  </si>
  <si>
    <t>Calle Leoncio Prado, Santa Eulalia, Huarochirí, Lima, 15468, Perú</t>
  </si>
  <si>
    <t>Calle Estocolmo, Ate, Lima Metropolitana, Lima, 15498, Perú</t>
  </si>
  <si>
    <t>83 km/h</t>
  </si>
  <si>
    <t>Calle Las Tunas, Santa Anita, Lima Metropolitana, Lima, 15007, Perú</t>
  </si>
  <si>
    <t>Calle Los Topacios, Lurigancho, Lima Metropolitana, Lima, 15472, Perú</t>
  </si>
  <si>
    <t>Avenida Alfonso Cobián, Chaclacayo, Lima Metropolitana, Lima, 15476, Perú</t>
  </si>
  <si>
    <t>Carretera Central, Ate, Lima Metropolitana, Lima, 15487, Perú, (Ruta4507nueva era 23-10-23)</t>
  </si>
  <si>
    <t>92 km/h</t>
  </si>
  <si>
    <t>Avenida Nicolás de Ayllón, Ate, Lima Metropolitana, Lima, 15009, Perú, (Ruta4507nueva era 23-10-23)</t>
  </si>
  <si>
    <t>86 km/h</t>
  </si>
  <si>
    <t>Calle 11, Santa Anita, Lima Metropolitana, Lima, 15009, Perú</t>
  </si>
  <si>
    <t>Avenida Simón Bolívar, Santa Eulalia, Huarochirí, Lima, 15468, Perú</t>
  </si>
  <si>
    <t>Carretera Central, Ate, Lima Metropolitana, Lima, 15474, Perú</t>
  </si>
  <si>
    <t>Ate, Lima Metropolitana, Lima, 15474, Perú</t>
  </si>
  <si>
    <t>11 km/h</t>
  </si>
  <si>
    <t>Carretera Central, Chaclacayo, Lima Metropolitana, Lima, 15476, Perú, (Ruta4507nueva era 23-10-23)</t>
  </si>
  <si>
    <t>Avenida Enrique Guzmán y Valle, Chosica, Lima Metropolitana, Lima, 15468, Perú</t>
  </si>
  <si>
    <t>Calle Los Álamos, Ate, Lima Metropolitana, Lima, 15483, Perú</t>
  </si>
  <si>
    <t>78 km/h</t>
  </si>
  <si>
    <t>Jirón Argentina, Chosica, Lima Metropolitana, Lima, 15468, Perú</t>
  </si>
  <si>
    <t>93 km/h</t>
  </si>
  <si>
    <t>Venta, Ate, Lima Metropolitana, Lima, 15474, Perú</t>
  </si>
  <si>
    <t>Santa Eulalia, Huarochirí, Lima, 15468, Perú</t>
  </si>
  <si>
    <t>Avenida Micaela Bastidas, 561, Santa Eulalia, Huarochirí, Lima, 15468, Perú</t>
  </si>
  <si>
    <t>48 km/h</t>
  </si>
  <si>
    <t>10 km/h</t>
  </si>
  <si>
    <t>Avenida Nicolás de Ayllón, Ate, Lima Metropolitana, Lima, 15487, Perú, (Ruta4507nueva era 23-10-23)</t>
  </si>
  <si>
    <t>87 km/h</t>
  </si>
  <si>
    <t>Ate, Lima Metropolitana, Lima, 15487, Perú</t>
  </si>
  <si>
    <t>79 km/h</t>
  </si>
  <si>
    <t>Jirón Macará, 419, San Martín de Porres, Lima Metropolitana, Lima, 15102, Perú</t>
  </si>
  <si>
    <t>Carretera Central, Corcona, Huarochirí, Lima, Perú</t>
  </si>
  <si>
    <t>53 km/h</t>
  </si>
  <si>
    <t>Lurigancho, Lima Metropolitana, Lima, 15468, Perú</t>
  </si>
  <si>
    <t>Avenida Paseo de la República, Lima, Lima Metropolitana, Lima, 15083, Perú, (Ruta4507nueva era 23-10-23)</t>
  </si>
  <si>
    <t>Plaza Francisco Bolognesi, Lima, Lima Metropolitana, Lima, 15083, Perú, (Ruta4507nueva era 23-10-23)</t>
  </si>
  <si>
    <t>96 km/h</t>
  </si>
  <si>
    <t>Avenida Colectora, Chosica, Lima Metropolitana, Lima, 15468, Perú</t>
  </si>
  <si>
    <t>Calle 3, Chosica, Lima Metropolitana, Lima, 15468, Perú</t>
  </si>
  <si>
    <t>Alameda E, Chaclacayo, Lima Metropolitana, Lima, 15476, Perú</t>
  </si>
  <si>
    <t>Micaela Bastidas, Ate, Lima Metropolitana, Lima, 15498, Perú</t>
  </si>
  <si>
    <t>80 km/h</t>
  </si>
  <si>
    <t>Simón Bolívar, Ricardo Palma, Huarochirí, Lima, 15468, Perú</t>
  </si>
  <si>
    <t>Avenida Lima Norte, Chosica, Lima Metropolitana, Lima, 15468, Perú</t>
  </si>
  <si>
    <t>68 km/h</t>
  </si>
  <si>
    <t>Jorge Basadre, Ate, Lima Metropolitana, Lima, 15008, Perú</t>
  </si>
  <si>
    <t>76 km/h</t>
  </si>
  <si>
    <t>Avenida Alfonso Ugarte, 650, Lima, Lima Metropolitana, Lima, 15082, Perú, (Ruta4507nueva era 23-10-23)</t>
  </si>
  <si>
    <t>72 km/h</t>
  </si>
  <si>
    <t>Avenida José Santos Chocano, Ricardo Palma, Huarochirí, Lima, 15468, Perú</t>
  </si>
  <si>
    <t>99 km/h</t>
  </si>
  <si>
    <t>89 km/h</t>
  </si>
  <si>
    <t>Totales:</t>
  </si>
  <si>
    <t/>
  </si>
  <si>
    <t>* Los datos de combustible se calculan de acuerdo con el consumo medio de combustible del vehículo especificado en su configuración</t>
  </si>
  <si>
    <t>Jose Carlos Mariátegui, Chosica, Lima Metropolitana, Lima, 15468, Perú, (PARADERO RICARDO PALMA)</t>
  </si>
  <si>
    <t>Jirón Sánchez Pinillos, Lima, Lima Metropolitana, Lima, 15082, Perú</t>
  </si>
  <si>
    <t>Avenida Río Perene, Ate, Lima Metropolitana, Lima, 15498, Perú</t>
  </si>
  <si>
    <t>70 km/h</t>
  </si>
  <si>
    <t>20 km/h</t>
  </si>
  <si>
    <t>Avenida Santa María, Ate, Lima Metropolitana, Lima, 15498, Perú</t>
  </si>
  <si>
    <t>Jirón San Martín de Porres, Ate, Lima Metropolitana, Lima, 15498, Perú, (Ruta4507nueva era 23-10-23)</t>
  </si>
  <si>
    <t>31 km/h</t>
  </si>
  <si>
    <t>3 km/h</t>
  </si>
  <si>
    <t>2 km/h</t>
  </si>
  <si>
    <t>9 km/h</t>
  </si>
  <si>
    <t>Avenida José Carlos Mariátegui, Ate, Lima Metropolitana, Lima, 15483, Perú</t>
  </si>
  <si>
    <t>36 km/h</t>
  </si>
  <si>
    <t>38 km/h</t>
  </si>
  <si>
    <t>Avenida Andrés Avelino Cáceres, Ate, Lima Metropolitana, Lima, 15483, Perú</t>
  </si>
  <si>
    <t>25 km/h</t>
  </si>
  <si>
    <t>4 km/h</t>
  </si>
  <si>
    <t>23 km/h</t>
  </si>
  <si>
    <t>1 km/h</t>
  </si>
  <si>
    <t>Calle Córdova, Ricardo Palma, Huarochirí, Lima, 15468, Perú, (Ruta4507nueva era 23-10-23)</t>
  </si>
  <si>
    <t>61 km/h</t>
  </si>
  <si>
    <t>22 km/h</t>
  </si>
  <si>
    <t>Jose Carlos Mariátegui, Ricardo Palma, Lima Metropolitana, Lima, 15468, Perú, (PARADERO RICARDO PALMA)</t>
  </si>
  <si>
    <t>27 km/h</t>
  </si>
  <si>
    <t>Avenida Nicolás de Ayllón, Ate, Lima Metropolitana, Lima, 15002, Perú, (Ruta4507nueva era 23-10-23)</t>
  </si>
  <si>
    <t>Avenida Simón Bolívar, Santa Eulalia, Huarochirí, Lima, 15468, Perú, (Ruta4507nueva era 23-10-23)</t>
  </si>
  <si>
    <t>Calle Berlín, Ate, Lima Metropolitana, Lima, 15498, Perú</t>
  </si>
  <si>
    <t>Calle Berlín, Ate, Lima Metropolitana, Lima, 15498, Perú, (RUTA DESVIO TEM.  4507)</t>
  </si>
  <si>
    <t>Avenida Metropolitana, Santa Anita, Lima Metropolitana, Lima, 15009, Perú, (RUTA DESVIO TEM.  4507)</t>
  </si>
  <si>
    <t>Avenida Huancaray, Santa Anita, Lima Metropolitana, Lima, 15009, Perú</t>
  </si>
  <si>
    <t>24 km/h</t>
  </si>
  <si>
    <t>Avenida Metropolitana, Ate, Lima Metropolitana, Lima, 15498, Perú, (RUTA DESVIO TEM.  4507)</t>
  </si>
  <si>
    <t>50 km/h</t>
  </si>
  <si>
    <t>34 km/h</t>
  </si>
  <si>
    <t>47 km/h</t>
  </si>
  <si>
    <t>28 km/h</t>
  </si>
  <si>
    <t>Calle 4, Ate, Lima Metropolitana, Lima, 15498, Perú</t>
  </si>
  <si>
    <t>32 km/h</t>
  </si>
  <si>
    <t>Avenida Nicolás de Ayllón, Ate, Lima Metropolitana, Lima, 15498, Perú, (Ruta4507nueva era 23-10-23, RUTA DESVIO TEM.  4507)</t>
  </si>
  <si>
    <t>Avenida Nicolás de Ayllón, 5818, Ate, Lima Metropolitana, Lima, 15498, Perú, (Ruta4507nueva era 23-10-23)</t>
  </si>
  <si>
    <t>Avenida Nicolás de Ayllón, Ate, Lima Metropolitana, Lima, 15498, Perú, (Ruta4507nueva era 23-10-23)</t>
  </si>
  <si>
    <t>8 km/h</t>
  </si>
  <si>
    <t>51 km/h</t>
  </si>
  <si>
    <t>Ate, Lima Metropolitana, Lima, 15487, Perú, (Ruta4507nueva era 23-10-23)</t>
  </si>
  <si>
    <t>56 km/h</t>
  </si>
  <si>
    <t>66 km/h</t>
  </si>
  <si>
    <t>Avenida Gloria Grande, Ate, Lima Metropolitana, Lima, 15483, Perú, (Ruta4507nueva era 23-10-23)</t>
  </si>
  <si>
    <t>Carretera Central, Lurigancho, Lima Metropolitana, Lima, 15483, Perú, (Ruta4507nueva era 23-10-23)</t>
  </si>
  <si>
    <t>Carretera Central, Lurigancho, Lima Metropolitana, Lima, 15483, Perú</t>
  </si>
  <si>
    <t>Avenida Jaime Zubieta Calderon, Ate, Lima Metropolitana, Lima, 15483, Perú, (Ruta4507nueva era 23-10-23)</t>
  </si>
  <si>
    <t>57 km/h</t>
  </si>
  <si>
    <t>35 km/h</t>
  </si>
  <si>
    <t>60 km/h</t>
  </si>
  <si>
    <t>43 km/h</t>
  </si>
  <si>
    <t>Avenida Nicolás Ayllón, Chaclacayo, Lima Metropolitana, Lima, 15464, Perú, (Ruta4507nueva era 23-10-23)</t>
  </si>
  <si>
    <t>Avenida Nicolás Ayllón, Chaclacayo, Lima Metropolitana, Lima, 15472, Perú, (Ruta4507nueva era 23-10-23)</t>
  </si>
  <si>
    <t>Carretera Central, Chaclacayo, Lima Metropolitana, Lima, 15464, Perú</t>
  </si>
  <si>
    <t>Carretera Central, Chaclacayo, Lima Metropolitana, Lima, 15464, Perú, (Ruta4507nueva era 23-10-23)</t>
  </si>
  <si>
    <t>49 km/h</t>
  </si>
  <si>
    <t>Carretera Central, Chaclacayo, Lima Metropolitana, Lima, 15474, Perú, (Ruta4507nueva era 23-10-23)</t>
  </si>
  <si>
    <t>59 km/h</t>
  </si>
  <si>
    <t>Carretera Central, Chaclacayo, Lima Metropolitana, Lima, 15474, Perú, (S07ÑAÑA, Ruta4507nueva era 23-10-23)</t>
  </si>
  <si>
    <t>26 km/h</t>
  </si>
  <si>
    <t>45 km/h</t>
  </si>
  <si>
    <t>Carretera Central, Ate, Lima Metropolitana, Lima, 15474, Perú, (Ruta4507nueva era 23-10-23)</t>
  </si>
  <si>
    <t>37 km/h</t>
  </si>
  <si>
    <t>Avenida Nicolás de Ayllón, 15498, Ate, Lima Metropolitana, Lima, 15498, Perú</t>
  </si>
  <si>
    <t>Avenida Nicolás de Ayllón, 15498, Ate, Lima Metropolitana, Lima, 15498, Perú, (Ruta4507nueva era 23-10-23)</t>
  </si>
  <si>
    <t>Victor Raul Haya de la Torre, Ate, Lima Metropolitana, Lima, 15498, Perú, (Ruta4507nueva era 23-10-23, RUTA DESVIO TEM.  4507)</t>
  </si>
  <si>
    <t>Victor Raul Haya de la Torre, Ate, Lima Metropolitana, Lima, 15498, Perú, (Ruta4507nueva era 23-10-23)</t>
  </si>
  <si>
    <t>Avenida Santa María, Ate, Lima Metropolitana, Lima, 15498, Perú, (Ruta4507nueva era 23-10-23, RUTA DESVIO TEM.  4507)</t>
  </si>
  <si>
    <t>Avenida Nicolás de Ayllón, 4770, Ate, Lima Metropolitana, Lima, 15498, Perú, (Ruta4507nueva era 23-10-23)</t>
  </si>
  <si>
    <t>Avenida Nicolás de Ayllón, Santa Anita, Lima Metropolitana, Lima, 15008, Perú, (Ruta4507nueva era 23-10-23)</t>
  </si>
  <si>
    <t>Las Alondras, 175, Santa Anita, Lima Metropolitana, Lima, 15008, Perú, (Ruta4507nueva era 23-10-23)</t>
  </si>
  <si>
    <t>40 km/h</t>
  </si>
  <si>
    <t>Avenida Nicolás de Ayllón, Santa Anita, Lima Metropolitana, Lima, 15008, Perú, (Ruta4507nueva era 23-10-23, RUTA DESVIO TEM.  4507)</t>
  </si>
  <si>
    <t>44 km/h</t>
  </si>
  <si>
    <t>Vía de Evitamiento, Ate, Lima Metropolitana, Lima, 15008, Perú, (Ruta4507nueva era 23-10-23)</t>
  </si>
  <si>
    <t>Avenida Nicolás de Ayllón, El Agustino, Lima Metropolitana, Lima, 15008, Perú, (Ruta4507nueva era 23-10-23, RUTA DESVIO TEM.  4507)</t>
  </si>
  <si>
    <t>Avenida De Las Torres, San Luis, Lima Metropolitana, Lima, 15022, Perú</t>
  </si>
  <si>
    <t>52 km/h</t>
  </si>
  <si>
    <t>Avenida De Las Torres, San Luis, Lima Metropolitana, Lima, 15022, Perú, (Ruta4507nueva era 23-10-23, RUTA DESVIO TEM.  4507)</t>
  </si>
  <si>
    <t>Avenida Andrés Avelino Cáceres, Ate, Lima Metropolitana, Lima, 15019, Perú</t>
  </si>
  <si>
    <t>Inca Garcilaso de la Vega, Lima, Lima Metropolitana, Lima, 15019, Perú</t>
  </si>
  <si>
    <t>Avenida Inca Garcilazo de la Vega, El Agustino, Lima Metropolitana, Lima, 15004, Perú</t>
  </si>
  <si>
    <t>Avenida Nicolás Ayllón, Lima, Lima Metropolitana, Lima, 15011, Perú, (Ruta4507nueva era 23-10-23)</t>
  </si>
  <si>
    <t>Avenida Nicolás Ayllón, 137, Lima, Lima Metropolitana, Lima, 15011, Perú, (Ruta4507nueva era 23-10-23)</t>
  </si>
  <si>
    <t>Avenida Almirante Miguel Grau, 1553, Lima, Lima Metropolitana, Lima, 15011, Perú, (Ruta4507nueva era 23-10-23)</t>
  </si>
  <si>
    <t>Avenida Almirante Miguel Grau, 171, Lima, Lima Metropolitana, Lima, 15001, Perú, (Ruta4507nueva era 23-10-23)</t>
  </si>
  <si>
    <t>Avenida Paseo de la República, Lima, Lima Metropolitana, Lima, 15083, Perú</t>
  </si>
  <si>
    <t>29 km/h</t>
  </si>
  <si>
    <t>Avenida 28 de Julio, 798, Lima, Lima Metropolitana, Lima, 15083, Perú</t>
  </si>
  <si>
    <t>Avenida 28 de Julio, 772, Lima, Lima Metropolitana, Lima, 15083, Perú</t>
  </si>
  <si>
    <t>Avenida Alfonso Ugarte, Breña, Lima Metropolitana, Lima, 15083, Perú, (Ruta4507nueva era 23-10-23)</t>
  </si>
  <si>
    <t>Avenida Alfonso Ugarte, 1235, Lima, Lima Metropolitana, Lima, 15083, Perú, (Ruta4507nueva era 23-10-23)</t>
  </si>
  <si>
    <t>Avenida Alfonso Ugarte, 1235, Lima, Lima Metropolitana, Lima, 15083, Perú</t>
  </si>
  <si>
    <t>Avenida Alfonso Ugarte, Lima, Lima Metropolitana, Lima, 15082, Perú, (Ruta4507nueva era 23-10-23)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</si>
  <si>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</si>
  <si>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</si>
  <si>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Óscar Raimundo Benavides, 153, Lima, Lima Metropolitana, Lima, 15082, Perú</t>
  </si>
  <si>
    <t>Avenida Alfonso Ugarte, 601, Lima, Lima Metropolitana, Lima, 15082, Perú</t>
  </si>
  <si>
    <t>Avenida Alfonso Ugarte, 619, Lima, Lima Metropolitana, Lima, 15082, Perú</t>
  </si>
  <si>
    <t>Avenida Alfonso Ugarte, 848, Lima, Lima Metropolitana, Lima, 15082, Perú</t>
  </si>
  <si>
    <t>Avenida Alfonso Ugarte, 1029, Lima, Lima Metropolitana, Lima, 15082, Perú, (Ruta4507nueva era 23-10-23)</t>
  </si>
  <si>
    <t>Avenida Alfonso Ugarte, 1280, Breña, Lima Metropolitana, Lima, 15083, Perú</t>
  </si>
  <si>
    <t>Avenida Alfonso Ugarte, 494, Breña, Lima Metropolitana, Lima, 15083, Perú, (Ruta4507nueva era 23-10-23)</t>
  </si>
  <si>
    <t>Avenida Guzmán Blanco, 291, Lima, Lima Metropolitana, Lima, 15083, Perú</t>
  </si>
  <si>
    <t>Acobamba, Lima, Lima Metropolitana, Lima, 15083, Perú</t>
  </si>
  <si>
    <t>Avenida Guzmán Blanco, 321, Lima, Lima Metropolitana, Lima, 15046, Perú</t>
  </si>
  <si>
    <t>Jirón Palca, Lima, Lima Metropolitana, Lima, 15083, Perú</t>
  </si>
  <si>
    <t>Calle Quimper, Lima, Lima Metropolitana, Lima, 15083, Perú</t>
  </si>
  <si>
    <t>Avenida Guzmán Blanco, 507, Lima, Lima Metropolitana, Lima, 15046, Perú</t>
  </si>
  <si>
    <t>Avenida 28 de Julio, Lima, Lima Metropolitana, Lima, 15083, Perú</t>
  </si>
  <si>
    <t>Avenida Almirante Miguel Grau, 354, Lima, Lima Metropolitana, Lima, 15001, Perú, (Ruta4507nueva era 23-10-23)</t>
  </si>
  <si>
    <t>54 km/h</t>
  </si>
  <si>
    <t>Vía Expresa Almirante Miguel Grau, La Victoria, Lima Metropolitana, Lima, 15001, Perú, (Ruta4507nueva era 23-10-23)</t>
  </si>
  <si>
    <t>Avenida Almirante Miguel Grau, 800, La Victoria, Lima Metropolitana, Lima, 15011, Perú, (Ruta4507nueva era 23-10-23)</t>
  </si>
  <si>
    <t>55 km/h</t>
  </si>
  <si>
    <t>Vía Expresa Almirante Miguel Grau, La Victoria,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</si>
  <si>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</si>
  <si>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</si>
  <si>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Avenida Inca Garcilazo de la Vega, El Agustino, Lima Metropolitana, Lima, 15004, Perú, (Ruta4507nueva era 23-10-23)</t>
  </si>
  <si>
    <t>Auxiliar Avenida Circunvalación, La Victoria, Lima Metropolitana, Lima, 15019, Perú</t>
  </si>
  <si>
    <t>39 km/h</t>
  </si>
  <si>
    <t>Avenida Circunvalación, La Victoria, Lima Metropolitana, Lima, 15019, Perú</t>
  </si>
  <si>
    <t>Avenida Nicolás Arriola, San Luis, Lima Metropolitana, Lima, 15019, Perú, (RUTA DESVIO TEM.  4507)</t>
  </si>
  <si>
    <t>Avenida Nicolás de Ayllón, San Luis, Lima Metropolitana, Lima, 15022, Perú, (Ruta4507nueva era 23-10-23, RUTA DESVIO TEM.  4507)</t>
  </si>
  <si>
    <t>Avenida Nicolás de Ayllón, Ate, Lima Metropolitana, Lima, 15002, Perú</t>
  </si>
  <si>
    <t>Avenida Nicolás de Ayllón, Ate, Lima Metropolitana, Lima, 15008, Perú, (Ruta4507nueva era 23-10-23, RUTA DESVIO TEM.  4507)</t>
  </si>
  <si>
    <t>Avenida Nicolás de Ayllón, 2950, Ate, Lima Metropolitana, Lima, 15008, Perú, (Ruta4507nueva era 23-10-23)</t>
  </si>
  <si>
    <t>Avenida Nicolás de Ayllón, Ate, Lima Metropolitana, Lima, 15008, Perú</t>
  </si>
  <si>
    <t>Avenida Los Castillos, Ate, Lima Metropolitana, Lima, 15008, Perú</t>
  </si>
  <si>
    <t>Avenida Nicolás de Ayllón, Ate, Lima Metropolitana, Lima, 15008, Perú, (Ruta4507nueva era 23-10-23)</t>
  </si>
  <si>
    <t>Avenida Nicolás de Ayllón, Km. 3.5, Santa Anita, Lima Metropolitana, Lima, 00051, Perú, (Ruta4507nueva era 23-10-23)</t>
  </si>
  <si>
    <t>Avenida Nicolás de Ayllón, Santa Anita, Lima Metropolitana, Lima, 00051, Perú, (Ruta4507nueva era 23-10-23)</t>
  </si>
  <si>
    <t>Víctor Raúl Haya de la Torre, Ate, Lima Metropolitana, Lima, 15498, Perú, (Ruta4507nueva era 23-10-23)</t>
  </si>
  <si>
    <t>62 km/h</t>
  </si>
  <si>
    <t>Avenida José Carlos Mariátegui, Ate, Lima Metropolitana, Lima, 15498, Perú, (S05Vitarte/ ALT. Hospital, Ruta4507nueva era 23-10-23)</t>
  </si>
  <si>
    <t>Avenida Nicolás de Ayllón, 5880, Ate, Lima Metropolitana, Lima, 15498, Perú, (S05Vitarte/ ALT. Hospital, Ruta4507nueva era 23-10-23)</t>
  </si>
  <si>
    <t>Avenida Esperanza, Ate, Lima Metropolitana, Lima, 15487, Perú, (Ruta4507nueva era 23-10-23)</t>
  </si>
  <si>
    <t>Avenida Nueva Neópolis, Ate, Lima Metropolitana, Lima, 15487, Perú, (Ruta4507nueva era 23-10-23)</t>
  </si>
  <si>
    <t>Avenida Jaime Zubieta Calderón, Ate, Lima Metropolitana, Lima, 15483, Perú, (Ruta4507nueva era 23-10-23)</t>
  </si>
  <si>
    <t>Avenida Jaime Zubieta Calderon, Ate, Lima Metropolitana, Lima, 15483, Perú</t>
  </si>
  <si>
    <t>Avenida José Carlos Mariátegui, Ate, Lima Metropolitana, Lima, 15474, Perú, (Horacio Zeballos)</t>
  </si>
  <si>
    <t>Chaclacayo, Lima Metropolitana, Lima, 15474, Perú, (Ruta4507nueva era 23-10-23)</t>
  </si>
  <si>
    <t>Avenida Nicolás Ayllón, 161 C, Chaclacayo, Lima Metropolitana, Lima, 15464, Perú, (Ruta4507nueva era 23-10-23)</t>
  </si>
  <si>
    <t>Avenida Nicolás Ayllón, 432, Chaclacayo, Lima Metropolitana, Lima, 15472, Perú, (Ruta4507nueva era 23-10-23)</t>
  </si>
  <si>
    <t>Avenida Nicolás Ayllón, 582-598, Chaclacayo, Lima Metropolitana, Lima, 15472, Perú, (Ruta4507nueva era 23-10-23)</t>
  </si>
  <si>
    <t>Avenida Las Flores, Lurigancho, Lima Metropolitana, Lima, 15468, Perú, (Ruta4507nueva era 23-10-23)</t>
  </si>
  <si>
    <t>Avenida Lima Sur, 1471, Chosica, Lima Metropolitana, Lima, 15468, Perú, (Ruta4507nueva era 23-10-23)</t>
  </si>
  <si>
    <t>Avenida Lima Norte, Chosica, Lima Metropolitana, Lima, 15468, Perú, (Ruta4507nueva era 23-10-23)</t>
  </si>
  <si>
    <t>Avenida Lima Norte, 574, Santa Eulalia, Lima Metropolitana, Lima, 15468, Perú, (Ruta4507nueva era 23-10-23)</t>
  </si>
  <si>
    <t>Calle Cesar Vallejo, Ricardo Palma, Huarochirí, Lima, 15468, Perú</t>
  </si>
  <si>
    <t>Jirón Tacna, Chosica, Lima Metropolitana, Lima, 15468, Perú, (Ruta4507nueva era 23-10-23)</t>
  </si>
  <si>
    <t>Jirón Tacna, Chosica, Lima Metropolitana, Lima, 15468, Perú</t>
  </si>
  <si>
    <t>Avenida Lima Sur, 765, Chosica, Lima Metropolitana, Lima, 15468, Perú, (Ruta4507nueva era 23-10-23)</t>
  </si>
  <si>
    <t>Jirón Chucuito, 187, Chosica, Lima Metropolitana, Lima, 15468, Perú, (Ruta4507nueva era 23-10-23)</t>
  </si>
  <si>
    <t>Avenida Lima Sur, 824, Chosica, Lima Metropolitana, Lima, 15468, Perú, (Ruta4507nueva era 23-10-23)</t>
  </si>
  <si>
    <t>Avenida Lima Sur, Chosica, Lima Metropolitana, Lima, 15468, Perú, (Ruta4507nueva era 23-10-23)</t>
  </si>
  <si>
    <t>Avenida Lima Sur, Chosica, Lima Metropolitana, Lima, 15468, Perú, (S09 CHOSICA/ PEDREGAL, Ruta4507nueva era 23-10-23)</t>
  </si>
  <si>
    <t>64 km/h</t>
  </si>
  <si>
    <t>Carretera Central, Lurigancho, Lima Metropolitana, Lima, 15472, Perú, (Ruta4507nueva era 23-10-23)</t>
  </si>
  <si>
    <t>Carretera Central, Ate, Lima Metropolitana, Lima, 15474, Perú, (Horacio Zeballos, Ruta4507nueva era 23-10-23)</t>
  </si>
  <si>
    <t>58 km/h</t>
  </si>
  <si>
    <t>Avenida Nicolás de Ayllón, 836, Ate, Lima Metropolitana, Lima, 15487, Perú, (Ruta4507nueva era 23-10-23)</t>
  </si>
  <si>
    <t>Avenida Nicolás de Ayllón, 816-818, Ate, Lima Metropolitana, Lima, 15487, Perú, (Ruta4507nueva era 23-10-23)</t>
  </si>
  <si>
    <t>Víctor Raúl Haya de la Torre, Ate, Lima Metropolitana, Lima, 15498, Perú</t>
  </si>
  <si>
    <t>41 km/h</t>
  </si>
  <si>
    <t>Ate, Lima Metropolitana, Lima, 15498, Perú, (Ruta4507nueva era 23-10-23)</t>
  </si>
  <si>
    <t>Avenida Simón Bolivar, Ate, Lima Metropolitana, Lima, 15498, Perú, (Ruta4507nueva era 23-10-23)</t>
  </si>
  <si>
    <t>Avenida Nicolás de Ayllón, Santa Anita, Lima Metropolitana, Lima, 15498, Perú, (Ruta4507nueva era 23-10-23)</t>
  </si>
  <si>
    <t>74 km/h</t>
  </si>
  <si>
    <t>Avenida Nicolás de Ayllón, Santa Anita, Lima Metropolitana, Lima, 15009, Perú, (Ruta4507nueva era 23-10-23)</t>
  </si>
  <si>
    <t>46 km/h</t>
  </si>
  <si>
    <t>Las Alondras, Santa Anita, Lima Metropolitana, Lima, 15008, Perú, (Ruta4507nueva era 23-10-23)</t>
  </si>
  <si>
    <t>Avenida Nicolás de Ayllón, El Agustino, Lima Metropolitana, Lima, 15002, Perú, (Ruta4507nueva era 23-10-23, RUTA DESVIO TEM.  4507)</t>
  </si>
  <si>
    <t>Avenida Nicolás de Ayllón, Ate, Lima Metropolitana, Lima, 15022, Perú, (Ruta4507nueva era 23-10-23, RUTA DESVIO TEM.  4507)</t>
  </si>
  <si>
    <t>Nardos, Ate, Lima Metropolitana, Lima, 15019, Perú</t>
  </si>
  <si>
    <t>Avenida Los Rosales, Ate, Lima Metropolitana, Lima, 15019, Perú</t>
  </si>
  <si>
    <t>Calle Ollanta, San Luis, Lima Metropolitana, Lima, 15019, Perú</t>
  </si>
  <si>
    <t>Avenida Almirante Miguel Grau, 1930, El Agustino, Lima Metropolitana, Lima, 15003, Perú</t>
  </si>
  <si>
    <t>Avenida Almirante Miguel Grau, El Agustino, Lima Metropolitana, Lima, 15003, Perú</t>
  </si>
  <si>
    <t>Avenida Almirante Miguel Grau, 1900, El Agustino, Lima Metropolitana, Lima, 15003, Perú</t>
  </si>
  <si>
    <t>Avenida Almirante Miguel Grau, 1796, Lima, Lima Metropolitana, Lima, 15003, Perú</t>
  </si>
  <si>
    <t>Avenida Almirante Miguel Grau, 1864, Lima, Lima Metropolitana, Lima, 15011, Perú</t>
  </si>
  <si>
    <t>Avenida Almirante Miguel Grau, 1832, Lima, Lima Metropolitana, Lima, 15011, Perú</t>
  </si>
  <si>
    <t>Avenida Almirante Miguel Grau, 1804, Lima, Lima Metropolitana, Lima, 15011, Perú</t>
  </si>
  <si>
    <t>Avenida Almirante Miguel Grau, Lima, Lima Metropolitana, Lima, 15003, Perú</t>
  </si>
  <si>
    <t>Avenida Almirante Miguel Grau, Lima, Lima Metropolitana, Lima, 15011, Perú, (Ruta4507nueva era 23-10-23)</t>
  </si>
  <si>
    <t>Avenida Almirante Miguel Grau, 1518, Lima, Lima Metropolitana, Lima, 15011, Perú, (Ruta4507nueva era 23-10-23)</t>
  </si>
  <si>
    <t>Avenida Almirante Miguel Grau, 1299, Lima, Lima Metropolitana, Lima, 15011, Perú, (Ruta4507nueva era 23-10-23)</t>
  </si>
  <si>
    <t>Avenida Almirante Miguel Grau, 384, La Victoria, Lima Metropolitana, Lima, 15001, Perú, (Ruta4507nueva era 23-10-23)</t>
  </si>
  <si>
    <t>Avenida Almirante Miguel Grau, 364, La Victoria, Lima Metropolitana, Lima, 15001, Perú, (Ruta4507nueva era 23-10-23)</t>
  </si>
  <si>
    <t>Avenida Almirante Miguel Grau, 113, Lima, Lima Metropolitana, Lima, 15001, Perú, (Ruta4507nueva era 23-10-23)</t>
  </si>
  <si>
    <t>Avenida 28 de Julio, 715, Jesús María, Lima Metropolitana, Lima, 15083, Perú</t>
  </si>
  <si>
    <t>Avenida Guzmán Blanco, 445, Lima, Lima Metropolitana, Lima, 15083, Perú</t>
  </si>
  <si>
    <t>Avenida Alfonso Ugarte, Lima, Lima Metropolitana, Lima, 15083, Perú, (Ruta4507nueva era 23-10-23)</t>
  </si>
  <si>
    <t>Avenida Alfonso Ugarte, Cdra. 9, Lima, Lima Metropolitana, Lima, 15082, Perú, (Ruta4507nueva era 23-10-23)</t>
  </si>
  <si>
    <t>Ciclovía Colonial, Lima, Lima Metropolitana, Lima, 15082, Perú</t>
  </si>
  <si>
    <t>Avenida Alfonso Ugarte, 825, Lima, Lima Metropolitana, Lima, 15082, Perú, (Ruta4507nueva era 23-10-23)</t>
  </si>
  <si>
    <t>Avenida Alfonso Ugarte, 873, Lima, Lima Metropolitana, Lima, 15001, Perú, (Ruta4507nueva era 23-10-23)</t>
  </si>
  <si>
    <t>Avenida Alfonso Ugarte, Breña, Lima Metropolitana, Lima, 15082, Perú, (S01Alfonso Ugarte/ Metro, Ruta4507nueva era 23-10-23)</t>
  </si>
  <si>
    <t>Avenida Alfonso Ugarte, 1029, Lima, Lima Metropolitana, Lima, 15082, Perú, (S01Alfonso Ugarte/ Metro, Ruta4507nueva era 23-10-23)</t>
  </si>
  <si>
    <t>Avenida Alfonso Ugarte, 1356, Breña, Lima Metropolitana, Lima, 15083, Perú</t>
  </si>
  <si>
    <t>Plaza Francisco Bolognesi, 590, Jesús María, Lima Metropolitana, Lima, 15083, Perú, (Ruta4507nueva era 23-10-23)</t>
  </si>
  <si>
    <t>Avenida 28 de Julio, Jesús María, Lima Metropolitana, Lima, 15083, Perú</t>
  </si>
  <si>
    <t>Avenida República de Chile, Jesús María, Lima Metropolitana, Lima, 15083, Perú</t>
  </si>
  <si>
    <t>Avenida Garcilazo de la Vega, Lima, Lima Metropolitana, Lima, 15083, Perú</t>
  </si>
  <si>
    <t>Avenida 28 de Julio, 1056, Jesús María, Lima Metropolitana, Lima, 15083, Perú</t>
  </si>
  <si>
    <t>Avenida Almirante Miguel Grau, 813, Lima, Lima Metropolitana, Lima, 15001, Perú, (Ruta4507nueva era 23-10-23)</t>
  </si>
  <si>
    <t>Avenida Almirante Miguel Grau, 848, Lima, Lima Metropolitana, Lima, 15001, Perú, (Ruta4507nueva era 23-10-23)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</si>
  <si>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</si>
  <si>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</si>
  <si>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Avenida Nicolás de Ayllón, San Luis, Lima Metropolitana, Lima, 15019, Perú, (Ruta4507nueva era 23-10-23)</t>
  </si>
  <si>
    <t>Auxiliar Avenida Circunvalación, San Luis, Lima Metropolitana, Lima, 15019, Perú</t>
  </si>
  <si>
    <t>Calle Santa Luisa, 2142, Ate, Lima Metropolitana, Lima, 15002, Perú, (Ruta4507nueva era 23-10-23, RUTA DESVIO TEM.  4507)</t>
  </si>
  <si>
    <t>Avenida Alexander Fleming, Ate, Lima Metropolitana, Lima, 15002, Perú</t>
  </si>
  <si>
    <t>Vía de Evitamiento, Ate, Lima Metropolitana, Lima, 15008, Perú, (Ruta4507nueva era 23-10-23, RUTA DESVIO TEM.  4507)</t>
  </si>
  <si>
    <t>Avenida Nicolás de Ayllón, C 32, Ate, Lima Metropolitana, Lima, 15008, Perú, (Ruta4507nueva era 23-10-23)</t>
  </si>
  <si>
    <t>Avenida Bernardino Rivadavia, Ate, Lima Metropolitana, Lima, 15498, Perú</t>
  </si>
  <si>
    <t>Avenida José Carlos Mariátegui, Ate, Lima Metropolitana, Lima, 15498, Perú, (Ruta4507nueva era 23-10-23, RUTA DESVIO TEM.  4507)</t>
  </si>
  <si>
    <t>Calle El Trabajo, Ate, Lima Metropolitana, Lima, 15498, Perú, (Ruta4507nueva era 23-10-23, RUTA DESVIO TEM.  4507)</t>
  </si>
  <si>
    <t>Avenida Nicolás de Ayllón, 6376, Ate, Lima Metropolitana, Lima, 15498, Perú, (Ruta4507nueva era 23-10-23)</t>
  </si>
  <si>
    <t>Carretera Central, 1030, Ate, Lima Metropolitana, Lima, 15487, Perú, (Ruta4507nueva era 23-10-23)</t>
  </si>
  <si>
    <t>Avenida Andrés Avelino Cáceres, Ate, Lima Metropolitana, Lima, 15474, Perú, (Ruta4507nueva era 23-10-23)</t>
  </si>
  <si>
    <t>Avenida Unión, Chaclacayo, Lima Metropolitana, Lima, 15474, Perú</t>
  </si>
  <si>
    <t>Carretera Central, Ate, Lima Metropolitana, Lima, 15483, Perú</t>
  </si>
  <si>
    <t>Carretera Central, Ate, Lima Metropolitana, Lima, 15483, Perú, (Ruta4507nueva era 23-10-23)</t>
  </si>
  <si>
    <t>Avenida 15 de Julio, Ate, Lima Metropolitana, Lima, 15483, Perú</t>
  </si>
  <si>
    <t>Avenida José Carlos Mariátegui, Ate, Lima Metropolitana, Lima, 15474, Perú</t>
  </si>
  <si>
    <t>Avenida Los Ruiseñores, Santa Anita, Lima Metropolitana, Lima, 15008, Perú</t>
  </si>
  <si>
    <t>Avenida Nicolás de Ayllón, 111, Santa Anita, Lima Metropolitana, Lima, 15008, Perú, (Ruta4507nueva era 23-10-23)</t>
  </si>
  <si>
    <t>Avenida Nicolás de Ayllón, Santa Anita, Lima Metropolitana, Lima, 15008, Perú, (RUTA DESVIO TEM.  4507)</t>
  </si>
  <si>
    <t>Avenida Nicolás de Ayllón, El Agustino, Lima Metropolitana, Lima, 15008, Perú, (Ruta4507nueva era 23-10-23)</t>
  </si>
  <si>
    <t>Avenida José de la Riva Aguero, El Agustino, Lima Metropolitana, Lima, 15004, Perú</t>
  </si>
  <si>
    <t>Avenida Almirante Miguel Grau, 1356, Lima, Lima Metropolitana, Lima, 15011, Perú, (Ruta4507nueva era 23-10-23)</t>
  </si>
  <si>
    <t>Avenida Almirante Miguel Grau, La Victoria, Lima Metropolitana, Lima, 15001, Perú, (Ruta4507nueva era 23-10-23)</t>
  </si>
  <si>
    <t>Avenida Iquitos, Lima, Lima Metropolitana, Lima, 15001, Perú, (Ruta4507nueva era 23-10-23)</t>
  </si>
  <si>
    <t>Avenida Almirante Miguel Grau, 569, Lima, Lima Metropolitana, Lima, 15001, Perú, (S02 AV.GRAU/ JR ANDAHUAYLAS, Ruta4507nueva era 23-10-23)</t>
  </si>
  <si>
    <t>Avenida Almirante Miguel Grau, 569, Lima, Lima Metropolitana, Lima, 15001, Perú, (Ruta4507nueva era 23-10-23)</t>
  </si>
  <si>
    <t>Avenida Almirante Miguel Grau, Lima, Lima Metropolitana, Lima, 15001, Perú, (S02 AV.GRAU/ JR ANDAHUAYLAS, Ruta4507nueva era 23-10-23)</t>
  </si>
  <si>
    <t>Vía Expresa Almirante Miguel Grau, Lima, Lima Metropolitana, Lima, 15001, Perú, (S02 AV.GRAU/ JR ANDAHUAYLAS, Ruta4507nueva era 23-10-23)</t>
  </si>
  <si>
    <t>Vía Expresa Almirante Miguel Grau, La Victoria, Lima Metropolitana, Lima, 15001, Perú, (S02 AV.GRAU/ JR ANDAHUAYLAS, Ruta4507nueva era 23-10-23)</t>
  </si>
  <si>
    <t>Avenida Almirante Miguel Grau, 619, Lima, Lima Metropolitana, Lima, 15001, Perú, (S02 AV.GRAU/ JR ANDAHUAYLAS, Ruta4507nueva era 23-10-23)</t>
  </si>
  <si>
    <t>Vía Expresa Almirante Miguel Grau, Lima, Lima Metropolitana, Lima, 15011, Perú, (Ruta4507nueva era 23-10-23)</t>
  </si>
  <si>
    <t>Avenida Inca Garcilazo de la Vega, Lima, Lima Metropolitana, Lima, 15004, Perú</t>
  </si>
  <si>
    <t>Calle 28 de Diciembre, San Luis, Lima Metropolitana, Lima, 15019, Perú</t>
  </si>
  <si>
    <t>Avenida Circunvalación, San Luis, Lima Metropolitana, Lima, 15019, Perú</t>
  </si>
  <si>
    <t>Avenida Nicolás Arriola, San Luis, Lima Metropolitana, Lima, 15019, Perú</t>
  </si>
  <si>
    <t>Avenida Nicolás de Ayllón, Lado d 1820, San Luis, Lima Metropolitana, Lima, 15019, Perú, (RUTA DESVIO TEM.  4507)</t>
  </si>
  <si>
    <t>Avenida Los Cipreses, Santa Anita, Lima Metropolitana, Lima, 15008, Perú, (RUTA DESVIO TEM.  4507)</t>
  </si>
  <si>
    <t>Avenida Los Cipreses, Santa Anita, Lima Metropolitana, Lima, 15002, Perú, (RUTA DESVIO TEM.  4507)</t>
  </si>
  <si>
    <t>Vía de Evitamiento, Santa Anita, Lima Metropolitana, Lima, 15002, Perú, (RUTA DESVIO TEM.  4507)</t>
  </si>
  <si>
    <t>Avenida Los Eucaliptos, Santa Anita, Lima Metropolitana, Lima, 15008, Perú, (RUTA DESVIO TEM.  4507)</t>
  </si>
  <si>
    <t>Avenida Huancaray, Santa Anita, Lima Metropolitana, Lima, 15007, Perú, (RUTA DESVIO TEM.  4507)</t>
  </si>
  <si>
    <t>Calle Chavín, Santa Anita, Lima Metropolitana, Lima, 15007, Perú, (RUTA DESVIO TEM.  4507)</t>
  </si>
  <si>
    <t>Avenida de La Cultura, Santa Anita, Lima Metropolitana, Lima, 15009, Perú, (RUTA DESVIO TEM.  4507)</t>
  </si>
  <si>
    <t>Avenida Metropolitana, Ate, Lima Metropolitana, Lima, 15498, Perú</t>
  </si>
  <si>
    <t>Avenida Nicolás Ayllón, 477, Chaclacayo, Lima Metropolitana, Lima, 15472, Perú, (Ruta4507nueva era 23-10-23)</t>
  </si>
  <si>
    <t>Avenida Malecón Manco Cápac, Chaclacayo, Lima Metropolitana, Lima, 15472, Perú, (Ruta4507nueva era 23-10-23)</t>
  </si>
  <si>
    <t>Avenida Unión, Chaclacayo, Lima Metropolitana, Lima, 15474, Perú, (S07ÑAÑA, Ruta4507nueva era 23-10-23)</t>
  </si>
  <si>
    <t>Carretera Central, Ate, Lima Metropolitana, Lima, 15487, Perú, (S06 SANTA CLARA, Ruta4507nueva era 23-10-23)</t>
  </si>
  <si>
    <t>Prolongación Javier Prado Este, Ate, Lima Metropolitana, Lima, 15498, Perú, (RUTA DESVIO TEM.  4507)</t>
  </si>
  <si>
    <t>63 km/h</t>
  </si>
  <si>
    <t>Avenida Minería, Santa Anita, Lima Metropolitana, Lima, 15008, Perú, (RUTA DESVIO TEM.  4507)</t>
  </si>
  <si>
    <t>Avenida Minería, Santa Anita, Lima Metropolitana, Lima, 15008, Perú</t>
  </si>
  <si>
    <t>Avenida Lima Sur, 465, Chosica, Lima Metropolitana, Lima, 15468, Perú, (Ruta4507nueva era 23-10-23)</t>
  </si>
  <si>
    <t>Jirón Sánchez Pinillos, 189, Lima, Lima Metropolitana, Lima, 15082, Perú, (Ruta4507nueva era 23-10-23)</t>
  </si>
  <si>
    <t>Ricardo Palma, Huarochirí, Lima, 15468, Perú, (CURVA RICARDO PALMA, Ruta4507nueva era 23-10-23)</t>
  </si>
  <si>
    <t>Calle Digoberto Ojeda, Ricardo Palma, Huarochirí, Lima, 15468, Perú</t>
  </si>
  <si>
    <t>Ricardo Palma, Huarochirí, Lima, 15468, Perú, (Ruta4507nueva era 23-10-23)</t>
  </si>
  <si>
    <t>Pasaje Gould, Lima, Lima Metropolitana, Lima, 15082, Perú, (PARADERO DESTINO ASCOPE)</t>
  </si>
  <si>
    <t>Simón Bolívar, Ricardo Palma, Huarochirí, Lima, 15468, Perú, (Ruta4507nueva era 23-10-23)</t>
  </si>
  <si>
    <t>Simón Bolívar, Ricardo Palma, Huarochirí, Lima, 15468, Perú, (TALLER TRASANDINO)</t>
  </si>
  <si>
    <t>Avenida Lima Norte, 246, Chosica, Lima Metropolitana, Lima, 15468, Perú, (Ruta4507nueva era 23-10-23)</t>
  </si>
  <si>
    <t>Avenida Circunvalación, 200, San Luis, Lima Metropolitana, Lima, 15019, Perú, (Ruta4507nueva era 23-10-23)</t>
  </si>
  <si>
    <t>Abraham Valdelomar, Ricardo Palma, Huarochirí, Lima, 15468, Perú</t>
  </si>
  <si>
    <t>Avenida 5 de Setiembre, Ricardo Palma, Huarochirí, Lima, 15468, Perú, (Ruta4507nueva era 23-10-23)</t>
  </si>
  <si>
    <t>Avenida José Carlos Mariátegui, Ricardo Palma, Huarochirí, Lima, 15468, Perú, (Ruta4507nueva era 23-10-23)</t>
  </si>
  <si>
    <t>Jirón Los Próceres, Santa Eulalia, Huarochirí, Lima, 15468, Perú</t>
  </si>
  <si>
    <t>Avenida Lima Norte, Santa Eulalia, Huarochirí, Lima, 15468, Perú</t>
  </si>
  <si>
    <t>Avenida Lima Norte, Santa Eulalia, Huarochirí, Lima, 15468, Perú, (Ruta4507nueva era 23-10-23)</t>
  </si>
  <si>
    <t>Avenida 5 de Setiembre, Ricardo Palma, Huarochirí, Lima, 15468, Perú</t>
  </si>
  <si>
    <t>Simón Bolívar, Ricardo Palma, Huarochirí, Lima, 15468, Perú, (TALLER TRASANDINO, Ruta4507nueva era 23-10-23)</t>
  </si>
  <si>
    <t>73 km/h</t>
  </si>
  <si>
    <t>Avenida Pablo Patron, 715, San Luis, Lima Metropolitana, Lima, 15019, Perú</t>
  </si>
  <si>
    <t>Avenida Nicolás Ayllón, Chaclacayo, Lima Metropolitana, Lima, 15472, Perú</t>
  </si>
  <si>
    <t>Ciclovía Colonial, Lima, Lima Metropolitana, Lima, 15082, Perú, (Ruta4507nueva era 23-10-23)</t>
  </si>
  <si>
    <t>Carretera Central, Chaclacayo, Lima Metropolitana, Lima, 15474, Perú</t>
  </si>
  <si>
    <t>Carretera Central, Ricardo Palma, Huarochirí, Lima, 15468, Perú</t>
  </si>
  <si>
    <t>Jirón Cornelio Borda, Breña, Lima Metropolitana, Lima, 15082, Perú, (Ruta4507nueva era 23-10-23)</t>
  </si>
  <si>
    <t>Avenida José Carlos Mariátegui, Ricardo Palma, Huarochirí, Lima, 15468, Perú, (CURVA RICARDO PALMA, Ruta4507nueva era 23-10-23)</t>
  </si>
  <si>
    <t>Pasaje Gould, Lima, Lima Metropolitana, Lima, 15082, Perú</t>
  </si>
  <si>
    <t>Calle Alhelíes, Chaclacayo, Lima Metropolitana, Lima, 15476, Perú</t>
  </si>
  <si>
    <t>Avenida Alfonso Ugarte, Lima, Lima Metropolitana, Lima, 15082, Perú</t>
  </si>
  <si>
    <t>Jirón Cornelio Borda, Lima, Lima Metropolitana, Lima, 15082, Perú</t>
  </si>
  <si>
    <t>Calle Las Palmeras, Chaclacayo, Lima Metropolitana, Lima, 15472, Perú</t>
  </si>
  <si>
    <t>Avenida de La Cultura, Santa Anita, Lima Metropolitana, Lima, 15009, Perú</t>
  </si>
  <si>
    <t>Jirón Callao, Chosica, Lima Metropolitana, Lima, 15468, Perú</t>
  </si>
  <si>
    <t>Jirón Trujillo Sur, Chosica, Lima Metropolitana, Lima, 15468, Perú</t>
  </si>
  <si>
    <t>Jirón Iquitos, Chosica, Lima Metropolitana, Lima, 15468, Perú</t>
  </si>
  <si>
    <t>Chosica, Lima Metropolitana, Lima, 15468, Perú, (Ruta4507nueva era 23-10-23)</t>
  </si>
  <si>
    <t>Avenida Lima Sur, 1205, Chosica, Lima Metropolitana, Lima, 15468, Perú, (Ruta4507nueva era 23-10-23)</t>
  </si>
  <si>
    <t>Calle Las Casuarinas, Chosica, Lima Metropolitana, Lima, 15468, Perú, (Ruta4507nueva era 23-10-23)</t>
  </si>
  <si>
    <t>Calle Los Plátanos, Chosica, Lima Metropolitana, Lima, 15468, Perú, (Ruta4507nueva era 23-10-23)</t>
  </si>
  <si>
    <t>Calle Solea, Chosica, Lima Metropolitana, Lima, 15468, Perú, (Ruta4507nueva era 23-10-23)</t>
  </si>
  <si>
    <t>Avenida Las Flores, Chosica, Lima Metropolitana, Lima, 15468, Perú, (Ruta4507nueva era 23-10-23)</t>
  </si>
  <si>
    <t>Calle Los Rosales, Lurigancho, Lima Metropolitana, Lima, 15468, Perú, (Ruta4507nueva era 23-10-23)</t>
  </si>
  <si>
    <t>Carretera Central, Frnt G3, Lurigancho, Lima Metropolitana, Lima, 15472, Perú, (Ruta4507nueva era 23-10-23)</t>
  </si>
  <si>
    <t>Calle Los Ficus, Chaclacayo, Lima Metropolitana, Lima, 15474, Perú, (Ruta4507nueva era 23-10-23)</t>
  </si>
  <si>
    <t>Carretera Central, Km. 17.5, Chaclacayo, Lima Metropolitana, Lima, 15474, Perú, (Ruta4507nueva era 23-10-23)</t>
  </si>
  <si>
    <t>Ricardo Palma, Huarochirí, Lima, 15468, Perú, (Exceso de Velocidad)</t>
  </si>
  <si>
    <t>Jose Carlos Mariátegui, Ricardo Palma, Lima Metropolitana, Lima, 15468, Perú, (Exceso de Velocidad)</t>
  </si>
  <si>
    <t>Avenida Nicolás Ayllón, 2274, Chaclacayo, Lima Metropolitana, Lima, 15472, Perú, (Ruta4507nueva era 23-10-23)</t>
  </si>
  <si>
    <t>Chosica, Lima Metropolitana, Lima, 15468, Perú</t>
  </si>
  <si>
    <t>Calle Córdova, 103, Ricardo Palma, Huarochirí, Lima, 15468, Perú, (Ruta4507nueva era 23-10-23)</t>
  </si>
  <si>
    <t>Jirón Los Próceres, Santa Eulalia, Huarochirí, Lima, 15468, Perú, (Ruta4507nueva era 23-10-23)</t>
  </si>
  <si>
    <t>Avenida Lima Sur, Chosica, Lima Metropolitana, Lima, 15468, Perú</t>
  </si>
  <si>
    <t>Avenida Almirante Miguel Grau, 300, La Victoria, Lima Metropolitana, Lima, 15001, Perú, (Ruta4507nueva era 23-10-23)</t>
  </si>
  <si>
    <t>Avenida Almirante Miguel Grau, 351, La Victoria, Lima Metropolitana, Lima, 15001, Perú</t>
  </si>
  <si>
    <t>Calle Abraham Valdelomar, 108, Ricardo Palma, Huarochirí, Lima, 15468, Perú</t>
  </si>
  <si>
    <t>Avenida Tomás Valle, Callao, Lima Metropolitana, Callao, 07036, Perú</t>
  </si>
  <si>
    <t>Vía Expresa Elmer Faucett, Callao, Lima Metropolitana, Callao, 07041, Perú</t>
  </si>
  <si>
    <t>Jirón Macará, 422, San Martín de Porres, Lima Metropolitana, Lima, 15102, Perú</t>
  </si>
  <si>
    <t>Jirón Macará, 418, San Martín de Porres, Lima Metropolitana, Lima, 15102, Perú</t>
  </si>
  <si>
    <t>Jirón Macará, 412, San Martín de Porres, Lima Metropolitana, Lima, 15102, Perú</t>
  </si>
  <si>
    <t>Jirón Macará, 420, San Martín de Porres, Lima Metropolitana, Lima, 15102, Perú</t>
  </si>
  <si>
    <t>Vía de Evitamiento, San Martín de Porres, Lima Metropolitana, Lima, 15102, Perú</t>
  </si>
  <si>
    <t>Jirón Coronel Miguel Baquero, 190, Lima, Lima Metropolitana, Lima, 15082, Perú</t>
  </si>
  <si>
    <t>Avenida Lima Norte, Santa Eulalia, Lima Metropolitana, Lima, 15468, Perú, (Ruta4507nueva era 23-10-23)</t>
  </si>
  <si>
    <t>San Silvestre, E5, Santa Eulalia, Huarochirí, Lima, 15468, Perú</t>
  </si>
  <si>
    <t>Jirón Trujillo Sur, Chosica, Lima Metropolitana, Lima, 15468, Perú, (Ruta4507nueva era 23-10-23)</t>
  </si>
  <si>
    <t>Avenida Alfonso Ugarte, 699, Lima, Lima Metropolitana, Lima, 15082, Perú</t>
  </si>
  <si>
    <t>Prolongación Parinacochas, 1341, La Victoria, Lima Metropolitana, Lima, 15018, Perú</t>
  </si>
  <si>
    <t>Marcos Puente Llanos, Ate, Lima Metropolitana, Lima, 15498, Perú</t>
  </si>
  <si>
    <t>Avenida Gloria Grande, Ate, Lima Metropolitana, Lima, 15483, Perú</t>
  </si>
  <si>
    <t>Vía Expresa Almirante Miguel Grau, Lima, Lima Metropolitana, Lima, 15001, Perú, (Ruta4507nueva era 23-10-23)</t>
  </si>
  <si>
    <t>129 km/h</t>
  </si>
  <si>
    <t>Calle 2, Ate, Lima Metropolitana, Lima, 15487, Perú</t>
  </si>
  <si>
    <t>Calle B, Ate, Lima Metropolitana, Lima, 15483, Perú</t>
  </si>
  <si>
    <t>128 km/h</t>
  </si>
  <si>
    <t>Avenida Nicolás de Ayllón, 1912, Ate, Lima Metropolitana, Lima, 15002, Perú, (Ruta4507nueva era 23-10-23, RUTA DESVIO TEM.  4507)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</si>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</sst>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481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469</v>
      </c>
      <c r="B8" s="3">
        <v>45708.254421296297</v>
      </c>
      <c r="C8" t="s">
        <v>18</v>
      </c>
      <c r="D8" s="3">
        <v>45708.90347222222</v>
      </c>
      <c r="E8" t="s">
        <v>18</v>
      </c>
      <c r="F8" s="4">
        <v>215.036</v>
      </c>
      <c r="G8" s="4">
        <v>515545.34100000001</v>
      </c>
      <c r="H8" s="4">
        <v>515760.37699999998</v>
      </c>
      <c r="I8" s="5">
        <f>13051 / 86400</f>
        <v>0.15105324074074075</v>
      </c>
      <c r="J8" t="s">
        <v>19</v>
      </c>
      <c r="K8" t="s">
        <v>20</v>
      </c>
      <c r="L8" s="5">
        <f>44777 / 86400</f>
        <v>0.51825231481481482</v>
      </c>
      <c r="M8" s="5">
        <f>41620 / 86400</f>
        <v>0.48171296296296295</v>
      </c>
    </row>
    <row r="9" spans="1:13" x14ac:dyDescent="0.25">
      <c r="A9" t="s">
        <v>470</v>
      </c>
      <c r="B9" s="3">
        <v>45708.098449074074</v>
      </c>
      <c r="C9" t="s">
        <v>21</v>
      </c>
      <c r="D9" s="3">
        <v>45708.353865740741</v>
      </c>
      <c r="E9" t="s">
        <v>21</v>
      </c>
      <c r="F9" s="4">
        <v>0</v>
      </c>
      <c r="G9" s="4">
        <v>20846.210999999999</v>
      </c>
      <c r="H9" s="4">
        <v>20846.210999999999</v>
      </c>
      <c r="I9" s="5">
        <f>17506 / 86400</f>
        <v>0.20261574074074074</v>
      </c>
      <c r="J9" t="s">
        <v>22</v>
      </c>
      <c r="K9" t="s">
        <v>22</v>
      </c>
      <c r="L9" s="5">
        <f>17609 / 86400</f>
        <v>0.20380787037037038</v>
      </c>
      <c r="M9" s="5">
        <f>68785 / 86400</f>
        <v>0.79612268518518514</v>
      </c>
    </row>
    <row r="10" spans="1:13" x14ac:dyDescent="0.25">
      <c r="A10" t="s">
        <v>471</v>
      </c>
      <c r="B10" s="3">
        <v>45708.273981481485</v>
      </c>
      <c r="C10" t="s">
        <v>23</v>
      </c>
      <c r="D10" s="3">
        <v>45708.815324074079</v>
      </c>
      <c r="E10" t="s">
        <v>24</v>
      </c>
      <c r="F10" s="4">
        <v>0.82599999999999996</v>
      </c>
      <c r="G10" s="4">
        <v>329759.74699999997</v>
      </c>
      <c r="H10" s="4">
        <v>329760.57299999997</v>
      </c>
      <c r="I10" s="5">
        <f>119 / 86400</f>
        <v>1.3773148148148147E-3</v>
      </c>
      <c r="J10" t="s">
        <v>25</v>
      </c>
      <c r="K10" t="s">
        <v>26</v>
      </c>
      <c r="L10" s="5">
        <f>419 / 86400</f>
        <v>4.8495370370370368E-3</v>
      </c>
      <c r="M10" s="5">
        <f>85980 / 86400</f>
        <v>0.99513888888888891</v>
      </c>
    </row>
    <row r="11" spans="1:13" x14ac:dyDescent="0.25">
      <c r="A11" t="s">
        <v>472</v>
      </c>
      <c r="B11" s="3">
        <v>45708.357777777783</v>
      </c>
      <c r="C11" t="s">
        <v>27</v>
      </c>
      <c r="D11" s="3">
        <v>45708.906458333338</v>
      </c>
      <c r="E11" t="s">
        <v>27</v>
      </c>
      <c r="F11" s="4">
        <v>86.23599999999999</v>
      </c>
      <c r="G11" s="4">
        <v>21589.392</v>
      </c>
      <c r="H11" s="4">
        <v>21675.628000000001</v>
      </c>
      <c r="I11" s="5">
        <f>9114 / 86400</f>
        <v>0.10548611111111111</v>
      </c>
      <c r="J11" t="s">
        <v>28</v>
      </c>
      <c r="K11" t="s">
        <v>29</v>
      </c>
      <c r="L11" s="5">
        <f>24350 / 86400</f>
        <v>0.28182870370370372</v>
      </c>
      <c r="M11" s="5">
        <f>62046 / 86400</f>
        <v>0.71812500000000001</v>
      </c>
    </row>
    <row r="12" spans="1:13" x14ac:dyDescent="0.25">
      <c r="A12" t="s">
        <v>473</v>
      </c>
      <c r="B12" s="3">
        <v>45708.703321759254</v>
      </c>
      <c r="C12" t="s">
        <v>30</v>
      </c>
      <c r="D12" s="3">
        <v>45708.703356481477</v>
      </c>
      <c r="E12" t="s">
        <v>30</v>
      </c>
      <c r="F12" s="4">
        <v>0</v>
      </c>
      <c r="G12" s="4">
        <v>514661.17499999999</v>
      </c>
      <c r="H12" s="4">
        <v>514661.17499999999</v>
      </c>
      <c r="I12" s="5">
        <f>0 / 86400</f>
        <v>0</v>
      </c>
      <c r="J12" t="s">
        <v>22</v>
      </c>
      <c r="K12" t="s">
        <v>22</v>
      </c>
      <c r="L12" s="5">
        <f>3 / 86400</f>
        <v>3.4722222222222222E-5</v>
      </c>
      <c r="M12" s="5">
        <f>86396 / 86400</f>
        <v>0.99995370370370373</v>
      </c>
    </row>
    <row r="13" spans="1:13" x14ac:dyDescent="0.25">
      <c r="A13" t="s">
        <v>474</v>
      </c>
      <c r="B13" s="3">
        <v>45708.336469907408</v>
      </c>
      <c r="C13" t="s">
        <v>27</v>
      </c>
      <c r="D13" s="3">
        <v>45708.803969907407</v>
      </c>
      <c r="E13" t="s">
        <v>27</v>
      </c>
      <c r="F13" s="4">
        <v>2.7720000000000002</v>
      </c>
      <c r="G13" s="4">
        <v>93373.388999999996</v>
      </c>
      <c r="H13" s="4">
        <v>93376.160999999993</v>
      </c>
      <c r="I13" s="5">
        <f>818 / 86400</f>
        <v>9.4675925925925934E-3</v>
      </c>
      <c r="J13" t="s">
        <v>31</v>
      </c>
      <c r="K13" t="s">
        <v>32</v>
      </c>
      <c r="L13" s="5">
        <f>1603 / 86400</f>
        <v>1.8553240740740742E-2</v>
      </c>
      <c r="M13" s="5">
        <f>84796 / 86400</f>
        <v>0.98143518518518513</v>
      </c>
    </row>
    <row r="14" spans="1:13" x14ac:dyDescent="0.25">
      <c r="A14" t="s">
        <v>475</v>
      </c>
      <c r="B14" s="3">
        <v>45708.175671296296</v>
      </c>
      <c r="C14" t="s">
        <v>18</v>
      </c>
      <c r="D14" s="3">
        <v>45708.830150462964</v>
      </c>
      <c r="E14" t="s">
        <v>18</v>
      </c>
      <c r="F14" s="4">
        <v>254.77099999999999</v>
      </c>
      <c r="G14" s="4">
        <v>139643.514</v>
      </c>
      <c r="H14" s="4">
        <v>139898.285</v>
      </c>
      <c r="I14" s="5">
        <f>15832 / 86400</f>
        <v>0.18324074074074073</v>
      </c>
      <c r="J14" t="s">
        <v>33</v>
      </c>
      <c r="K14" t="s">
        <v>34</v>
      </c>
      <c r="L14" s="5">
        <f>50693 / 86400</f>
        <v>0.58672453703703709</v>
      </c>
      <c r="M14" s="5">
        <f>35702 / 86400</f>
        <v>0.41321759259259261</v>
      </c>
    </row>
    <row r="15" spans="1:13" x14ac:dyDescent="0.25">
      <c r="A15" t="s">
        <v>476</v>
      </c>
      <c r="B15" s="3">
        <v>45708</v>
      </c>
      <c r="C15" t="s">
        <v>35</v>
      </c>
      <c r="D15" s="3">
        <v>45708.993391203709</v>
      </c>
      <c r="E15" t="s">
        <v>36</v>
      </c>
      <c r="F15" s="4">
        <v>289.3556828262806</v>
      </c>
      <c r="G15" s="4">
        <v>349225.17029937112</v>
      </c>
      <c r="H15" s="4">
        <v>349530.06437806069</v>
      </c>
      <c r="I15" s="5">
        <f>0 / 86400</f>
        <v>0</v>
      </c>
      <c r="J15" t="s">
        <v>37</v>
      </c>
      <c r="K15" t="s">
        <v>38</v>
      </c>
      <c r="L15" s="5">
        <f>48804 / 86400</f>
        <v>0.56486111111111115</v>
      </c>
      <c r="M15" s="5">
        <f>37595 / 86400</f>
        <v>0.43512731481481481</v>
      </c>
    </row>
    <row r="16" spans="1:13" x14ac:dyDescent="0.25">
      <c r="A16" t="s">
        <v>477</v>
      </c>
      <c r="B16" s="3">
        <v>45708.170925925922</v>
      </c>
      <c r="C16" t="s">
        <v>39</v>
      </c>
      <c r="D16" s="3">
        <v>45708.542291666672</v>
      </c>
      <c r="E16" t="s">
        <v>39</v>
      </c>
      <c r="F16" s="4">
        <v>102.816</v>
      </c>
      <c r="G16" s="4">
        <v>485072.24400000001</v>
      </c>
      <c r="H16" s="4">
        <v>485175.06</v>
      </c>
      <c r="I16" s="5">
        <f>6000 / 86400</f>
        <v>6.9444444444444448E-2</v>
      </c>
      <c r="J16" t="s">
        <v>40</v>
      </c>
      <c r="K16" t="s">
        <v>34</v>
      </c>
      <c r="L16" s="5">
        <f>20499 / 86400</f>
        <v>0.23725694444444445</v>
      </c>
      <c r="M16" s="5">
        <f>65896 / 86400</f>
        <v>0.76268518518518513</v>
      </c>
    </row>
    <row r="17" spans="1:13" x14ac:dyDescent="0.25">
      <c r="A17" t="s">
        <v>478</v>
      </c>
      <c r="B17" s="3">
        <v>45708.272650462968</v>
      </c>
      <c r="C17" t="s">
        <v>41</v>
      </c>
      <c r="D17" s="3">
        <v>45708.890451388885</v>
      </c>
      <c r="E17" t="s">
        <v>42</v>
      </c>
      <c r="F17" s="4">
        <v>201.46899999999999</v>
      </c>
      <c r="G17" s="4">
        <v>509347.67499999999</v>
      </c>
      <c r="H17" s="4">
        <v>509549.14399999997</v>
      </c>
      <c r="I17" s="5">
        <f>16754 / 86400</f>
        <v>0.19391203703703705</v>
      </c>
      <c r="J17" t="s">
        <v>43</v>
      </c>
      <c r="K17" t="s">
        <v>44</v>
      </c>
      <c r="L17" s="5">
        <f>48675 / 86400</f>
        <v>0.56336805555555558</v>
      </c>
      <c r="M17" s="5">
        <f>37720 / 86400</f>
        <v>0.43657407407407406</v>
      </c>
    </row>
    <row r="18" spans="1:13" x14ac:dyDescent="0.25">
      <c r="A18" t="s">
        <v>479</v>
      </c>
      <c r="B18" s="3">
        <v>45708.239363425921</v>
      </c>
      <c r="C18" t="s">
        <v>45</v>
      </c>
      <c r="D18" s="3">
        <v>45708.944837962961</v>
      </c>
      <c r="E18" t="s">
        <v>45</v>
      </c>
      <c r="F18" s="4">
        <v>198.00299999999999</v>
      </c>
      <c r="G18" s="4">
        <v>408579.03399999999</v>
      </c>
      <c r="H18" s="4">
        <v>408777.11900000001</v>
      </c>
      <c r="I18" s="5">
        <f>15671 / 86400</f>
        <v>0.18137731481481481</v>
      </c>
      <c r="J18" t="s">
        <v>46</v>
      </c>
      <c r="K18" t="s">
        <v>44</v>
      </c>
      <c r="L18" s="5">
        <f>46880 / 86400</f>
        <v>0.54259259259259263</v>
      </c>
      <c r="M18" s="5">
        <f>39516 / 86400</f>
        <v>0.45736111111111111</v>
      </c>
    </row>
    <row r="19" spans="1:13" x14ac:dyDescent="0.25">
      <c r="A19" t="s">
        <v>480</v>
      </c>
      <c r="B19" s="3">
        <v>45708.281967592593</v>
      </c>
      <c r="C19" t="s">
        <v>47</v>
      </c>
      <c r="D19" s="3">
        <v>45708.71056712963</v>
      </c>
      <c r="E19" t="s">
        <v>47</v>
      </c>
      <c r="F19" s="4">
        <v>97.253</v>
      </c>
      <c r="G19" s="4">
        <v>438602.36900000001</v>
      </c>
      <c r="H19" s="4">
        <v>438699.62199999997</v>
      </c>
      <c r="I19" s="5">
        <f>7294 / 86400</f>
        <v>8.44212962962963E-2</v>
      </c>
      <c r="J19" t="s">
        <v>48</v>
      </c>
      <c r="K19" t="s">
        <v>49</v>
      </c>
      <c r="L19" s="5">
        <f>21343 / 86400</f>
        <v>0.24702546296296296</v>
      </c>
      <c r="M19" s="5">
        <f>65053 / 86400</f>
        <v>0.75292824074074072</v>
      </c>
    </row>
    <row r="20" spans="1:13" x14ac:dyDescent="0.25">
      <c r="A20" t="s">
        <v>481</v>
      </c>
      <c r="B20" s="3">
        <v>45708.202175925922</v>
      </c>
      <c r="C20" t="s">
        <v>50</v>
      </c>
      <c r="D20" s="3">
        <v>45708.940740740742</v>
      </c>
      <c r="E20" t="s">
        <v>51</v>
      </c>
      <c r="F20" s="4">
        <v>201.209</v>
      </c>
      <c r="G20" s="4">
        <v>55705.353999999999</v>
      </c>
      <c r="H20" s="4">
        <v>55906.563000000002</v>
      </c>
      <c r="I20" s="5">
        <f>15335 / 86400</f>
        <v>0.17748842592592592</v>
      </c>
      <c r="J20" t="s">
        <v>52</v>
      </c>
      <c r="K20" t="s">
        <v>49</v>
      </c>
      <c r="L20" s="5">
        <f>44385 / 86400</f>
        <v>0.51371527777777781</v>
      </c>
      <c r="M20" s="5">
        <f>42005 / 86400</f>
        <v>0.48616898148148147</v>
      </c>
    </row>
    <row r="21" spans="1:13" x14ac:dyDescent="0.25">
      <c r="A21" t="s">
        <v>482</v>
      </c>
      <c r="B21" s="3">
        <v>45708.218333333338</v>
      </c>
      <c r="C21" t="s">
        <v>53</v>
      </c>
      <c r="D21" s="3">
        <v>45708.261435185181</v>
      </c>
      <c r="E21" t="s">
        <v>53</v>
      </c>
      <c r="F21" s="4">
        <v>1.304</v>
      </c>
      <c r="G21" s="4">
        <v>217339.99299999999</v>
      </c>
      <c r="H21" s="4">
        <v>217341.29699999999</v>
      </c>
      <c r="I21" s="5">
        <f>581 / 86400</f>
        <v>6.7245370370370367E-3</v>
      </c>
      <c r="J21" t="s">
        <v>54</v>
      </c>
      <c r="K21" t="s">
        <v>55</v>
      </c>
      <c r="L21" s="5">
        <f>1020 / 86400</f>
        <v>1.1805555555555555E-2</v>
      </c>
      <c r="M21" s="5">
        <f>85378 / 86400</f>
        <v>0.9881712962962963</v>
      </c>
    </row>
    <row r="22" spans="1:13" x14ac:dyDescent="0.25">
      <c r="A22" t="s">
        <v>483</v>
      </c>
      <c r="B22" s="3">
        <v>45708.266076388885</v>
      </c>
      <c r="C22" t="s">
        <v>56</v>
      </c>
      <c r="D22" s="3">
        <v>45708.929097222222</v>
      </c>
      <c r="E22" t="s">
        <v>56</v>
      </c>
      <c r="F22" s="4">
        <v>167.46899999994039</v>
      </c>
      <c r="G22" s="4">
        <v>526397.15800000005</v>
      </c>
      <c r="H22" s="4">
        <v>526564.62699999998</v>
      </c>
      <c r="I22" s="5">
        <f>15313 / 86400</f>
        <v>0.17723379629629629</v>
      </c>
      <c r="J22" t="s">
        <v>57</v>
      </c>
      <c r="K22" t="s">
        <v>58</v>
      </c>
      <c r="L22" s="5">
        <f>42038 / 86400</f>
        <v>0.48655092592592591</v>
      </c>
      <c r="M22" s="5">
        <f>44349 / 86400</f>
        <v>0.51329861111111108</v>
      </c>
    </row>
    <row r="23" spans="1:13" x14ac:dyDescent="0.25">
      <c r="A23" t="s">
        <v>484</v>
      </c>
      <c r="B23" s="3">
        <v>45708.249722222223</v>
      </c>
      <c r="C23" t="s">
        <v>59</v>
      </c>
      <c r="D23" s="3">
        <v>45708.860092592593</v>
      </c>
      <c r="E23" t="s">
        <v>60</v>
      </c>
      <c r="F23" s="4">
        <v>204.786</v>
      </c>
      <c r="G23" s="4">
        <v>345967.32400000002</v>
      </c>
      <c r="H23" s="4">
        <v>346172.11</v>
      </c>
      <c r="I23" s="5">
        <f>14891 / 86400</f>
        <v>0.17234953703703704</v>
      </c>
      <c r="J23" t="s">
        <v>61</v>
      </c>
      <c r="K23" t="s">
        <v>20</v>
      </c>
      <c r="L23" s="5">
        <f>44116 / 86400</f>
        <v>0.51060185185185181</v>
      </c>
      <c r="M23" s="5">
        <f>42278 / 86400</f>
        <v>0.48932870370370368</v>
      </c>
    </row>
    <row r="24" spans="1:13" x14ac:dyDescent="0.25">
      <c r="A24" t="s">
        <v>485</v>
      </c>
      <c r="B24" s="3">
        <v>45708.252500000002</v>
      </c>
      <c r="C24" t="s">
        <v>62</v>
      </c>
      <c r="D24" s="3">
        <v>45708.812581018516</v>
      </c>
      <c r="E24" t="s">
        <v>62</v>
      </c>
      <c r="F24" s="4">
        <v>118.711</v>
      </c>
      <c r="G24" s="4">
        <v>426886.15700000001</v>
      </c>
      <c r="H24" s="4">
        <v>427004.86800000002</v>
      </c>
      <c r="I24" s="5">
        <f>9916 / 86400</f>
        <v>0.11476851851851852</v>
      </c>
      <c r="J24" t="s">
        <v>40</v>
      </c>
      <c r="K24" t="s">
        <v>44</v>
      </c>
      <c r="L24" s="5">
        <f>28412 / 86400</f>
        <v>0.32884259259259258</v>
      </c>
      <c r="M24" s="5">
        <f>57982 / 86400</f>
        <v>0.67108796296296291</v>
      </c>
    </row>
    <row r="25" spans="1:13" x14ac:dyDescent="0.25">
      <c r="A25" t="s">
        <v>486</v>
      </c>
      <c r="B25" s="3">
        <v>45708.142013888893</v>
      </c>
      <c r="C25" t="s">
        <v>63</v>
      </c>
      <c r="D25" s="3">
        <v>45708.89466435185</v>
      </c>
      <c r="E25" t="s">
        <v>63</v>
      </c>
      <c r="F25" s="4">
        <v>205.20400000000001</v>
      </c>
      <c r="G25" s="4">
        <v>139575.25399999999</v>
      </c>
      <c r="H25" s="4">
        <v>139780.45800000001</v>
      </c>
      <c r="I25" s="5">
        <f>14853 / 86400</f>
        <v>0.17190972222222223</v>
      </c>
      <c r="J25" t="s">
        <v>52</v>
      </c>
      <c r="K25" t="s">
        <v>20</v>
      </c>
      <c r="L25" s="5">
        <f>44462 / 86400</f>
        <v>0.51460648148148147</v>
      </c>
      <c r="M25" s="5">
        <f>41930 / 86400</f>
        <v>0.48530092592592594</v>
      </c>
    </row>
    <row r="26" spans="1:13" x14ac:dyDescent="0.25">
      <c r="A26" t="s">
        <v>487</v>
      </c>
      <c r="B26" s="3">
        <v>45708.252268518518</v>
      </c>
      <c r="C26" t="s">
        <v>27</v>
      </c>
      <c r="D26" s="3">
        <v>45708.942199074074</v>
      </c>
      <c r="E26" t="s">
        <v>27</v>
      </c>
      <c r="F26" s="4">
        <v>176.654</v>
      </c>
      <c r="G26" s="4">
        <v>6493.0429999999997</v>
      </c>
      <c r="H26" s="4">
        <v>6669.6970000000001</v>
      </c>
      <c r="I26" s="5">
        <f>25697 / 86400</f>
        <v>0.29741898148148149</v>
      </c>
      <c r="J26" t="s">
        <v>64</v>
      </c>
      <c r="K26" t="s">
        <v>65</v>
      </c>
      <c r="L26" s="5">
        <f>51259 / 86400</f>
        <v>0.59327546296296296</v>
      </c>
      <c r="M26" s="5">
        <f>35138 / 86400</f>
        <v>0.40668981481481481</v>
      </c>
    </row>
    <row r="27" spans="1:13" x14ac:dyDescent="0.25">
      <c r="A27" t="s">
        <v>488</v>
      </c>
      <c r="B27" s="3">
        <v>45708.146863425922</v>
      </c>
      <c r="C27" t="s">
        <v>66</v>
      </c>
      <c r="D27" s="3">
        <v>45708.769050925926</v>
      </c>
      <c r="E27" t="s">
        <v>66</v>
      </c>
      <c r="F27" s="4">
        <v>252.94799999994041</v>
      </c>
      <c r="G27" s="4">
        <v>524744.63800000004</v>
      </c>
      <c r="H27" s="4">
        <v>524997.58600000001</v>
      </c>
      <c r="I27" s="5">
        <f>12936 / 86400</f>
        <v>0.14972222222222223</v>
      </c>
      <c r="J27" t="s">
        <v>67</v>
      </c>
      <c r="K27" t="s">
        <v>68</v>
      </c>
      <c r="L27" s="5">
        <f>46731 / 86400</f>
        <v>0.5408680555555555</v>
      </c>
      <c r="M27" s="5">
        <f>39665 / 86400</f>
        <v>0.45908564814814817</v>
      </c>
    </row>
    <row r="28" spans="1:13" x14ac:dyDescent="0.25">
      <c r="A28" t="s">
        <v>489</v>
      </c>
      <c r="B28" s="3">
        <v>45708.393391203703</v>
      </c>
      <c r="C28" t="s">
        <v>69</v>
      </c>
      <c r="D28" s="3">
        <v>45708.99998842593</v>
      </c>
      <c r="E28" t="s">
        <v>70</v>
      </c>
      <c r="F28" s="4">
        <v>187.994</v>
      </c>
      <c r="G28" s="4">
        <v>412818.49599999998</v>
      </c>
      <c r="H28" s="4">
        <v>413006.49</v>
      </c>
      <c r="I28" s="5">
        <f>13845 / 86400</f>
        <v>0.16024305555555557</v>
      </c>
      <c r="J28" t="s">
        <v>33</v>
      </c>
      <c r="K28" t="s">
        <v>44</v>
      </c>
      <c r="L28" s="5">
        <f>44054 / 86400</f>
        <v>0.50988425925925929</v>
      </c>
      <c r="M28" s="5">
        <f>42342 / 86400</f>
        <v>0.49006944444444445</v>
      </c>
    </row>
    <row r="29" spans="1:13" x14ac:dyDescent="0.25">
      <c r="A29" t="s">
        <v>490</v>
      </c>
      <c r="B29" s="3">
        <v>45708.239965277782</v>
      </c>
      <c r="C29" t="s">
        <v>71</v>
      </c>
      <c r="D29" s="3">
        <v>45708.869942129633</v>
      </c>
      <c r="E29" t="s">
        <v>72</v>
      </c>
      <c r="F29" s="4">
        <v>206.90200000000002</v>
      </c>
      <c r="G29" s="4">
        <v>403935.049</v>
      </c>
      <c r="H29" s="4">
        <v>404141.951</v>
      </c>
      <c r="I29" s="5">
        <f>17170 / 86400</f>
        <v>0.19872685185185185</v>
      </c>
      <c r="J29" t="s">
        <v>57</v>
      </c>
      <c r="K29" t="s">
        <v>44</v>
      </c>
      <c r="L29" s="5">
        <f>48998 / 86400</f>
        <v>0.56710648148148146</v>
      </c>
      <c r="M29" s="5">
        <f>37397 / 86400</f>
        <v>0.43283564814814812</v>
      </c>
    </row>
    <row r="30" spans="1:13" x14ac:dyDescent="0.25">
      <c r="A30" t="s">
        <v>491</v>
      </c>
      <c r="B30" s="3">
        <v>45708.26189814815</v>
      </c>
      <c r="C30" t="s">
        <v>73</v>
      </c>
      <c r="D30" s="3">
        <v>45708.764675925922</v>
      </c>
      <c r="E30" t="s">
        <v>73</v>
      </c>
      <c r="F30" s="4">
        <v>171.583</v>
      </c>
      <c r="G30" s="4">
        <v>408156.56599999999</v>
      </c>
      <c r="H30" s="4">
        <v>408328.14899999998</v>
      </c>
      <c r="I30" s="5">
        <f>11277 / 86400</f>
        <v>0.13052083333333334</v>
      </c>
      <c r="J30" t="s">
        <v>74</v>
      </c>
      <c r="K30" t="s">
        <v>34</v>
      </c>
      <c r="L30" s="5">
        <f>34522 / 86400</f>
        <v>0.39956018518518521</v>
      </c>
      <c r="M30" s="5">
        <f>51868 / 86400</f>
        <v>0.60032407407407407</v>
      </c>
    </row>
    <row r="31" spans="1:13" x14ac:dyDescent="0.25">
      <c r="A31" t="s">
        <v>492</v>
      </c>
      <c r="B31" s="3">
        <v>45708.296469907407</v>
      </c>
      <c r="C31" t="s">
        <v>75</v>
      </c>
      <c r="D31" s="3">
        <v>45708.771990740745</v>
      </c>
      <c r="E31" t="s">
        <v>75</v>
      </c>
      <c r="F31" s="4">
        <v>119.977</v>
      </c>
      <c r="G31" s="4">
        <v>348657.80300000001</v>
      </c>
      <c r="H31" s="4">
        <v>348777.78</v>
      </c>
      <c r="I31" s="5">
        <f>10639 / 86400</f>
        <v>0.12313657407407408</v>
      </c>
      <c r="J31" t="s">
        <v>64</v>
      </c>
      <c r="K31" t="s">
        <v>58</v>
      </c>
      <c r="L31" s="5">
        <f>30453 / 86400</f>
        <v>0.35246527777777775</v>
      </c>
      <c r="M31" s="5">
        <f>55945 / 86400</f>
        <v>0.64751157407407411</v>
      </c>
    </row>
    <row r="32" spans="1:13" x14ac:dyDescent="0.25">
      <c r="A32" t="s">
        <v>493</v>
      </c>
      <c r="B32" s="3">
        <v>45708.122696759259</v>
      </c>
      <c r="C32" t="s">
        <v>76</v>
      </c>
      <c r="D32" s="3">
        <v>45708.445034722223</v>
      </c>
      <c r="E32" t="s">
        <v>76</v>
      </c>
      <c r="F32" s="4">
        <v>109.72799999999999</v>
      </c>
      <c r="G32" s="4">
        <v>42393.917999999998</v>
      </c>
      <c r="H32" s="4">
        <v>42503.646000000001</v>
      </c>
      <c r="I32" s="5">
        <f>4057 / 86400</f>
        <v>4.6956018518518522E-2</v>
      </c>
      <c r="J32" t="s">
        <v>37</v>
      </c>
      <c r="K32" t="s">
        <v>38</v>
      </c>
      <c r="L32" s="5">
        <f>18425 / 86400</f>
        <v>0.21325231481481483</v>
      </c>
      <c r="M32" s="5">
        <f>67968 / 86400</f>
        <v>0.78666666666666663</v>
      </c>
    </row>
    <row r="33" spans="1:13" x14ac:dyDescent="0.25">
      <c r="A33" t="s">
        <v>494</v>
      </c>
      <c r="B33" s="3">
        <v>45708.004050925927</v>
      </c>
      <c r="C33" t="s">
        <v>77</v>
      </c>
      <c r="D33" s="3">
        <v>45708.99998842593</v>
      </c>
      <c r="E33" t="s">
        <v>78</v>
      </c>
      <c r="F33" s="4">
        <v>274.91199999999998</v>
      </c>
      <c r="G33" s="4">
        <v>48236.67</v>
      </c>
      <c r="H33" s="4">
        <v>48511.582000000002</v>
      </c>
      <c r="I33" s="5">
        <f>17768 / 86400</f>
        <v>0.20564814814814814</v>
      </c>
      <c r="J33" t="s">
        <v>79</v>
      </c>
      <c r="K33" t="s">
        <v>34</v>
      </c>
      <c r="L33" s="5">
        <f>56009 / 86400</f>
        <v>0.64825231481481482</v>
      </c>
      <c r="M33" s="5">
        <f>30379 / 86400</f>
        <v>0.35160879629629632</v>
      </c>
    </row>
    <row r="34" spans="1:13" x14ac:dyDescent="0.25">
      <c r="A34" t="s">
        <v>495</v>
      </c>
      <c r="B34" s="3">
        <v>45708</v>
      </c>
      <c r="C34" t="s">
        <v>80</v>
      </c>
      <c r="D34" s="3">
        <v>45708.769375000003</v>
      </c>
      <c r="E34" t="s">
        <v>77</v>
      </c>
      <c r="F34" s="4">
        <v>222.88399999994039</v>
      </c>
      <c r="G34" s="4">
        <v>529609.505</v>
      </c>
      <c r="H34" s="4">
        <v>529832.38899999997</v>
      </c>
      <c r="I34" s="5">
        <f>13975 / 86400</f>
        <v>0.16174768518518517</v>
      </c>
      <c r="J34" t="s">
        <v>81</v>
      </c>
      <c r="K34" t="s">
        <v>68</v>
      </c>
      <c r="L34" s="5">
        <f>42597 / 86400</f>
        <v>0.49302083333333335</v>
      </c>
      <c r="M34" s="5">
        <f>43799 / 86400</f>
        <v>0.50693287037037038</v>
      </c>
    </row>
    <row r="35" spans="1:13" x14ac:dyDescent="0.25">
      <c r="A35" t="s">
        <v>496</v>
      </c>
      <c r="B35" s="3">
        <v>45708.2106712963</v>
      </c>
      <c r="C35" t="s">
        <v>39</v>
      </c>
      <c r="D35" s="3">
        <v>45708.78943287037</v>
      </c>
      <c r="E35" t="s">
        <v>39</v>
      </c>
      <c r="F35" s="4">
        <v>176.37899999999999</v>
      </c>
      <c r="G35" s="4">
        <v>569279.60400000005</v>
      </c>
      <c r="H35" s="4">
        <v>569455.98300000001</v>
      </c>
      <c r="I35" s="5">
        <f>14449 / 86400</f>
        <v>0.16723379629629628</v>
      </c>
      <c r="J35" t="s">
        <v>37</v>
      </c>
      <c r="K35" t="s">
        <v>44</v>
      </c>
      <c r="L35" s="5">
        <f>42444 / 86400</f>
        <v>0.49125000000000002</v>
      </c>
      <c r="M35" s="5">
        <f>43951 / 86400</f>
        <v>0.50869212962962962</v>
      </c>
    </row>
    <row r="36" spans="1:13" x14ac:dyDescent="0.25">
      <c r="A36" t="s">
        <v>497</v>
      </c>
      <c r="B36" s="3">
        <v>45708.242777777778</v>
      </c>
      <c r="C36" t="s">
        <v>82</v>
      </c>
      <c r="D36" s="3">
        <v>45708.860578703709</v>
      </c>
      <c r="E36" t="s">
        <v>83</v>
      </c>
      <c r="F36" s="4">
        <v>141.684</v>
      </c>
      <c r="G36" s="4">
        <v>436058.42</v>
      </c>
      <c r="H36" s="4">
        <v>436200.10399999999</v>
      </c>
      <c r="I36" s="5">
        <f>8715 / 86400</f>
        <v>0.10086805555555556</v>
      </c>
      <c r="J36" t="s">
        <v>64</v>
      </c>
      <c r="K36" t="s">
        <v>20</v>
      </c>
      <c r="L36" s="5">
        <f>30381 / 86400</f>
        <v>0.35163194444444446</v>
      </c>
      <c r="M36" s="5">
        <f>56012 / 86400</f>
        <v>0.64828703703703705</v>
      </c>
    </row>
    <row r="37" spans="1:13" x14ac:dyDescent="0.25">
      <c r="A37" t="s">
        <v>498</v>
      </c>
      <c r="B37" s="3">
        <v>45708.234594907408</v>
      </c>
      <c r="C37" t="s">
        <v>53</v>
      </c>
      <c r="D37" s="3">
        <v>45708.801516203705</v>
      </c>
      <c r="E37" t="s">
        <v>53</v>
      </c>
      <c r="F37" s="4">
        <v>195.30100000000002</v>
      </c>
      <c r="G37" s="4">
        <v>516847.67599999998</v>
      </c>
      <c r="H37" s="4">
        <v>517044.93800000002</v>
      </c>
      <c r="I37" s="5">
        <f>12587 / 86400</f>
        <v>0.14568287037037037</v>
      </c>
      <c r="J37" t="s">
        <v>61</v>
      </c>
      <c r="K37" t="s">
        <v>20</v>
      </c>
      <c r="L37" s="5">
        <f>42513 / 86400</f>
        <v>0.49204861111111109</v>
      </c>
      <c r="M37" s="5">
        <f>43885 / 86400</f>
        <v>0.50792824074074072</v>
      </c>
    </row>
    <row r="38" spans="1:13" x14ac:dyDescent="0.25">
      <c r="A38" t="s">
        <v>499</v>
      </c>
      <c r="B38" s="3">
        <v>45708.224328703705</v>
      </c>
      <c r="C38" t="s">
        <v>84</v>
      </c>
      <c r="D38" s="3">
        <v>45708.266527777778</v>
      </c>
      <c r="E38" t="s">
        <v>85</v>
      </c>
      <c r="F38" s="4">
        <v>0.495</v>
      </c>
      <c r="G38" s="4">
        <v>506476.08899999998</v>
      </c>
      <c r="H38" s="4">
        <v>506476.58399999997</v>
      </c>
      <c r="I38" s="5">
        <f>3220 / 86400</f>
        <v>3.726851851851852E-2</v>
      </c>
      <c r="J38" t="s">
        <v>86</v>
      </c>
      <c r="K38" t="s">
        <v>22</v>
      </c>
      <c r="L38" s="5">
        <f>3646 / 86400</f>
        <v>4.2199074074074076E-2</v>
      </c>
      <c r="M38" s="5">
        <f>82753 / 86400</f>
        <v>0.95778935185185188</v>
      </c>
    </row>
    <row r="39" spans="1:13" x14ac:dyDescent="0.25">
      <c r="A39" t="s">
        <v>500</v>
      </c>
      <c r="B39" s="3">
        <v>45708</v>
      </c>
      <c r="C39" t="s">
        <v>87</v>
      </c>
      <c r="D39" s="3">
        <v>45708.952997685185</v>
      </c>
      <c r="E39" t="s">
        <v>88</v>
      </c>
      <c r="F39" s="4">
        <v>227.059</v>
      </c>
      <c r="G39" s="4">
        <v>352901.96899999998</v>
      </c>
      <c r="H39" s="4">
        <v>353129.02799999999</v>
      </c>
      <c r="I39" s="5">
        <f>20597 / 86400</f>
        <v>0.2383912037037037</v>
      </c>
      <c r="J39" t="s">
        <v>61</v>
      </c>
      <c r="K39" t="s">
        <v>44</v>
      </c>
      <c r="L39" s="5">
        <f>53736 / 86400</f>
        <v>0.62194444444444441</v>
      </c>
      <c r="M39" s="5">
        <f>32656 / 86400</f>
        <v>0.37796296296296295</v>
      </c>
    </row>
    <row r="40" spans="1:13" x14ac:dyDescent="0.25">
      <c r="A40" t="s">
        <v>501</v>
      </c>
      <c r="B40" s="3">
        <v>45708.213749999995</v>
      </c>
      <c r="C40" t="s">
        <v>89</v>
      </c>
      <c r="D40" s="3">
        <v>45708.792395833334</v>
      </c>
      <c r="E40" t="s">
        <v>89</v>
      </c>
      <c r="F40" s="4">
        <v>210.94400000000002</v>
      </c>
      <c r="G40" s="4">
        <v>411873.24699999997</v>
      </c>
      <c r="H40" s="4">
        <v>412084.19099999999</v>
      </c>
      <c r="I40" s="5">
        <f>14371 / 86400</f>
        <v>0.16633101851851853</v>
      </c>
      <c r="J40" t="s">
        <v>46</v>
      </c>
      <c r="K40" t="s">
        <v>20</v>
      </c>
      <c r="L40" s="5">
        <f>44013 / 86400</f>
        <v>0.50940972222222225</v>
      </c>
      <c r="M40" s="5">
        <f>42386 / 86400</f>
        <v>0.49057870370370371</v>
      </c>
    </row>
    <row r="41" spans="1:13" x14ac:dyDescent="0.25">
      <c r="A41" t="s">
        <v>502</v>
      </c>
      <c r="B41" s="3">
        <v>45708.151412037041</v>
      </c>
      <c r="C41" t="s">
        <v>27</v>
      </c>
      <c r="D41" s="3">
        <v>45708.720173611116</v>
      </c>
      <c r="E41" t="s">
        <v>27</v>
      </c>
      <c r="F41" s="4">
        <v>207.74100000000001</v>
      </c>
      <c r="G41" s="4">
        <v>442840.24800000002</v>
      </c>
      <c r="H41" s="4">
        <v>443047.989</v>
      </c>
      <c r="I41" s="5">
        <f>12379 / 86400</f>
        <v>0.14327546296296295</v>
      </c>
      <c r="J41" t="s">
        <v>90</v>
      </c>
      <c r="K41" t="s">
        <v>34</v>
      </c>
      <c r="L41" s="5">
        <f>41682 / 86400</f>
        <v>0.48243055555555553</v>
      </c>
      <c r="M41" s="5">
        <f>44714 / 86400</f>
        <v>0.51752314814814815</v>
      </c>
    </row>
    <row r="42" spans="1:13" x14ac:dyDescent="0.25">
      <c r="A42" t="s">
        <v>503</v>
      </c>
      <c r="B42" s="3">
        <v>45708.229490740741</v>
      </c>
      <c r="C42" t="s">
        <v>88</v>
      </c>
      <c r="D42" s="3">
        <v>45708.770127314812</v>
      </c>
      <c r="E42" t="s">
        <v>91</v>
      </c>
      <c r="F42" s="4">
        <v>191.471</v>
      </c>
      <c r="G42" s="4">
        <v>475129.52</v>
      </c>
      <c r="H42" s="4">
        <v>475320.99099999998</v>
      </c>
      <c r="I42" s="5">
        <f>15018 / 86400</f>
        <v>0.17381944444444444</v>
      </c>
      <c r="J42" t="s">
        <v>92</v>
      </c>
      <c r="K42" t="s">
        <v>49</v>
      </c>
      <c r="L42" s="5">
        <f>43937 / 86400</f>
        <v>0.50853009259259263</v>
      </c>
      <c r="M42" s="5">
        <f>42461 / 86400</f>
        <v>0.49144675925925924</v>
      </c>
    </row>
    <row r="43" spans="1:13" x14ac:dyDescent="0.25">
      <c r="A43" t="s">
        <v>504</v>
      </c>
      <c r="B43" s="3">
        <v>45708.00644675926</v>
      </c>
      <c r="C43" t="s">
        <v>93</v>
      </c>
      <c r="D43" s="3">
        <v>45708.998622685191</v>
      </c>
      <c r="E43" t="s">
        <v>84</v>
      </c>
      <c r="F43" s="4">
        <v>321.137</v>
      </c>
      <c r="G43" s="4">
        <v>415668.03</v>
      </c>
      <c r="H43" s="4">
        <v>415989.16700000002</v>
      </c>
      <c r="I43" s="5">
        <f>21629 / 86400</f>
        <v>0.25033564814814813</v>
      </c>
      <c r="J43" t="s">
        <v>92</v>
      </c>
      <c r="K43" t="s">
        <v>34</v>
      </c>
      <c r="L43" s="5">
        <f>63257 / 86400</f>
        <v>0.73214120370370372</v>
      </c>
      <c r="M43" s="5">
        <f>23134 / 86400</f>
        <v>0.26775462962962965</v>
      </c>
    </row>
    <row r="44" spans="1:13" x14ac:dyDescent="0.25">
      <c r="A44" t="s">
        <v>505</v>
      </c>
      <c r="B44" s="3">
        <v>45708.177210648151</v>
      </c>
      <c r="C44" t="s">
        <v>27</v>
      </c>
      <c r="D44" s="3">
        <v>45708.997777777782</v>
      </c>
      <c r="E44" t="s">
        <v>27</v>
      </c>
      <c r="F44" s="4">
        <v>245.273</v>
      </c>
      <c r="G44" s="4">
        <v>329560.43199999997</v>
      </c>
      <c r="H44" s="4">
        <v>329805.70500000002</v>
      </c>
      <c r="I44" s="5">
        <f>15876 / 86400</f>
        <v>0.18375</v>
      </c>
      <c r="J44" t="s">
        <v>67</v>
      </c>
      <c r="K44" t="s">
        <v>34</v>
      </c>
      <c r="L44" s="5">
        <f>50223 / 86400</f>
        <v>0.58128472222222227</v>
      </c>
      <c r="M44" s="5">
        <f>36164 / 86400</f>
        <v>0.41856481481481483</v>
      </c>
    </row>
    <row r="45" spans="1:13" x14ac:dyDescent="0.25">
      <c r="A45" t="s">
        <v>506</v>
      </c>
      <c r="B45" s="3">
        <v>45708.56958333333</v>
      </c>
      <c r="C45" t="s">
        <v>27</v>
      </c>
      <c r="D45" s="3">
        <v>45708.992164351846</v>
      </c>
      <c r="E45" t="s">
        <v>27</v>
      </c>
      <c r="F45" s="4">
        <v>157.08199999999999</v>
      </c>
      <c r="G45" s="4">
        <v>361274.272</v>
      </c>
      <c r="H45" s="4">
        <v>361431.35399999999</v>
      </c>
      <c r="I45" s="5">
        <f>13322 / 86400</f>
        <v>0.15418981481481481</v>
      </c>
      <c r="J45" t="s">
        <v>81</v>
      </c>
      <c r="K45" t="s">
        <v>49</v>
      </c>
      <c r="L45" s="5">
        <f>36053 / 86400</f>
        <v>0.41728009259259258</v>
      </c>
      <c r="M45" s="5">
        <f>50345 / 86400</f>
        <v>0.58269675925925923</v>
      </c>
    </row>
    <row r="46" spans="1:13" x14ac:dyDescent="0.25">
      <c r="A46" t="s">
        <v>507</v>
      </c>
      <c r="B46" s="3">
        <v>45708.276782407411</v>
      </c>
      <c r="C46" t="s">
        <v>94</v>
      </c>
      <c r="D46" s="3">
        <v>45708.913854166662</v>
      </c>
      <c r="E46" t="s">
        <v>95</v>
      </c>
      <c r="F46" s="4">
        <v>13.18</v>
      </c>
      <c r="G46" s="4">
        <v>82397.595000000001</v>
      </c>
      <c r="H46" s="4">
        <v>82410.774999999994</v>
      </c>
      <c r="I46" s="5">
        <f>2179 / 86400</f>
        <v>2.5219907407407406E-2</v>
      </c>
      <c r="J46" t="s">
        <v>96</v>
      </c>
      <c r="K46" t="s">
        <v>97</v>
      </c>
      <c r="L46" s="5">
        <f>4973 / 86400</f>
        <v>5.755787037037037E-2</v>
      </c>
      <c r="M46" s="5">
        <f>81426 / 86400</f>
        <v>0.94243055555555555</v>
      </c>
    </row>
    <row r="47" spans="1:13" x14ac:dyDescent="0.25">
      <c r="A47" t="s">
        <v>508</v>
      </c>
      <c r="B47" s="3">
        <v>45708.199988425928</v>
      </c>
      <c r="C47" t="s">
        <v>41</v>
      </c>
      <c r="D47" s="3">
        <v>45708.978831018518</v>
      </c>
      <c r="E47" t="s">
        <v>41</v>
      </c>
      <c r="F47" s="4">
        <v>295.233</v>
      </c>
      <c r="G47" s="4">
        <v>471094.86900000001</v>
      </c>
      <c r="H47" s="4">
        <v>471390.103</v>
      </c>
      <c r="I47" s="5">
        <f>22483 / 86400</f>
        <v>0.26021990740740741</v>
      </c>
      <c r="J47" t="s">
        <v>52</v>
      </c>
      <c r="K47" t="s">
        <v>20</v>
      </c>
      <c r="L47" s="5">
        <f>61838 / 86400</f>
        <v>0.7157175925925926</v>
      </c>
      <c r="M47" s="5">
        <f>24554 / 86400</f>
        <v>0.28418981481481481</v>
      </c>
    </row>
    <row r="48" spans="1:13" x14ac:dyDescent="0.25">
      <c r="A48" t="s">
        <v>509</v>
      </c>
      <c r="B48" s="3">
        <v>45708.516423611116</v>
      </c>
      <c r="C48" t="s">
        <v>98</v>
      </c>
      <c r="D48" s="3">
        <v>45708.813831018517</v>
      </c>
      <c r="E48" t="s">
        <v>98</v>
      </c>
      <c r="F48" s="4">
        <v>0</v>
      </c>
      <c r="G48" s="4">
        <v>428213.33600000001</v>
      </c>
      <c r="H48" s="4">
        <v>428213.33600000001</v>
      </c>
      <c r="I48" s="5">
        <f>24144 / 86400</f>
        <v>0.27944444444444444</v>
      </c>
      <c r="J48" t="s">
        <v>22</v>
      </c>
      <c r="K48" t="s">
        <v>22</v>
      </c>
      <c r="L48" s="5">
        <f>24352 / 86400</f>
        <v>0.28185185185185185</v>
      </c>
      <c r="M48" s="5">
        <f>62038 / 86400</f>
        <v>0.71803240740740737</v>
      </c>
    </row>
    <row r="49" spans="1:13" x14ac:dyDescent="0.25">
      <c r="A49" t="s">
        <v>510</v>
      </c>
      <c r="B49" s="3">
        <v>45708.160138888888</v>
      </c>
      <c r="C49" t="s">
        <v>27</v>
      </c>
      <c r="D49" s="3">
        <v>45708.819513888884</v>
      </c>
      <c r="E49" t="s">
        <v>27</v>
      </c>
      <c r="F49" s="4">
        <v>83.962000000000003</v>
      </c>
      <c r="G49" s="4">
        <v>576599.99800000002</v>
      </c>
      <c r="H49" s="4">
        <v>576683.96</v>
      </c>
      <c r="I49" s="5">
        <f>4789 / 86400</f>
        <v>5.5428240740740743E-2</v>
      </c>
      <c r="J49" t="s">
        <v>99</v>
      </c>
      <c r="K49" t="s">
        <v>68</v>
      </c>
      <c r="L49" s="5">
        <f>16293 / 86400</f>
        <v>0.18857638888888889</v>
      </c>
      <c r="M49" s="5">
        <f>70101 / 86400</f>
        <v>0.81135416666666671</v>
      </c>
    </row>
    <row r="50" spans="1:13" x14ac:dyDescent="0.25">
      <c r="A50" t="s">
        <v>511</v>
      </c>
      <c r="B50" s="3">
        <v>45708.2418287037</v>
      </c>
      <c r="C50" t="s">
        <v>100</v>
      </c>
      <c r="D50" s="3">
        <v>45708.852858796294</v>
      </c>
      <c r="E50" t="s">
        <v>100</v>
      </c>
      <c r="F50" s="4">
        <v>212.38900000000001</v>
      </c>
      <c r="G50" s="4">
        <v>417528.49</v>
      </c>
      <c r="H50" s="4">
        <v>417740.87900000002</v>
      </c>
      <c r="I50" s="5">
        <f>16224 / 86400</f>
        <v>0.18777777777777777</v>
      </c>
      <c r="J50" t="s">
        <v>101</v>
      </c>
      <c r="K50" t="s">
        <v>49</v>
      </c>
      <c r="L50" s="5">
        <f>49102 / 86400</f>
        <v>0.56831018518518517</v>
      </c>
      <c r="M50" s="5">
        <f>37296 / 86400</f>
        <v>0.43166666666666664</v>
      </c>
    </row>
    <row r="51" spans="1:13" x14ac:dyDescent="0.25">
      <c r="A51" t="s">
        <v>512</v>
      </c>
      <c r="B51" s="3">
        <v>45708.442615740743</v>
      </c>
      <c r="C51" t="s">
        <v>102</v>
      </c>
      <c r="D51" s="3">
        <v>45708.78329861111</v>
      </c>
      <c r="E51" t="s">
        <v>103</v>
      </c>
      <c r="F51" s="4">
        <v>65.450999999999993</v>
      </c>
      <c r="G51" s="4">
        <v>401565.326</v>
      </c>
      <c r="H51" s="4">
        <v>401630.78700000001</v>
      </c>
      <c r="I51" s="5">
        <f>7468 / 86400</f>
        <v>8.6435185185185184E-2</v>
      </c>
      <c r="J51" t="s">
        <v>104</v>
      </c>
      <c r="K51" t="s">
        <v>65</v>
      </c>
      <c r="L51" s="5">
        <f>19557 / 86400</f>
        <v>0.22635416666666666</v>
      </c>
      <c r="M51" s="5">
        <f>66827 / 86400</f>
        <v>0.77346064814814819</v>
      </c>
    </row>
    <row r="52" spans="1:13" x14ac:dyDescent="0.25">
      <c r="A52" t="s">
        <v>513</v>
      </c>
      <c r="B52" s="3">
        <v>45708.188796296294</v>
      </c>
      <c r="C52" t="s">
        <v>27</v>
      </c>
      <c r="D52" s="3">
        <v>45708.687615740739</v>
      </c>
      <c r="E52" t="s">
        <v>27</v>
      </c>
      <c r="F52" s="4">
        <v>123.22199999999999</v>
      </c>
      <c r="G52" s="4">
        <v>383330.375</v>
      </c>
      <c r="H52" s="4">
        <v>383453.59700000001</v>
      </c>
      <c r="I52" s="5">
        <f>6719 / 86400</f>
        <v>7.7766203703703699E-2</v>
      </c>
      <c r="J52" t="s">
        <v>37</v>
      </c>
      <c r="K52" t="s">
        <v>68</v>
      </c>
      <c r="L52" s="5">
        <f>23865 / 86400</f>
        <v>0.27621527777777777</v>
      </c>
      <c r="M52" s="5">
        <f>62529 / 86400</f>
        <v>0.72371527777777778</v>
      </c>
    </row>
    <row r="53" spans="1:13" x14ac:dyDescent="0.25">
      <c r="A53" t="s">
        <v>514</v>
      </c>
      <c r="B53" s="3">
        <v>45708.298750000002</v>
      </c>
      <c r="C53" t="s">
        <v>105</v>
      </c>
      <c r="D53" s="3">
        <v>45708.874594907407</v>
      </c>
      <c r="E53" t="s">
        <v>105</v>
      </c>
      <c r="F53" s="4">
        <v>197.47200000000001</v>
      </c>
      <c r="G53" s="4">
        <v>547293.93099999998</v>
      </c>
      <c r="H53" s="4">
        <v>547491.40300000005</v>
      </c>
      <c r="I53" s="5">
        <f>13935 / 86400</f>
        <v>0.16128472222222223</v>
      </c>
      <c r="J53" t="s">
        <v>46</v>
      </c>
      <c r="K53" t="s">
        <v>49</v>
      </c>
      <c r="L53" s="5">
        <f>44757 / 86400</f>
        <v>0.51802083333333337</v>
      </c>
      <c r="M53" s="5">
        <f>41640 / 86400</f>
        <v>0.48194444444444445</v>
      </c>
    </row>
    <row r="54" spans="1:13" x14ac:dyDescent="0.25">
      <c r="A54" t="s">
        <v>515</v>
      </c>
      <c r="B54" s="3">
        <v>45708.00209490741</v>
      </c>
      <c r="C54" t="s">
        <v>106</v>
      </c>
      <c r="D54" s="3">
        <v>45708.999282407407</v>
      </c>
      <c r="E54" t="s">
        <v>107</v>
      </c>
      <c r="F54" s="4">
        <v>279.00100000000003</v>
      </c>
      <c r="G54" s="4">
        <v>105548.51</v>
      </c>
      <c r="H54" s="4">
        <v>105827.511</v>
      </c>
      <c r="I54" s="5">
        <f>21741 / 86400</f>
        <v>0.25163194444444442</v>
      </c>
      <c r="J54" t="s">
        <v>108</v>
      </c>
      <c r="K54" t="s">
        <v>34</v>
      </c>
      <c r="L54" s="5">
        <f>56456 / 86400</f>
        <v>0.65342592592592597</v>
      </c>
      <c r="M54" s="5">
        <f>29943 / 86400</f>
        <v>0.3465625</v>
      </c>
    </row>
    <row r="55" spans="1:13" x14ac:dyDescent="0.25">
      <c r="A55" t="s">
        <v>516</v>
      </c>
      <c r="B55" s="3">
        <v>45708.239050925928</v>
      </c>
      <c r="C55" t="s">
        <v>109</v>
      </c>
      <c r="D55" s="3">
        <v>45708.77039351852</v>
      </c>
      <c r="E55" t="s">
        <v>110</v>
      </c>
      <c r="F55" s="4">
        <v>190.946</v>
      </c>
      <c r="G55" s="4">
        <v>46887.633999999998</v>
      </c>
      <c r="H55" s="4">
        <v>47078.58</v>
      </c>
      <c r="I55" s="5">
        <f>13506 / 86400</f>
        <v>0.15631944444444446</v>
      </c>
      <c r="J55" t="s">
        <v>48</v>
      </c>
      <c r="K55" t="s">
        <v>34</v>
      </c>
      <c r="L55" s="5">
        <f>38389 / 86400</f>
        <v>0.4443171296296296</v>
      </c>
      <c r="M55" s="5">
        <f>48010 / 86400</f>
        <v>0.5556712962962963</v>
      </c>
    </row>
    <row r="56" spans="1:13" x14ac:dyDescent="0.25">
      <c r="A56" t="s">
        <v>517</v>
      </c>
      <c r="B56" s="3">
        <v>45708.157708333332</v>
      </c>
      <c r="C56" t="s">
        <v>95</v>
      </c>
      <c r="D56" s="3">
        <v>45708.887638888889</v>
      </c>
      <c r="E56" t="s">
        <v>95</v>
      </c>
      <c r="F56" s="4">
        <v>307.65699999999998</v>
      </c>
      <c r="G56" s="4">
        <v>80485.611999999994</v>
      </c>
      <c r="H56" s="4">
        <v>80793.269</v>
      </c>
      <c r="I56" s="5">
        <f>18309 / 86400</f>
        <v>0.21190972222222224</v>
      </c>
      <c r="J56" t="s">
        <v>57</v>
      </c>
      <c r="K56" t="s">
        <v>68</v>
      </c>
      <c r="L56" s="5">
        <f>58213 / 86400</f>
        <v>0.67376157407407411</v>
      </c>
      <c r="M56" s="5">
        <f>28186 / 86400</f>
        <v>0.32622685185185185</v>
      </c>
    </row>
    <row r="57" spans="1:13" x14ac:dyDescent="0.25">
      <c r="A57" t="s">
        <v>518</v>
      </c>
      <c r="B57" s="3">
        <v>45708.202499999999</v>
      </c>
      <c r="C57" t="s">
        <v>111</v>
      </c>
      <c r="D57" s="3">
        <v>45708.99998842593</v>
      </c>
      <c r="E57" t="s">
        <v>78</v>
      </c>
      <c r="F57" s="4">
        <v>320.84799999999996</v>
      </c>
      <c r="G57" s="4">
        <v>42311.485000000001</v>
      </c>
      <c r="H57" s="4">
        <v>42632.332999999999</v>
      </c>
      <c r="I57" s="5">
        <f>22268 / 86400</f>
        <v>0.25773148148148151</v>
      </c>
      <c r="J57" t="s">
        <v>81</v>
      </c>
      <c r="K57" t="s">
        <v>34</v>
      </c>
      <c r="L57" s="5">
        <f>65112 / 86400</f>
        <v>0.75361111111111112</v>
      </c>
      <c r="M57" s="5">
        <f>21286 / 86400</f>
        <v>0.24636574074074075</v>
      </c>
    </row>
    <row r="58" spans="1:13" x14ac:dyDescent="0.25">
      <c r="A58" t="s">
        <v>519</v>
      </c>
      <c r="B58" s="3">
        <v>45708.290706018517</v>
      </c>
      <c r="C58" t="s">
        <v>112</v>
      </c>
      <c r="D58" s="3">
        <v>45708.948078703703</v>
      </c>
      <c r="E58" t="s">
        <v>112</v>
      </c>
      <c r="F58" s="4">
        <v>202.721</v>
      </c>
      <c r="G58" s="4">
        <v>193272.772</v>
      </c>
      <c r="H58" s="4">
        <v>193475.49299999999</v>
      </c>
      <c r="I58" s="5">
        <f>14481 / 86400</f>
        <v>0.16760416666666667</v>
      </c>
      <c r="J58" t="s">
        <v>113</v>
      </c>
      <c r="K58" t="s">
        <v>49</v>
      </c>
      <c r="L58" s="5">
        <f>44655 / 86400</f>
        <v>0.51684027777777775</v>
      </c>
      <c r="M58" s="5">
        <f>41742 / 86400</f>
        <v>0.48312500000000003</v>
      </c>
    </row>
    <row r="59" spans="1:13" x14ac:dyDescent="0.25">
      <c r="A59" t="s">
        <v>520</v>
      </c>
      <c r="B59" s="3">
        <v>45708</v>
      </c>
      <c r="C59" t="s">
        <v>114</v>
      </c>
      <c r="D59" s="3">
        <v>45708.998078703706</v>
      </c>
      <c r="E59" t="s">
        <v>94</v>
      </c>
      <c r="F59" s="4">
        <v>301.7790000001192</v>
      </c>
      <c r="G59" s="4">
        <v>524639.91299999994</v>
      </c>
      <c r="H59" s="4">
        <v>524941.69200000004</v>
      </c>
      <c r="I59" s="5">
        <f>23841 / 86400</f>
        <v>0.2759375</v>
      </c>
      <c r="J59" t="s">
        <v>19</v>
      </c>
      <c r="K59" t="s">
        <v>20</v>
      </c>
      <c r="L59" s="5">
        <f>65450 / 86400</f>
        <v>0.75752314814814814</v>
      </c>
      <c r="M59" s="5">
        <f>20946 / 86400</f>
        <v>0.24243055555555557</v>
      </c>
    </row>
    <row r="60" spans="1:13" x14ac:dyDescent="0.25">
      <c r="A60" t="s">
        <v>521</v>
      </c>
      <c r="B60" s="3">
        <v>45708.265717592592</v>
      </c>
      <c r="C60" t="s">
        <v>115</v>
      </c>
      <c r="D60" s="3">
        <v>45708.846041666664</v>
      </c>
      <c r="E60" t="s">
        <v>115</v>
      </c>
      <c r="F60" s="4">
        <v>185.81</v>
      </c>
      <c r="G60" s="4">
        <v>24197.07</v>
      </c>
      <c r="H60" s="4">
        <v>24382.880000000001</v>
      </c>
      <c r="I60" s="5">
        <f>15656 / 86400</f>
        <v>0.1812037037037037</v>
      </c>
      <c r="J60" t="s">
        <v>116</v>
      </c>
      <c r="K60" t="s">
        <v>58</v>
      </c>
      <c r="L60" s="5">
        <f>46262 / 86400</f>
        <v>0.53543981481481484</v>
      </c>
      <c r="M60" s="5">
        <f>40135 / 86400</f>
        <v>0.46452546296296299</v>
      </c>
    </row>
    <row r="61" spans="1:13" x14ac:dyDescent="0.25">
      <c r="A61" t="s">
        <v>522</v>
      </c>
      <c r="B61" s="3">
        <v>45708.222627314812</v>
      </c>
      <c r="C61" t="s">
        <v>39</v>
      </c>
      <c r="D61" s="3">
        <v>45708.706238425926</v>
      </c>
      <c r="E61" t="s">
        <v>39</v>
      </c>
      <c r="F61" s="4">
        <v>172.95099999999999</v>
      </c>
      <c r="G61" s="4">
        <v>65188.881000000001</v>
      </c>
      <c r="H61" s="4">
        <v>65361.832000000002</v>
      </c>
      <c r="I61" s="5">
        <f>11553 / 86400</f>
        <v>0.13371527777777778</v>
      </c>
      <c r="J61" t="s">
        <v>101</v>
      </c>
      <c r="K61" t="s">
        <v>34</v>
      </c>
      <c r="L61" s="5">
        <f>35088 / 86400</f>
        <v>0.40611111111111109</v>
      </c>
      <c r="M61" s="5">
        <f>51306 / 86400</f>
        <v>0.59381944444444446</v>
      </c>
    </row>
    <row r="62" spans="1:13" x14ac:dyDescent="0.25">
      <c r="A62" t="s">
        <v>523</v>
      </c>
      <c r="B62" s="3">
        <v>45708.263969907406</v>
      </c>
      <c r="C62" t="s">
        <v>83</v>
      </c>
      <c r="D62" s="3">
        <v>45708.764930555553</v>
      </c>
      <c r="E62" t="s">
        <v>83</v>
      </c>
      <c r="F62" s="4">
        <v>0</v>
      </c>
      <c r="G62" s="4">
        <v>5847.3609999999999</v>
      </c>
      <c r="H62" s="4">
        <v>5847.3609999999999</v>
      </c>
      <c r="I62" s="5">
        <f>37214 / 86400</f>
        <v>0.43071759259259257</v>
      </c>
      <c r="J62" t="s">
        <v>22</v>
      </c>
      <c r="K62" t="s">
        <v>22</v>
      </c>
      <c r="L62" s="5">
        <f>37332 / 86400</f>
        <v>0.43208333333333332</v>
      </c>
      <c r="M62" s="5">
        <f>49062 / 86400</f>
        <v>0.56784722222222217</v>
      </c>
    </row>
    <row r="63" spans="1:13" x14ac:dyDescent="0.25">
      <c r="A63" t="s">
        <v>524</v>
      </c>
      <c r="B63" s="3">
        <v>45708.186342592591</v>
      </c>
      <c r="C63" t="s">
        <v>27</v>
      </c>
      <c r="D63" s="3">
        <v>45708.99998842593</v>
      </c>
      <c r="E63" t="s">
        <v>98</v>
      </c>
      <c r="F63" s="4">
        <v>243.42100000000002</v>
      </c>
      <c r="G63" s="4">
        <v>409277.772</v>
      </c>
      <c r="H63" s="4">
        <v>409521.19300000003</v>
      </c>
      <c r="I63" s="5">
        <f>17131 / 86400</f>
        <v>0.19827546296296297</v>
      </c>
      <c r="J63" t="s">
        <v>61</v>
      </c>
      <c r="K63" t="s">
        <v>34</v>
      </c>
      <c r="L63" s="5">
        <f>48670 / 86400</f>
        <v>0.56331018518518516</v>
      </c>
      <c r="M63" s="5">
        <f>37722 / 86400</f>
        <v>0.43659722222222225</v>
      </c>
    </row>
    <row r="64" spans="1:13" x14ac:dyDescent="0.25">
      <c r="A64" t="s">
        <v>525</v>
      </c>
      <c r="B64" s="3">
        <v>45708.287766203706</v>
      </c>
      <c r="C64" t="s">
        <v>85</v>
      </c>
      <c r="D64" s="3">
        <v>45708.977071759262</v>
      </c>
      <c r="E64" t="s">
        <v>117</v>
      </c>
      <c r="F64" s="4">
        <v>192.59399999999999</v>
      </c>
      <c r="G64" s="4">
        <v>551916.24699999997</v>
      </c>
      <c r="H64" s="4">
        <v>552108.84100000001</v>
      </c>
      <c r="I64" s="5">
        <f>14437 / 86400</f>
        <v>0.1670949074074074</v>
      </c>
      <c r="J64" t="s">
        <v>118</v>
      </c>
      <c r="K64" t="s">
        <v>49</v>
      </c>
      <c r="L64" s="5">
        <f>42718 / 86400</f>
        <v>0.49442129629629628</v>
      </c>
      <c r="M64" s="5">
        <f>43679 / 86400</f>
        <v>0.5055439814814815</v>
      </c>
    </row>
    <row r="65" spans="1:13" x14ac:dyDescent="0.25">
      <c r="A65" t="s">
        <v>526</v>
      </c>
      <c r="B65" s="3">
        <v>45708</v>
      </c>
      <c r="C65" t="s">
        <v>119</v>
      </c>
      <c r="D65" s="3">
        <v>45708.905185185184</v>
      </c>
      <c r="E65" t="s">
        <v>27</v>
      </c>
      <c r="F65" s="4">
        <v>696.65999999999258</v>
      </c>
      <c r="G65" s="4">
        <v>60589.130000000005</v>
      </c>
      <c r="H65" s="4">
        <v>61285.79</v>
      </c>
      <c r="I65" s="5">
        <f>8933 / 86400</f>
        <v>0.10339120370370371</v>
      </c>
      <c r="J65" t="s">
        <v>120</v>
      </c>
      <c r="K65" t="s">
        <v>74</v>
      </c>
      <c r="L65" s="5">
        <f>30161 / 86400</f>
        <v>0.34908564814814813</v>
      </c>
      <c r="M65" s="5">
        <f>56233 / 86400</f>
        <v>0.65084490740740741</v>
      </c>
    </row>
    <row r="66" spans="1:13" x14ac:dyDescent="0.25">
      <c r="A66" t="s">
        <v>527</v>
      </c>
      <c r="B66" s="3">
        <v>45708</v>
      </c>
      <c r="C66" t="s">
        <v>78</v>
      </c>
      <c r="D66" s="3">
        <v>45708.99998842593</v>
      </c>
      <c r="E66" t="s">
        <v>78</v>
      </c>
      <c r="F66" s="4">
        <v>329.71699999999998</v>
      </c>
      <c r="G66" s="4">
        <v>61172.803</v>
      </c>
      <c r="H66" s="4">
        <v>61502.52</v>
      </c>
      <c r="I66" s="5">
        <f>20177 / 86400</f>
        <v>0.23353009259259258</v>
      </c>
      <c r="J66" t="s">
        <v>99</v>
      </c>
      <c r="K66" t="s">
        <v>68</v>
      </c>
      <c r="L66" s="5">
        <f>63643 / 86400</f>
        <v>0.73660879629629628</v>
      </c>
      <c r="M66" s="5">
        <f>22747 / 86400</f>
        <v>0.26327546296296295</v>
      </c>
    </row>
    <row r="67" spans="1:13" x14ac:dyDescent="0.25">
      <c r="A67" t="s">
        <v>528</v>
      </c>
      <c r="B67" s="3">
        <v>45708.16024305555</v>
      </c>
      <c r="C67" t="s">
        <v>121</v>
      </c>
      <c r="D67" s="3">
        <v>45708.9925462963</v>
      </c>
      <c r="E67" t="s">
        <v>121</v>
      </c>
      <c r="F67" s="4">
        <v>208.714</v>
      </c>
      <c r="G67" s="4">
        <v>65242.684000000001</v>
      </c>
      <c r="H67" s="4">
        <v>65451.398000000001</v>
      </c>
      <c r="I67" s="5">
        <f>11915 / 86400</f>
        <v>0.13790509259259259</v>
      </c>
      <c r="J67" t="s">
        <v>122</v>
      </c>
      <c r="K67" t="s">
        <v>68</v>
      </c>
      <c r="L67" s="5">
        <f>40089 / 86400</f>
        <v>0.46399305555555553</v>
      </c>
      <c r="M67" s="5">
        <f>46305 / 86400</f>
        <v>0.53593749999999996</v>
      </c>
    </row>
    <row r="68" spans="1:13" x14ac:dyDescent="0.25">
      <c r="A68" t="s">
        <v>529</v>
      </c>
      <c r="B68" s="3">
        <v>45708.038437499999</v>
      </c>
      <c r="C68" t="s">
        <v>121</v>
      </c>
      <c r="D68" s="3">
        <v>45708.869525462964</v>
      </c>
      <c r="E68" t="s">
        <v>121</v>
      </c>
      <c r="F68" s="4">
        <v>209.24299999999999</v>
      </c>
      <c r="G68" s="4">
        <v>293111.995</v>
      </c>
      <c r="H68" s="4">
        <v>293321.23800000001</v>
      </c>
      <c r="I68" s="5">
        <f>19296 / 86400</f>
        <v>0.22333333333333333</v>
      </c>
      <c r="J68" t="s">
        <v>123</v>
      </c>
      <c r="K68" t="s">
        <v>44</v>
      </c>
      <c r="L68" s="5">
        <f>50147 / 86400</f>
        <v>0.58040509259259254</v>
      </c>
      <c r="M68" s="5">
        <f>36252 / 86400</f>
        <v>0.41958333333333331</v>
      </c>
    </row>
    <row r="69" spans="1:13" x14ac:dyDescent="0.25">
      <c r="A69" s="6" t="s">
        <v>124</v>
      </c>
      <c r="B69" s="6" t="s">
        <v>125</v>
      </c>
      <c r="C69" s="6" t="s">
        <v>125</v>
      </c>
      <c r="D69" s="6" t="s">
        <v>125</v>
      </c>
      <c r="E69" s="6" t="s">
        <v>125</v>
      </c>
      <c r="F69" s="7">
        <v>10978.339682826214</v>
      </c>
      <c r="G69" s="6" t="s">
        <v>125</v>
      </c>
      <c r="H69" s="6" t="s">
        <v>125</v>
      </c>
      <c r="I69" s="8">
        <f>820974 / 86400</f>
        <v>9.5020138888888894</v>
      </c>
      <c r="J69" s="6" t="s">
        <v>125</v>
      </c>
      <c r="K69" s="6" t="s">
        <v>125</v>
      </c>
      <c r="L69" s="8">
        <f>2322143 / 86400</f>
        <v>26.876655092592593</v>
      </c>
      <c r="M69" s="8">
        <f>2947954 / 86400</f>
        <v>34.119837962962961</v>
      </c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3" s="9" customFormat="1" x14ac:dyDescent="0.25">
      <c r="A71" s="14" t="s">
        <v>126</v>
      </c>
      <c r="B71" s="14"/>
      <c r="C71" s="14"/>
      <c r="D71" s="14"/>
      <c r="E71" s="14"/>
      <c r="F71" s="14"/>
      <c r="G71" s="14"/>
      <c r="H71" s="14"/>
      <c r="I71" s="14"/>
      <c r="J71" s="14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s="10" customFormat="1" ht="20.100000000000001" customHeight="1" x14ac:dyDescent="0.35">
      <c r="A74" s="15" t="s">
        <v>469</v>
      </c>
      <c r="B74" s="15"/>
      <c r="C74" s="15"/>
      <c r="D74" s="15"/>
      <c r="E74" s="15"/>
      <c r="F74" s="15"/>
      <c r="G74" s="15"/>
      <c r="H74" s="15"/>
      <c r="I74" s="15"/>
      <c r="J74" s="15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ht="30" x14ac:dyDescent="0.25">
      <c r="A76" s="2" t="s">
        <v>6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11</v>
      </c>
      <c r="G76" s="2" t="s">
        <v>12</v>
      </c>
      <c r="H76" s="2" t="s">
        <v>13</v>
      </c>
      <c r="I76" s="2" t="s">
        <v>14</v>
      </c>
      <c r="J76" s="2" t="s">
        <v>15</v>
      </c>
      <c r="K76" s="2" t="s">
        <v>16</v>
      </c>
      <c r="L76" s="2" t="s">
        <v>17</v>
      </c>
    </row>
    <row r="77" spans="1:13" x14ac:dyDescent="0.25">
      <c r="A77" s="3">
        <v>45708.254421296297</v>
      </c>
      <c r="B77" t="s">
        <v>18</v>
      </c>
      <c r="C77" s="3">
        <v>45708.344259259262</v>
      </c>
      <c r="D77" t="s">
        <v>127</v>
      </c>
      <c r="E77" s="4">
        <v>41.279000000000003</v>
      </c>
      <c r="F77" s="4">
        <v>515545.34100000001</v>
      </c>
      <c r="G77" s="4">
        <v>515586.62</v>
      </c>
      <c r="H77" s="5">
        <f>2119 / 86400</f>
        <v>2.4525462962962964E-2</v>
      </c>
      <c r="I77" t="s">
        <v>33</v>
      </c>
      <c r="J77" t="s">
        <v>68</v>
      </c>
      <c r="K77" s="5">
        <f>7761 / 86400</f>
        <v>8.9826388888888886E-2</v>
      </c>
      <c r="L77" s="5">
        <f>23141 / 86400</f>
        <v>0.26783564814814814</v>
      </c>
    </row>
    <row r="78" spans="1:13" x14ac:dyDescent="0.25">
      <c r="A78" s="3">
        <v>45708.357673611114</v>
      </c>
      <c r="B78" t="s">
        <v>127</v>
      </c>
      <c r="C78" s="3">
        <v>45708.3596412037</v>
      </c>
      <c r="D78" t="s">
        <v>127</v>
      </c>
      <c r="E78" s="4">
        <v>0</v>
      </c>
      <c r="F78" s="4">
        <v>515586.62</v>
      </c>
      <c r="G78" s="4">
        <v>515586.62</v>
      </c>
      <c r="H78" s="5">
        <f>159 / 86400</f>
        <v>1.8402777777777777E-3</v>
      </c>
      <c r="I78" t="s">
        <v>22</v>
      </c>
      <c r="J78" t="s">
        <v>22</v>
      </c>
      <c r="K78" s="5">
        <f>170 / 86400</f>
        <v>1.9675925925925924E-3</v>
      </c>
      <c r="L78" s="5">
        <f>111 / 86400</f>
        <v>1.2847222222222223E-3</v>
      </c>
    </row>
    <row r="79" spans="1:13" x14ac:dyDescent="0.25">
      <c r="A79" s="3">
        <v>45708.360925925925</v>
      </c>
      <c r="B79" t="s">
        <v>127</v>
      </c>
      <c r="C79" s="3">
        <v>45708.486064814817</v>
      </c>
      <c r="D79" t="s">
        <v>128</v>
      </c>
      <c r="E79" s="4">
        <v>51.118000000000002</v>
      </c>
      <c r="F79" s="4">
        <v>515586.62</v>
      </c>
      <c r="G79" s="4">
        <v>515637.73800000001</v>
      </c>
      <c r="H79" s="5">
        <f>3162 / 86400</f>
        <v>3.6597222222222225E-2</v>
      </c>
      <c r="I79" t="s">
        <v>101</v>
      </c>
      <c r="J79" t="s">
        <v>20</v>
      </c>
      <c r="K79" s="5">
        <f>10812 / 86400</f>
        <v>0.12513888888888888</v>
      </c>
      <c r="L79" s="5">
        <f>1343 / 86400</f>
        <v>1.5543981481481482E-2</v>
      </c>
    </row>
    <row r="80" spans="1:13" x14ac:dyDescent="0.25">
      <c r="A80" s="3">
        <v>45708.501608796301</v>
      </c>
      <c r="B80" t="s">
        <v>128</v>
      </c>
      <c r="C80" s="3">
        <v>45708.568067129629</v>
      </c>
      <c r="D80" t="s">
        <v>129</v>
      </c>
      <c r="E80" s="4">
        <v>20.291</v>
      </c>
      <c r="F80" s="4">
        <v>515637.73800000001</v>
      </c>
      <c r="G80" s="4">
        <v>515658.02899999998</v>
      </c>
      <c r="H80" s="5">
        <f>2060 / 86400</f>
        <v>2.3842592592592592E-2</v>
      </c>
      <c r="I80" t="s">
        <v>130</v>
      </c>
      <c r="J80" t="s">
        <v>29</v>
      </c>
      <c r="K80" s="5">
        <f>5741 / 86400</f>
        <v>6.6446759259259261E-2</v>
      </c>
      <c r="L80" s="5">
        <f>7982 / 86400</f>
        <v>9.2384259259259263E-2</v>
      </c>
    </row>
    <row r="81" spans="1:12" x14ac:dyDescent="0.25">
      <c r="A81" s="3">
        <v>45708.660451388889</v>
      </c>
      <c r="B81" t="s">
        <v>129</v>
      </c>
      <c r="C81" s="3">
        <v>45708.734236111108</v>
      </c>
      <c r="D81" t="s">
        <v>83</v>
      </c>
      <c r="E81" s="4">
        <v>36.066000000000003</v>
      </c>
      <c r="F81" s="4">
        <v>515658.02899999998</v>
      </c>
      <c r="G81" s="4">
        <v>515694.09499999997</v>
      </c>
      <c r="H81" s="5">
        <f>1553 / 86400</f>
        <v>1.7974537037037035E-2</v>
      </c>
      <c r="I81" t="s">
        <v>101</v>
      </c>
      <c r="J81" t="s">
        <v>131</v>
      </c>
      <c r="K81" s="5">
        <f>6375 / 86400</f>
        <v>7.3784722222222224E-2</v>
      </c>
      <c r="L81" s="5">
        <f>265 / 86400</f>
        <v>3.0671296296296297E-3</v>
      </c>
    </row>
    <row r="82" spans="1:12" x14ac:dyDescent="0.25">
      <c r="A82" s="3">
        <v>45708.737303240741</v>
      </c>
      <c r="B82" t="s">
        <v>83</v>
      </c>
      <c r="C82" s="3">
        <v>45708.891111111108</v>
      </c>
      <c r="D82" t="s">
        <v>132</v>
      </c>
      <c r="E82" s="4">
        <v>64.584999999999994</v>
      </c>
      <c r="F82" s="4">
        <v>515694.09499999997</v>
      </c>
      <c r="G82" s="4">
        <v>515758.68</v>
      </c>
      <c r="H82" s="5">
        <f>3819 / 86400</f>
        <v>4.4201388888888887E-2</v>
      </c>
      <c r="I82" t="s">
        <v>19</v>
      </c>
      <c r="J82" t="s">
        <v>20</v>
      </c>
      <c r="K82" s="5">
        <f>13289 / 86400</f>
        <v>0.15380787037037036</v>
      </c>
      <c r="L82" s="5">
        <f>439 / 86400</f>
        <v>5.0810185185185186E-3</v>
      </c>
    </row>
    <row r="83" spans="1:12" x14ac:dyDescent="0.25">
      <c r="A83" s="3">
        <v>45708.896192129629</v>
      </c>
      <c r="B83" t="s">
        <v>133</v>
      </c>
      <c r="C83" s="3">
        <v>45708.90347222222</v>
      </c>
      <c r="D83" t="s">
        <v>18</v>
      </c>
      <c r="E83" s="4">
        <v>1.6970000000000001</v>
      </c>
      <c r="F83" s="4">
        <v>515758.68</v>
      </c>
      <c r="G83" s="4">
        <v>515760.37699999998</v>
      </c>
      <c r="H83" s="5">
        <f>179 / 86400</f>
        <v>2.0717592592592593E-3</v>
      </c>
      <c r="I83" t="s">
        <v>134</v>
      </c>
      <c r="J83" t="s">
        <v>97</v>
      </c>
      <c r="K83" s="5">
        <f>629 / 86400</f>
        <v>7.2800925925925923E-3</v>
      </c>
      <c r="L83" s="5">
        <f>8339 / 86400</f>
        <v>9.6516203703703701E-2</v>
      </c>
    </row>
    <row r="84" spans="1:1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2" s="10" customFormat="1" ht="20.100000000000001" customHeight="1" x14ac:dyDescent="0.35">
      <c r="A86" s="15" t="s">
        <v>470</v>
      </c>
      <c r="B86" s="15"/>
      <c r="C86" s="15"/>
      <c r="D86" s="15"/>
      <c r="E86" s="15"/>
      <c r="F86" s="15"/>
      <c r="G86" s="15"/>
      <c r="H86" s="15"/>
      <c r="I86" s="15"/>
      <c r="J86" s="15"/>
    </row>
    <row r="87" spans="1:1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2" ht="30" x14ac:dyDescent="0.25">
      <c r="A88" s="2" t="s">
        <v>6</v>
      </c>
      <c r="B88" s="2" t="s">
        <v>7</v>
      </c>
      <c r="C88" s="2" t="s">
        <v>8</v>
      </c>
      <c r="D88" s="2" t="s">
        <v>9</v>
      </c>
      <c r="E88" s="2" t="s">
        <v>10</v>
      </c>
      <c r="F88" s="2" t="s">
        <v>11</v>
      </c>
      <c r="G88" s="2" t="s">
        <v>12</v>
      </c>
      <c r="H88" s="2" t="s">
        <v>13</v>
      </c>
      <c r="I88" s="2" t="s">
        <v>14</v>
      </c>
      <c r="J88" s="2" t="s">
        <v>15</v>
      </c>
      <c r="K88" s="2" t="s">
        <v>16</v>
      </c>
      <c r="L88" s="2" t="s">
        <v>17</v>
      </c>
    </row>
    <row r="89" spans="1:12" x14ac:dyDescent="0.25">
      <c r="A89" s="3">
        <v>45708.098449074074</v>
      </c>
      <c r="B89" t="s">
        <v>21</v>
      </c>
      <c r="C89" s="3">
        <v>45708.291377314818</v>
      </c>
      <c r="D89" t="s">
        <v>21</v>
      </c>
      <c r="E89" s="4">
        <v>0</v>
      </c>
      <c r="F89" s="4">
        <v>20846.210999999999</v>
      </c>
      <c r="G89" s="4">
        <v>20846.210999999999</v>
      </c>
      <c r="H89" s="5">
        <f>16650 / 86400</f>
        <v>0.19270833333333334</v>
      </c>
      <c r="I89" t="s">
        <v>22</v>
      </c>
      <c r="J89" t="s">
        <v>22</v>
      </c>
      <c r="K89" s="5">
        <f>16669 / 86400</f>
        <v>0.19292824074074075</v>
      </c>
      <c r="L89" s="5">
        <f>8952 / 86400</f>
        <v>0.10361111111111111</v>
      </c>
    </row>
    <row r="90" spans="1:12" x14ac:dyDescent="0.25">
      <c r="A90" s="3">
        <v>45708.296539351853</v>
      </c>
      <c r="B90" t="s">
        <v>21</v>
      </c>
      <c r="C90" s="3">
        <v>45708.296967592592</v>
      </c>
      <c r="D90" t="s">
        <v>21</v>
      </c>
      <c r="E90" s="4">
        <v>0</v>
      </c>
      <c r="F90" s="4">
        <v>20846.210999999999</v>
      </c>
      <c r="G90" s="4">
        <v>20846.210999999999</v>
      </c>
      <c r="H90" s="5">
        <f>19 / 86400</f>
        <v>2.199074074074074E-4</v>
      </c>
      <c r="I90" t="s">
        <v>22</v>
      </c>
      <c r="J90" t="s">
        <v>22</v>
      </c>
      <c r="K90" s="5">
        <f>36 / 86400</f>
        <v>4.1666666666666669E-4</v>
      </c>
      <c r="L90" s="5">
        <f>1345 / 86400</f>
        <v>1.556712962962963E-2</v>
      </c>
    </row>
    <row r="91" spans="1:12" x14ac:dyDescent="0.25">
      <c r="A91" s="3">
        <v>45708.312534722223</v>
      </c>
      <c r="B91" t="s">
        <v>21</v>
      </c>
      <c r="C91" s="3">
        <v>45708.316412037035</v>
      </c>
      <c r="D91" t="s">
        <v>21</v>
      </c>
      <c r="E91" s="4">
        <v>0</v>
      </c>
      <c r="F91" s="4">
        <v>20846.210999999999</v>
      </c>
      <c r="G91" s="4">
        <v>20846.210999999999</v>
      </c>
      <c r="H91" s="5">
        <f>319 / 86400</f>
        <v>3.6921296296296298E-3</v>
      </c>
      <c r="I91" t="s">
        <v>22</v>
      </c>
      <c r="J91" t="s">
        <v>22</v>
      </c>
      <c r="K91" s="5">
        <f>334 / 86400</f>
        <v>3.8657407407407408E-3</v>
      </c>
      <c r="L91" s="5">
        <f>437 / 86400</f>
        <v>5.0578703703703706E-3</v>
      </c>
    </row>
    <row r="92" spans="1:12" x14ac:dyDescent="0.25">
      <c r="A92" s="3">
        <v>45708.321469907409</v>
      </c>
      <c r="B92" t="s">
        <v>21</v>
      </c>
      <c r="C92" s="3">
        <v>45708.323761574073</v>
      </c>
      <c r="D92" t="s">
        <v>21</v>
      </c>
      <c r="E92" s="4">
        <v>0</v>
      </c>
      <c r="F92" s="4">
        <v>20846.210999999999</v>
      </c>
      <c r="G92" s="4">
        <v>20846.210999999999</v>
      </c>
      <c r="H92" s="5">
        <f>179 / 86400</f>
        <v>2.0717592592592593E-3</v>
      </c>
      <c r="I92" t="s">
        <v>22</v>
      </c>
      <c r="J92" t="s">
        <v>22</v>
      </c>
      <c r="K92" s="5">
        <f>197 / 86400</f>
        <v>2.2800925925925927E-3</v>
      </c>
      <c r="L92" s="5">
        <f>1921 / 86400</f>
        <v>2.2233796296296297E-2</v>
      </c>
    </row>
    <row r="93" spans="1:12" x14ac:dyDescent="0.25">
      <c r="A93" s="3">
        <v>45708.345995370371</v>
      </c>
      <c r="B93" t="s">
        <v>21</v>
      </c>
      <c r="C93" s="3">
        <v>45708.350173611107</v>
      </c>
      <c r="D93" t="s">
        <v>21</v>
      </c>
      <c r="E93" s="4">
        <v>0</v>
      </c>
      <c r="F93" s="4">
        <v>20846.210999999999</v>
      </c>
      <c r="G93" s="4">
        <v>20846.210999999999</v>
      </c>
      <c r="H93" s="5">
        <f>339 / 86400</f>
        <v>3.9236111111111112E-3</v>
      </c>
      <c r="I93" t="s">
        <v>22</v>
      </c>
      <c r="J93" t="s">
        <v>22</v>
      </c>
      <c r="K93" s="5">
        <f>360 / 86400</f>
        <v>4.1666666666666666E-3</v>
      </c>
      <c r="L93" s="5">
        <f>305 / 86400</f>
        <v>3.5300925925925925E-3</v>
      </c>
    </row>
    <row r="94" spans="1:12" x14ac:dyDescent="0.25">
      <c r="A94" s="3">
        <v>45708.353703703702</v>
      </c>
      <c r="B94" t="s">
        <v>21</v>
      </c>
      <c r="C94" s="3">
        <v>45708.353865740741</v>
      </c>
      <c r="D94" t="s">
        <v>21</v>
      </c>
      <c r="E94" s="4">
        <v>0</v>
      </c>
      <c r="F94" s="4">
        <v>20846.210999999999</v>
      </c>
      <c r="G94" s="4">
        <v>20846.210999999999</v>
      </c>
      <c r="H94" s="5">
        <f>0 / 86400</f>
        <v>0</v>
      </c>
      <c r="I94" t="s">
        <v>22</v>
      </c>
      <c r="J94" t="s">
        <v>22</v>
      </c>
      <c r="K94" s="5">
        <f>13 / 86400</f>
        <v>1.5046296296296297E-4</v>
      </c>
      <c r="L94" s="5">
        <f>55825 / 86400</f>
        <v>0.64612268518518523</v>
      </c>
    </row>
    <row r="95" spans="1:1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2" s="10" customFormat="1" ht="20.100000000000001" customHeight="1" x14ac:dyDescent="0.35">
      <c r="A97" s="15" t="s">
        <v>471</v>
      </c>
      <c r="B97" s="15"/>
      <c r="C97" s="15"/>
      <c r="D97" s="15"/>
      <c r="E97" s="15"/>
      <c r="F97" s="15"/>
      <c r="G97" s="15"/>
      <c r="H97" s="15"/>
      <c r="I97" s="15"/>
      <c r="J97" s="15"/>
    </row>
    <row r="98" spans="1:1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2" ht="30" x14ac:dyDescent="0.25">
      <c r="A99" s="2" t="s">
        <v>6</v>
      </c>
      <c r="B99" s="2" t="s">
        <v>7</v>
      </c>
      <c r="C99" s="2" t="s">
        <v>8</v>
      </c>
      <c r="D99" s="2" t="s">
        <v>9</v>
      </c>
      <c r="E99" s="2" t="s">
        <v>10</v>
      </c>
      <c r="F99" s="2" t="s">
        <v>11</v>
      </c>
      <c r="G99" s="2" t="s">
        <v>12</v>
      </c>
      <c r="H99" s="2" t="s">
        <v>13</v>
      </c>
      <c r="I99" s="2" t="s">
        <v>14</v>
      </c>
      <c r="J99" s="2" t="s">
        <v>15</v>
      </c>
      <c r="K99" s="2" t="s">
        <v>16</v>
      </c>
      <c r="L99" s="2" t="s">
        <v>17</v>
      </c>
    </row>
    <row r="100" spans="1:12" x14ac:dyDescent="0.25">
      <c r="A100" s="3">
        <v>45708.273981481485</v>
      </c>
      <c r="B100" t="s">
        <v>23</v>
      </c>
      <c r="C100" s="3">
        <v>45708.275000000001</v>
      </c>
      <c r="D100" t="s">
        <v>24</v>
      </c>
      <c r="E100" s="4">
        <v>5.6000000000000001E-2</v>
      </c>
      <c r="F100" s="4">
        <v>329759.74699999997</v>
      </c>
      <c r="G100" s="4">
        <v>329759.80300000001</v>
      </c>
      <c r="H100" s="5">
        <f>40 / 86400</f>
        <v>4.6296296296296298E-4</v>
      </c>
      <c r="I100" t="s">
        <v>135</v>
      </c>
      <c r="J100" t="s">
        <v>136</v>
      </c>
      <c r="K100" s="5">
        <f>88 / 86400</f>
        <v>1.0185185185185184E-3</v>
      </c>
      <c r="L100" s="5">
        <f>25040 / 86400</f>
        <v>0.2898148148148148</v>
      </c>
    </row>
    <row r="101" spans="1:12" x14ac:dyDescent="0.25">
      <c r="A101" s="3">
        <v>45708.290833333333</v>
      </c>
      <c r="B101" t="s">
        <v>85</v>
      </c>
      <c r="C101" s="3">
        <v>45708.291215277779</v>
      </c>
      <c r="D101" t="s">
        <v>85</v>
      </c>
      <c r="E101" s="4">
        <v>5.2999999999999999E-2</v>
      </c>
      <c r="F101" s="4">
        <v>329759.80300000001</v>
      </c>
      <c r="G101" s="4">
        <v>329759.85600000003</v>
      </c>
      <c r="H101" s="5">
        <f>0 / 86400</f>
        <v>0</v>
      </c>
      <c r="I101" t="s">
        <v>58</v>
      </c>
      <c r="J101" t="s">
        <v>32</v>
      </c>
      <c r="K101" s="5">
        <f>33 / 86400</f>
        <v>3.8194444444444446E-4</v>
      </c>
      <c r="L101" s="5">
        <f>44985 / 86400</f>
        <v>0.52065972222222223</v>
      </c>
    </row>
    <row r="102" spans="1:12" x14ac:dyDescent="0.25">
      <c r="A102" s="3">
        <v>45708.811874999999</v>
      </c>
      <c r="B102" t="s">
        <v>85</v>
      </c>
      <c r="C102" s="3">
        <v>45708.815324074079</v>
      </c>
      <c r="D102" t="s">
        <v>24</v>
      </c>
      <c r="E102" s="4">
        <v>0.71699999999999997</v>
      </c>
      <c r="F102" s="4">
        <v>329759.85600000003</v>
      </c>
      <c r="G102" s="4">
        <v>329760.57299999997</v>
      </c>
      <c r="H102" s="5">
        <f>79 / 86400</f>
        <v>9.1435185185185185E-4</v>
      </c>
      <c r="I102" t="s">
        <v>25</v>
      </c>
      <c r="J102" t="s">
        <v>137</v>
      </c>
      <c r="K102" s="5">
        <f>298 / 86400</f>
        <v>3.449074074074074E-3</v>
      </c>
      <c r="L102" s="5">
        <f>15955 / 86400</f>
        <v>0.18466435185185184</v>
      </c>
    </row>
    <row r="103" spans="1:1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s="10" customFormat="1" ht="20.100000000000001" customHeight="1" x14ac:dyDescent="0.35">
      <c r="A105" s="15" t="s">
        <v>472</v>
      </c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2" ht="30" x14ac:dyDescent="0.25">
      <c r="A107" s="2" t="s">
        <v>6</v>
      </c>
      <c r="B107" s="2" t="s">
        <v>7</v>
      </c>
      <c r="C107" s="2" t="s">
        <v>8</v>
      </c>
      <c r="D107" s="2" t="s">
        <v>9</v>
      </c>
      <c r="E107" s="2" t="s">
        <v>10</v>
      </c>
      <c r="F107" s="2" t="s">
        <v>11</v>
      </c>
      <c r="G107" s="2" t="s">
        <v>12</v>
      </c>
      <c r="H107" s="2" t="s">
        <v>13</v>
      </c>
      <c r="I107" s="2" t="s">
        <v>14</v>
      </c>
      <c r="J107" s="2" t="s">
        <v>15</v>
      </c>
      <c r="K107" s="2" t="s">
        <v>16</v>
      </c>
      <c r="L107" s="2" t="s">
        <v>17</v>
      </c>
    </row>
    <row r="108" spans="1:12" x14ac:dyDescent="0.25">
      <c r="A108" s="3">
        <v>45708.357777777783</v>
      </c>
      <c r="B108" t="s">
        <v>27</v>
      </c>
      <c r="C108" s="3">
        <v>45708.360115740739</v>
      </c>
      <c r="D108" t="s">
        <v>27</v>
      </c>
      <c r="E108" s="4">
        <v>3.0000000000000001E-3</v>
      </c>
      <c r="F108" s="4">
        <v>21589.392</v>
      </c>
      <c r="G108" s="4">
        <v>21589.395</v>
      </c>
      <c r="H108" s="5">
        <f>199 / 86400</f>
        <v>2.3032407407407407E-3</v>
      </c>
      <c r="I108" t="s">
        <v>22</v>
      </c>
      <c r="J108" t="s">
        <v>22</v>
      </c>
      <c r="K108" s="5">
        <f>202 / 86400</f>
        <v>2.3379629629629631E-3</v>
      </c>
      <c r="L108" s="5">
        <f>30954 / 86400</f>
        <v>0.35826388888888888</v>
      </c>
    </row>
    <row r="109" spans="1:12" x14ac:dyDescent="0.25">
      <c r="A109" s="3">
        <v>45708.360601851848</v>
      </c>
      <c r="B109" t="s">
        <v>27</v>
      </c>
      <c r="C109" s="3">
        <v>45708.371585648143</v>
      </c>
      <c r="D109" t="s">
        <v>138</v>
      </c>
      <c r="E109" s="4">
        <v>1.39</v>
      </c>
      <c r="F109" s="4">
        <v>21589.395</v>
      </c>
      <c r="G109" s="4">
        <v>21590.785</v>
      </c>
      <c r="H109" s="5">
        <f>499 / 86400</f>
        <v>5.7754629629629631E-3</v>
      </c>
      <c r="I109" t="s">
        <v>139</v>
      </c>
      <c r="J109" t="s">
        <v>55</v>
      </c>
      <c r="K109" s="5">
        <f>948 / 86400</f>
        <v>1.0972222222222222E-2</v>
      </c>
      <c r="L109" s="5">
        <f>2822 / 86400</f>
        <v>3.2662037037037038E-2</v>
      </c>
    </row>
    <row r="110" spans="1:12" x14ac:dyDescent="0.25">
      <c r="A110" s="3">
        <v>45708.40424768519</v>
      </c>
      <c r="B110" t="s">
        <v>138</v>
      </c>
      <c r="C110" s="3">
        <v>45708.404456018514</v>
      </c>
      <c r="D110" t="s">
        <v>138</v>
      </c>
      <c r="E110" s="4">
        <v>0</v>
      </c>
      <c r="F110" s="4">
        <v>21590.785</v>
      </c>
      <c r="G110" s="4">
        <v>21590.785</v>
      </c>
      <c r="H110" s="5">
        <f>0 / 86400</f>
        <v>0</v>
      </c>
      <c r="I110" t="s">
        <v>22</v>
      </c>
      <c r="J110" t="s">
        <v>22</v>
      </c>
      <c r="K110" s="5">
        <f>18 / 86400</f>
        <v>2.0833333333333335E-4</v>
      </c>
      <c r="L110" s="5">
        <f>269 / 86400</f>
        <v>3.1134259259259257E-3</v>
      </c>
    </row>
    <row r="111" spans="1:12" x14ac:dyDescent="0.25">
      <c r="A111" s="3">
        <v>45708.407569444447</v>
      </c>
      <c r="B111" t="s">
        <v>138</v>
      </c>
      <c r="C111" s="3">
        <v>45708.407754629632</v>
      </c>
      <c r="D111" t="s">
        <v>138</v>
      </c>
      <c r="E111" s="4">
        <v>0</v>
      </c>
      <c r="F111" s="4">
        <v>21590.785</v>
      </c>
      <c r="G111" s="4">
        <v>21590.785</v>
      </c>
      <c r="H111" s="5">
        <f>0 / 86400</f>
        <v>0</v>
      </c>
      <c r="I111" t="s">
        <v>22</v>
      </c>
      <c r="J111" t="s">
        <v>22</v>
      </c>
      <c r="K111" s="5">
        <f>16 / 86400</f>
        <v>1.8518518518518518E-4</v>
      </c>
      <c r="L111" s="5">
        <f>802 / 86400</f>
        <v>9.2824074074074076E-3</v>
      </c>
    </row>
    <row r="112" spans="1:12" x14ac:dyDescent="0.25">
      <c r="A112" s="3">
        <v>45708.417037037041</v>
      </c>
      <c r="B112" t="s">
        <v>138</v>
      </c>
      <c r="C112" s="3">
        <v>45708.417326388888</v>
      </c>
      <c r="D112" t="s">
        <v>138</v>
      </c>
      <c r="E112" s="4">
        <v>0</v>
      </c>
      <c r="F112" s="4">
        <v>21590.785</v>
      </c>
      <c r="G112" s="4">
        <v>21590.785</v>
      </c>
      <c r="H112" s="5">
        <f>19 / 86400</f>
        <v>2.199074074074074E-4</v>
      </c>
      <c r="I112" t="s">
        <v>22</v>
      </c>
      <c r="J112" t="s">
        <v>22</v>
      </c>
      <c r="K112" s="5">
        <f>25 / 86400</f>
        <v>2.8935185185185184E-4</v>
      </c>
      <c r="L112" s="5">
        <f>511 / 86400</f>
        <v>5.9143518518518521E-3</v>
      </c>
    </row>
    <row r="113" spans="1:12" x14ac:dyDescent="0.25">
      <c r="A113" s="3">
        <v>45708.42324074074</v>
      </c>
      <c r="B113" t="s">
        <v>138</v>
      </c>
      <c r="C113" s="3">
        <v>45708.424305555556</v>
      </c>
      <c r="D113" t="s">
        <v>138</v>
      </c>
      <c r="E113" s="4">
        <v>8.9999999999999993E-3</v>
      </c>
      <c r="F113" s="4">
        <v>21590.785</v>
      </c>
      <c r="G113" s="4">
        <v>21590.794000000002</v>
      </c>
      <c r="H113" s="5">
        <f>79 / 86400</f>
        <v>9.1435185185185185E-4</v>
      </c>
      <c r="I113" t="s">
        <v>22</v>
      </c>
      <c r="J113" t="s">
        <v>22</v>
      </c>
      <c r="K113" s="5">
        <f>92 / 86400</f>
        <v>1.0648148148148149E-3</v>
      </c>
      <c r="L113" s="5">
        <f>1921 / 86400</f>
        <v>2.2233796296296297E-2</v>
      </c>
    </row>
    <row r="114" spans="1:12" x14ac:dyDescent="0.25">
      <c r="A114" s="3">
        <v>45708.446539351848</v>
      </c>
      <c r="B114" t="s">
        <v>138</v>
      </c>
      <c r="C114" s="3">
        <v>45708.452210648145</v>
      </c>
      <c r="D114" t="s">
        <v>27</v>
      </c>
      <c r="E114" s="4">
        <v>1.2969999999999999</v>
      </c>
      <c r="F114" s="4">
        <v>21590.794000000002</v>
      </c>
      <c r="G114" s="4">
        <v>21592.091</v>
      </c>
      <c r="H114" s="5">
        <f>79 / 86400</f>
        <v>9.1435185185185185E-4</v>
      </c>
      <c r="I114" t="s">
        <v>34</v>
      </c>
      <c r="J114" t="s">
        <v>97</v>
      </c>
      <c r="K114" s="5">
        <f>490 / 86400</f>
        <v>5.6712962962962967E-3</v>
      </c>
      <c r="L114" s="5">
        <f>1362 / 86400</f>
        <v>1.576388888888889E-2</v>
      </c>
    </row>
    <row r="115" spans="1:12" x14ac:dyDescent="0.25">
      <c r="A115" s="3">
        <v>45708.467974537038</v>
      </c>
      <c r="B115" t="s">
        <v>27</v>
      </c>
      <c r="C115" s="3">
        <v>45708.468078703707</v>
      </c>
      <c r="D115" t="s">
        <v>27</v>
      </c>
      <c r="E115" s="4">
        <v>0</v>
      </c>
      <c r="F115" s="4">
        <v>21592.091</v>
      </c>
      <c r="G115" s="4">
        <v>21592.091</v>
      </c>
      <c r="H115" s="5">
        <f>0 / 86400</f>
        <v>0</v>
      </c>
      <c r="I115" t="s">
        <v>22</v>
      </c>
      <c r="J115" t="s">
        <v>22</v>
      </c>
      <c r="K115" s="5">
        <f>8 / 86400</f>
        <v>9.2592592592592588E-5</v>
      </c>
      <c r="L115" s="5">
        <f>9819 / 86400</f>
        <v>0.11364583333333333</v>
      </c>
    </row>
    <row r="116" spans="1:12" x14ac:dyDescent="0.25">
      <c r="A116" s="3">
        <v>45708.581724537042</v>
      </c>
      <c r="B116" t="s">
        <v>27</v>
      </c>
      <c r="C116" s="3">
        <v>45708.585810185185</v>
      </c>
      <c r="D116" t="s">
        <v>27</v>
      </c>
      <c r="E116" s="4">
        <v>1.2609999999999999</v>
      </c>
      <c r="F116" s="4">
        <v>21592.091</v>
      </c>
      <c r="G116" s="4">
        <v>21593.351999999999</v>
      </c>
      <c r="H116" s="5">
        <f>59 / 86400</f>
        <v>6.8287037037037036E-4</v>
      </c>
      <c r="I116" t="s">
        <v>140</v>
      </c>
      <c r="J116" t="s">
        <v>29</v>
      </c>
      <c r="K116" s="5">
        <f>353 / 86400</f>
        <v>4.0856481481481481E-3</v>
      </c>
      <c r="L116" s="5">
        <f>3982 / 86400</f>
        <v>4.6087962962962963E-2</v>
      </c>
    </row>
    <row r="117" spans="1:12" x14ac:dyDescent="0.25">
      <c r="A117" s="3">
        <v>45708.631898148145</v>
      </c>
      <c r="B117" t="s">
        <v>141</v>
      </c>
      <c r="C117" s="3">
        <v>45708.633912037039</v>
      </c>
      <c r="D117" t="s">
        <v>141</v>
      </c>
      <c r="E117" s="4">
        <v>0</v>
      </c>
      <c r="F117" s="4">
        <v>21593.351999999999</v>
      </c>
      <c r="G117" s="4">
        <v>21593.351999999999</v>
      </c>
      <c r="H117" s="5">
        <f>159 / 86400</f>
        <v>1.8402777777777777E-3</v>
      </c>
      <c r="I117" t="s">
        <v>22</v>
      </c>
      <c r="J117" t="s">
        <v>22</v>
      </c>
      <c r="K117" s="5">
        <f>174 / 86400</f>
        <v>2.0138888888888888E-3</v>
      </c>
      <c r="L117" s="5">
        <f>940 / 86400</f>
        <v>1.087962962962963E-2</v>
      </c>
    </row>
    <row r="118" spans="1:12" x14ac:dyDescent="0.25">
      <c r="A118" s="3">
        <v>45708.644791666666</v>
      </c>
      <c r="B118" t="s">
        <v>141</v>
      </c>
      <c r="C118" s="3">
        <v>45708.64980324074</v>
      </c>
      <c r="D118" t="s">
        <v>141</v>
      </c>
      <c r="E118" s="4">
        <v>0.46100000000000002</v>
      </c>
      <c r="F118" s="4">
        <v>21593.351999999999</v>
      </c>
      <c r="G118" s="4">
        <v>21593.812999999998</v>
      </c>
      <c r="H118" s="5">
        <f>299 / 86400</f>
        <v>3.460648148148148E-3</v>
      </c>
      <c r="I118" t="s">
        <v>142</v>
      </c>
      <c r="J118" t="s">
        <v>143</v>
      </c>
      <c r="K118" s="5">
        <f>433 / 86400</f>
        <v>5.0115740740740737E-3</v>
      </c>
      <c r="L118" s="5">
        <f>302 / 86400</f>
        <v>3.4953703703703705E-3</v>
      </c>
    </row>
    <row r="119" spans="1:12" x14ac:dyDescent="0.25">
      <c r="A119" s="3">
        <v>45708.653298611112</v>
      </c>
      <c r="B119" t="s">
        <v>141</v>
      </c>
      <c r="C119" s="3">
        <v>45708.894224537042</v>
      </c>
      <c r="D119" t="s">
        <v>138</v>
      </c>
      <c r="E119" s="4">
        <v>80.334999999999994</v>
      </c>
      <c r="F119" s="4">
        <v>21593.812999999998</v>
      </c>
      <c r="G119" s="4">
        <v>21674.148000000001</v>
      </c>
      <c r="H119" s="5">
        <f>7542 / 86400</f>
        <v>8.729166666666667E-2</v>
      </c>
      <c r="I119" t="s">
        <v>28</v>
      </c>
      <c r="J119" t="s">
        <v>58</v>
      </c>
      <c r="K119" s="5">
        <f>20816 / 86400</f>
        <v>0.24092592592592593</v>
      </c>
      <c r="L119" s="5">
        <f>281 / 86400</f>
        <v>3.2523148148148147E-3</v>
      </c>
    </row>
    <row r="120" spans="1:12" x14ac:dyDescent="0.25">
      <c r="A120" s="3">
        <v>45708.897476851853</v>
      </c>
      <c r="B120" t="s">
        <v>138</v>
      </c>
      <c r="C120" s="3">
        <v>45708.906458333338</v>
      </c>
      <c r="D120" t="s">
        <v>27</v>
      </c>
      <c r="E120" s="4">
        <v>1.48</v>
      </c>
      <c r="F120" s="4">
        <v>21674.148000000001</v>
      </c>
      <c r="G120" s="4">
        <v>21675.628000000001</v>
      </c>
      <c r="H120" s="5">
        <f>180 / 86400</f>
        <v>2.0833333333333333E-3</v>
      </c>
      <c r="I120" t="s">
        <v>20</v>
      </c>
      <c r="J120" t="s">
        <v>26</v>
      </c>
      <c r="K120" s="5">
        <f>775 / 86400</f>
        <v>8.9699074074074073E-3</v>
      </c>
      <c r="L120" s="5">
        <f>8081 / 86400</f>
        <v>9.3530092592592595E-2</v>
      </c>
    </row>
    <row r="121" spans="1:12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2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2" s="10" customFormat="1" ht="20.100000000000001" customHeight="1" x14ac:dyDescent="0.35">
      <c r="A123" s="15" t="s">
        <v>473</v>
      </c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1:1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2" ht="30" x14ac:dyDescent="0.25">
      <c r="A125" s="2" t="s">
        <v>6</v>
      </c>
      <c r="B125" s="2" t="s">
        <v>7</v>
      </c>
      <c r="C125" s="2" t="s">
        <v>8</v>
      </c>
      <c r="D125" s="2" t="s">
        <v>9</v>
      </c>
      <c r="E125" s="2" t="s">
        <v>10</v>
      </c>
      <c r="F125" s="2" t="s">
        <v>11</v>
      </c>
      <c r="G125" s="2" t="s">
        <v>12</v>
      </c>
      <c r="H125" s="2" t="s">
        <v>13</v>
      </c>
      <c r="I125" s="2" t="s">
        <v>14</v>
      </c>
      <c r="J125" s="2" t="s">
        <v>15</v>
      </c>
      <c r="K125" s="2" t="s">
        <v>16</v>
      </c>
      <c r="L125" s="2" t="s">
        <v>17</v>
      </c>
    </row>
    <row r="126" spans="1:12" x14ac:dyDescent="0.25">
      <c r="A126" s="3">
        <v>45708.703321759254</v>
      </c>
      <c r="B126" t="s">
        <v>30</v>
      </c>
      <c r="C126" s="3">
        <v>45708.703356481477</v>
      </c>
      <c r="D126" t="s">
        <v>30</v>
      </c>
      <c r="E126" s="4">
        <v>0</v>
      </c>
      <c r="F126" s="4">
        <v>514661.17499999999</v>
      </c>
      <c r="G126" s="4">
        <v>514661.17499999999</v>
      </c>
      <c r="H126" s="5">
        <f>0 / 86400</f>
        <v>0</v>
      </c>
      <c r="I126" t="s">
        <v>22</v>
      </c>
      <c r="J126" t="s">
        <v>22</v>
      </c>
      <c r="K126" s="5">
        <f>3 / 86400</f>
        <v>3.4722222222222222E-5</v>
      </c>
      <c r="L126" s="5">
        <f>86396 / 86400</f>
        <v>0.99995370370370373</v>
      </c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2" s="10" customFormat="1" ht="20.100000000000001" customHeight="1" x14ac:dyDescent="0.35">
      <c r="A129" s="15" t="s">
        <v>474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ht="30" x14ac:dyDescent="0.25">
      <c r="A131" s="2" t="s">
        <v>6</v>
      </c>
      <c r="B131" s="2" t="s">
        <v>7</v>
      </c>
      <c r="C131" s="2" t="s">
        <v>8</v>
      </c>
      <c r="D131" s="2" t="s">
        <v>9</v>
      </c>
      <c r="E131" s="2" t="s">
        <v>10</v>
      </c>
      <c r="F131" s="2" t="s">
        <v>11</v>
      </c>
      <c r="G131" s="2" t="s">
        <v>12</v>
      </c>
      <c r="H131" s="2" t="s">
        <v>13</v>
      </c>
      <c r="I131" s="2" t="s">
        <v>14</v>
      </c>
      <c r="J131" s="2" t="s">
        <v>15</v>
      </c>
      <c r="K131" s="2" t="s">
        <v>16</v>
      </c>
      <c r="L131" s="2" t="s">
        <v>17</v>
      </c>
    </row>
    <row r="132" spans="1:12" x14ac:dyDescent="0.25">
      <c r="A132" s="3">
        <v>45708.336469907408</v>
      </c>
      <c r="B132" t="s">
        <v>27</v>
      </c>
      <c r="C132" s="3">
        <v>45708.341469907406</v>
      </c>
      <c r="D132" t="s">
        <v>27</v>
      </c>
      <c r="E132" s="4">
        <v>0</v>
      </c>
      <c r="F132" s="4">
        <v>93373.388999999996</v>
      </c>
      <c r="G132" s="4">
        <v>93373.388999999996</v>
      </c>
      <c r="H132" s="5">
        <f>419 / 86400</f>
        <v>4.8495370370370368E-3</v>
      </c>
      <c r="I132" t="s">
        <v>22</v>
      </c>
      <c r="J132" t="s">
        <v>22</v>
      </c>
      <c r="K132" s="5">
        <f>432 / 86400</f>
        <v>5.0000000000000001E-3</v>
      </c>
      <c r="L132" s="5">
        <f>30648 / 86400</f>
        <v>0.35472222222222222</v>
      </c>
    </row>
    <row r="133" spans="1:12" x14ac:dyDescent="0.25">
      <c r="A133" s="3">
        <v>45708.359722222223</v>
      </c>
      <c r="B133" t="s">
        <v>27</v>
      </c>
      <c r="C133" s="3">
        <v>45708.364583333328</v>
      </c>
      <c r="D133" t="s">
        <v>141</v>
      </c>
      <c r="E133" s="4">
        <v>1.58</v>
      </c>
      <c r="F133" s="4">
        <v>93373.388999999996</v>
      </c>
      <c r="G133" s="4">
        <v>93374.968999999997</v>
      </c>
      <c r="H133" s="5">
        <f>0 / 86400</f>
        <v>0</v>
      </c>
      <c r="I133" t="s">
        <v>144</v>
      </c>
      <c r="J133" t="s">
        <v>58</v>
      </c>
      <c r="K133" s="5">
        <f>420 / 86400</f>
        <v>4.8611111111111112E-3</v>
      </c>
      <c r="L133" s="5">
        <f>116 / 86400</f>
        <v>1.3425925925925925E-3</v>
      </c>
    </row>
    <row r="134" spans="1:12" x14ac:dyDescent="0.25">
      <c r="A134" s="3">
        <v>45708.365925925929</v>
      </c>
      <c r="B134" t="s">
        <v>141</v>
      </c>
      <c r="C134" s="3">
        <v>45708.367152777777</v>
      </c>
      <c r="D134" t="s">
        <v>141</v>
      </c>
      <c r="E134" s="4">
        <v>0.02</v>
      </c>
      <c r="F134" s="4">
        <v>93374.968999999997</v>
      </c>
      <c r="G134" s="4">
        <v>93374.989000000001</v>
      </c>
      <c r="H134" s="5">
        <f>60 / 86400</f>
        <v>6.9444444444444447E-4</v>
      </c>
      <c r="I134" t="s">
        <v>32</v>
      </c>
      <c r="J134" t="s">
        <v>145</v>
      </c>
      <c r="K134" s="5">
        <f>106 / 86400</f>
        <v>1.2268518518518518E-3</v>
      </c>
      <c r="L134" s="5">
        <f>37096 / 86400</f>
        <v>0.42935185185185187</v>
      </c>
    </row>
    <row r="135" spans="1:12" x14ac:dyDescent="0.25">
      <c r="A135" s="3">
        <v>45708.79650462963</v>
      </c>
      <c r="B135" t="s">
        <v>141</v>
      </c>
      <c r="C135" s="3">
        <v>45708.803969907407</v>
      </c>
      <c r="D135" t="s">
        <v>27</v>
      </c>
      <c r="E135" s="4">
        <v>1.1719999999999999</v>
      </c>
      <c r="F135" s="4">
        <v>93374.989000000001</v>
      </c>
      <c r="G135" s="4">
        <v>93376.160999999993</v>
      </c>
      <c r="H135" s="5">
        <f>339 / 86400</f>
        <v>3.9236111111111112E-3</v>
      </c>
      <c r="I135" t="s">
        <v>31</v>
      </c>
      <c r="J135" t="s">
        <v>26</v>
      </c>
      <c r="K135" s="5">
        <f>645 / 86400</f>
        <v>7.4652777777777781E-3</v>
      </c>
      <c r="L135" s="5">
        <f>16936 / 86400</f>
        <v>0.19601851851851851</v>
      </c>
    </row>
    <row r="136" spans="1:1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2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2" s="10" customFormat="1" ht="20.100000000000001" customHeight="1" x14ac:dyDescent="0.35">
      <c r="A138" s="15" t="s">
        <v>475</v>
      </c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2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2" ht="30" x14ac:dyDescent="0.25">
      <c r="A140" s="2" t="s">
        <v>6</v>
      </c>
      <c r="B140" s="2" t="s">
        <v>7</v>
      </c>
      <c r="C140" s="2" t="s">
        <v>8</v>
      </c>
      <c r="D140" s="2" t="s">
        <v>9</v>
      </c>
      <c r="E140" s="2" t="s">
        <v>10</v>
      </c>
      <c r="F140" s="2" t="s">
        <v>11</v>
      </c>
      <c r="G140" s="2" t="s">
        <v>12</v>
      </c>
      <c r="H140" s="2" t="s">
        <v>13</v>
      </c>
      <c r="I140" s="2" t="s">
        <v>14</v>
      </c>
      <c r="J140" s="2" t="s">
        <v>15</v>
      </c>
      <c r="K140" s="2" t="s">
        <v>16</v>
      </c>
      <c r="L140" s="2" t="s">
        <v>17</v>
      </c>
    </row>
    <row r="141" spans="1:12" x14ac:dyDescent="0.25">
      <c r="A141" s="3">
        <v>45708.175671296296</v>
      </c>
      <c r="B141" t="s">
        <v>18</v>
      </c>
      <c r="C141" s="3">
        <v>45708.268750000003</v>
      </c>
      <c r="D141" t="s">
        <v>146</v>
      </c>
      <c r="E141" s="4">
        <v>49.460999999999999</v>
      </c>
      <c r="F141" s="4">
        <v>139643.514</v>
      </c>
      <c r="G141" s="4">
        <v>139692.97500000001</v>
      </c>
      <c r="H141" s="5">
        <f>1799 / 86400</f>
        <v>2.0821759259259259E-2</v>
      </c>
      <c r="I141" t="s">
        <v>147</v>
      </c>
      <c r="J141" t="s">
        <v>148</v>
      </c>
      <c r="K141" s="5">
        <f>8042 / 86400</f>
        <v>9.3078703703703705E-2</v>
      </c>
      <c r="L141" s="5">
        <f>15281 / 86400</f>
        <v>0.17686342592592594</v>
      </c>
    </row>
    <row r="142" spans="1:12" x14ac:dyDescent="0.25">
      <c r="A142" s="3">
        <v>45708.269942129627</v>
      </c>
      <c r="B142" t="s">
        <v>146</v>
      </c>
      <c r="C142" s="3">
        <v>45708.271145833336</v>
      </c>
      <c r="D142" t="s">
        <v>149</v>
      </c>
      <c r="E142" s="4">
        <v>0.44</v>
      </c>
      <c r="F142" s="4">
        <v>139692.97500000001</v>
      </c>
      <c r="G142" s="4">
        <v>139693.41500000001</v>
      </c>
      <c r="H142" s="5">
        <f>0 / 86400</f>
        <v>0</v>
      </c>
      <c r="I142" t="s">
        <v>150</v>
      </c>
      <c r="J142" t="s">
        <v>44</v>
      </c>
      <c r="K142" s="5">
        <f>103 / 86400</f>
        <v>1.1921296296296296E-3</v>
      </c>
      <c r="L142" s="5">
        <f>545 / 86400</f>
        <v>6.3078703703703708E-3</v>
      </c>
    </row>
    <row r="143" spans="1:12" x14ac:dyDescent="0.25">
      <c r="A143" s="3">
        <v>45708.277453703704</v>
      </c>
      <c r="B143" t="s">
        <v>149</v>
      </c>
      <c r="C143" s="3">
        <v>45708.277696759258</v>
      </c>
      <c r="D143" t="s">
        <v>149</v>
      </c>
      <c r="E143" s="4">
        <v>3.4000000000000002E-2</v>
      </c>
      <c r="F143" s="4">
        <v>139693.41500000001</v>
      </c>
      <c r="G143" s="4">
        <v>139693.44899999999</v>
      </c>
      <c r="H143" s="5">
        <f>0 / 86400</f>
        <v>0</v>
      </c>
      <c r="I143" t="s">
        <v>143</v>
      </c>
      <c r="J143" t="s">
        <v>32</v>
      </c>
      <c r="K143" s="5">
        <f>21 / 86400</f>
        <v>2.4305555555555555E-4</v>
      </c>
      <c r="L143" s="5">
        <f>221 / 86400</f>
        <v>2.5578703703703705E-3</v>
      </c>
    </row>
    <row r="144" spans="1:12" x14ac:dyDescent="0.25">
      <c r="A144" s="3">
        <v>45708.28025462963</v>
      </c>
      <c r="B144" t="s">
        <v>149</v>
      </c>
      <c r="C144" s="3">
        <v>45708.359594907408</v>
      </c>
      <c r="D144" t="s">
        <v>70</v>
      </c>
      <c r="E144" s="4">
        <v>40.054000000000002</v>
      </c>
      <c r="F144" s="4">
        <v>139693.44899999999</v>
      </c>
      <c r="G144" s="4">
        <v>139733.503</v>
      </c>
      <c r="H144" s="5">
        <f>1760 / 86400</f>
        <v>2.0370370370370372E-2</v>
      </c>
      <c r="I144" t="s">
        <v>64</v>
      </c>
      <c r="J144" t="s">
        <v>38</v>
      </c>
      <c r="K144" s="5">
        <f>6855 / 86400</f>
        <v>7.9340277777777773E-2</v>
      </c>
      <c r="L144" s="5">
        <f>292 / 86400</f>
        <v>3.3796296296296296E-3</v>
      </c>
    </row>
    <row r="145" spans="1:12" x14ac:dyDescent="0.25">
      <c r="A145" s="3">
        <v>45708.362974537042</v>
      </c>
      <c r="B145" t="s">
        <v>151</v>
      </c>
      <c r="C145" s="3">
        <v>45708.442696759259</v>
      </c>
      <c r="D145" t="s">
        <v>83</v>
      </c>
      <c r="E145" s="4">
        <v>39.341999999999999</v>
      </c>
      <c r="F145" s="4">
        <v>139733.503</v>
      </c>
      <c r="G145" s="4">
        <v>139772.845</v>
      </c>
      <c r="H145" s="5">
        <f>1599 / 86400</f>
        <v>1.8506944444444444E-2</v>
      </c>
      <c r="I145" t="s">
        <v>28</v>
      </c>
      <c r="J145" t="s">
        <v>38</v>
      </c>
      <c r="K145" s="5">
        <f>6888 / 86400</f>
        <v>7.9722222222222222E-2</v>
      </c>
      <c r="L145" s="5">
        <f>278 / 86400</f>
        <v>3.2175925925925926E-3</v>
      </c>
    </row>
    <row r="146" spans="1:12" x14ac:dyDescent="0.25">
      <c r="A146" s="3">
        <v>45708.445914351847</v>
      </c>
      <c r="B146" t="s">
        <v>83</v>
      </c>
      <c r="C146" s="3">
        <v>45708.446562500001</v>
      </c>
      <c r="D146" t="s">
        <v>83</v>
      </c>
      <c r="E146" s="4">
        <v>1.0999999999999999E-2</v>
      </c>
      <c r="F146" s="4">
        <v>139772.845</v>
      </c>
      <c r="G146" s="4">
        <v>139772.856</v>
      </c>
      <c r="H146" s="5">
        <f>39 / 86400</f>
        <v>4.5138888888888887E-4</v>
      </c>
      <c r="I146" t="s">
        <v>22</v>
      </c>
      <c r="J146" t="s">
        <v>145</v>
      </c>
      <c r="K146" s="5">
        <f>55 / 86400</f>
        <v>6.3657407407407413E-4</v>
      </c>
      <c r="L146" s="5">
        <f>2317 / 86400</f>
        <v>2.6817129629629628E-2</v>
      </c>
    </row>
    <row r="147" spans="1:12" x14ac:dyDescent="0.25">
      <c r="A147" s="3">
        <v>45708.473379629635</v>
      </c>
      <c r="B147" t="s">
        <v>83</v>
      </c>
      <c r="C147" s="3">
        <v>45708.475231481483</v>
      </c>
      <c r="D147" t="s">
        <v>152</v>
      </c>
      <c r="E147" s="4">
        <v>4.1000000000000002E-2</v>
      </c>
      <c r="F147" s="4">
        <v>139772.856</v>
      </c>
      <c r="G147" s="4">
        <v>139772.897</v>
      </c>
      <c r="H147" s="5">
        <f>119 / 86400</f>
        <v>1.3773148148148147E-3</v>
      </c>
      <c r="I147" t="s">
        <v>86</v>
      </c>
      <c r="J147" t="s">
        <v>145</v>
      </c>
      <c r="K147" s="5">
        <f>160 / 86400</f>
        <v>1.8518518518518519E-3</v>
      </c>
      <c r="L147" s="5">
        <f>105 / 86400</f>
        <v>1.2152777777777778E-3</v>
      </c>
    </row>
    <row r="148" spans="1:12" x14ac:dyDescent="0.25">
      <c r="A148" s="3">
        <v>45708.476446759261</v>
      </c>
      <c r="B148" t="s">
        <v>152</v>
      </c>
      <c r="C148" s="3">
        <v>45708.476678240739</v>
      </c>
      <c r="D148" t="s">
        <v>152</v>
      </c>
      <c r="E148" s="4">
        <v>0</v>
      </c>
      <c r="F148" s="4">
        <v>139772.897</v>
      </c>
      <c r="G148" s="4">
        <v>139772.897</v>
      </c>
      <c r="H148" s="5">
        <f>0 / 86400</f>
        <v>0</v>
      </c>
      <c r="I148" t="s">
        <v>22</v>
      </c>
      <c r="J148" t="s">
        <v>22</v>
      </c>
      <c r="K148" s="5">
        <f>20 / 86400</f>
        <v>2.3148148148148149E-4</v>
      </c>
      <c r="L148" s="5">
        <f>1414 / 86400</f>
        <v>1.636574074074074E-2</v>
      </c>
    </row>
    <row r="149" spans="1:12" x14ac:dyDescent="0.25">
      <c r="A149" s="3">
        <v>45708.493043981478</v>
      </c>
      <c r="B149" t="s">
        <v>152</v>
      </c>
      <c r="C149" s="3">
        <v>45708.811874999999</v>
      </c>
      <c r="D149" t="s">
        <v>153</v>
      </c>
      <c r="E149" s="4">
        <v>124.874</v>
      </c>
      <c r="F149" s="4">
        <v>139772.897</v>
      </c>
      <c r="G149" s="4">
        <v>139897.77100000001</v>
      </c>
      <c r="H149" s="5">
        <f>9758 / 86400</f>
        <v>0.11293981481481481</v>
      </c>
      <c r="I149" t="s">
        <v>33</v>
      </c>
      <c r="J149" t="s">
        <v>49</v>
      </c>
      <c r="K149" s="5">
        <f>27547 / 86400</f>
        <v>0.31883101851851853</v>
      </c>
      <c r="L149" s="5">
        <f>220 / 86400</f>
        <v>2.5462962962962965E-3</v>
      </c>
    </row>
    <row r="150" spans="1:12" x14ac:dyDescent="0.25">
      <c r="A150" s="3">
        <v>45708.814421296294</v>
      </c>
      <c r="B150" t="s">
        <v>154</v>
      </c>
      <c r="C150" s="3">
        <v>45708.814560185187</v>
      </c>
      <c r="D150" t="s">
        <v>154</v>
      </c>
      <c r="E150" s="4">
        <v>6.0000000000000001E-3</v>
      </c>
      <c r="F150" s="4">
        <v>139897.77100000001</v>
      </c>
      <c r="G150" s="4">
        <v>139897.777</v>
      </c>
      <c r="H150" s="5">
        <f>0 / 86400</f>
        <v>0</v>
      </c>
      <c r="I150" t="s">
        <v>22</v>
      </c>
      <c r="J150" t="s">
        <v>136</v>
      </c>
      <c r="K150" s="5">
        <f>12 / 86400</f>
        <v>1.3888888888888889E-4</v>
      </c>
      <c r="L150" s="5">
        <f>282 / 86400</f>
        <v>3.2638888888888891E-3</v>
      </c>
    </row>
    <row r="151" spans="1:12" x14ac:dyDescent="0.25">
      <c r="A151" s="3">
        <v>45708.817824074074</v>
      </c>
      <c r="B151" t="s">
        <v>154</v>
      </c>
      <c r="C151" s="3">
        <v>45708.827199074076</v>
      </c>
      <c r="D151" t="s">
        <v>18</v>
      </c>
      <c r="E151" s="4">
        <v>0.45500000000000002</v>
      </c>
      <c r="F151" s="4">
        <v>139897.777</v>
      </c>
      <c r="G151" s="4">
        <v>139898.23199999999</v>
      </c>
      <c r="H151" s="5">
        <f>639 / 86400</f>
        <v>7.3958333333333333E-3</v>
      </c>
      <c r="I151" t="s">
        <v>148</v>
      </c>
      <c r="J151" t="s">
        <v>136</v>
      </c>
      <c r="K151" s="5">
        <f>809 / 86400</f>
        <v>9.3634259259259261E-3</v>
      </c>
      <c r="L151" s="5">
        <f>73 / 86400</f>
        <v>8.4490740740740739E-4</v>
      </c>
    </row>
    <row r="152" spans="1:12" x14ac:dyDescent="0.25">
      <c r="A152" s="3">
        <v>45708.828043981484</v>
      </c>
      <c r="B152" t="s">
        <v>18</v>
      </c>
      <c r="C152" s="3">
        <v>45708.830150462964</v>
      </c>
      <c r="D152" t="s">
        <v>18</v>
      </c>
      <c r="E152" s="4">
        <v>5.2999999999999999E-2</v>
      </c>
      <c r="F152" s="4">
        <v>139898.23199999999</v>
      </c>
      <c r="G152" s="4">
        <v>139898.285</v>
      </c>
      <c r="H152" s="5">
        <f>119 / 86400</f>
        <v>1.3773148148148147E-3</v>
      </c>
      <c r="I152" t="s">
        <v>55</v>
      </c>
      <c r="J152" t="s">
        <v>145</v>
      </c>
      <c r="K152" s="5">
        <f>181 / 86400</f>
        <v>2.0949074074074073E-3</v>
      </c>
      <c r="L152" s="5">
        <f>14674 / 86400</f>
        <v>0.16983796296296297</v>
      </c>
    </row>
    <row r="153" spans="1:1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1:12" s="10" customFormat="1" ht="20.100000000000001" customHeight="1" x14ac:dyDescent="0.35">
      <c r="A155" s="15" t="s">
        <v>476</v>
      </c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2" ht="30" x14ac:dyDescent="0.25">
      <c r="A157" s="2" t="s">
        <v>6</v>
      </c>
      <c r="B157" s="2" t="s">
        <v>7</v>
      </c>
      <c r="C157" s="2" t="s">
        <v>8</v>
      </c>
      <c r="D157" s="2" t="s">
        <v>9</v>
      </c>
      <c r="E157" s="2" t="s">
        <v>10</v>
      </c>
      <c r="F157" s="2" t="s">
        <v>11</v>
      </c>
      <c r="G157" s="2" t="s">
        <v>12</v>
      </c>
      <c r="H157" s="2" t="s">
        <v>13</v>
      </c>
      <c r="I157" s="2" t="s">
        <v>14</v>
      </c>
      <c r="J157" s="2" t="s">
        <v>15</v>
      </c>
      <c r="K157" s="2" t="s">
        <v>16</v>
      </c>
      <c r="L157" s="2" t="s">
        <v>17</v>
      </c>
    </row>
    <row r="158" spans="1:12" x14ac:dyDescent="0.25">
      <c r="A158" s="3">
        <v>45708</v>
      </c>
      <c r="B158" t="s">
        <v>35</v>
      </c>
      <c r="C158" s="3">
        <v>45708.000775462962</v>
      </c>
      <c r="D158" t="s">
        <v>155</v>
      </c>
      <c r="E158" s="4">
        <v>0.25356365478038789</v>
      </c>
      <c r="F158" s="4">
        <v>349225.17029937112</v>
      </c>
      <c r="G158" s="4">
        <v>349225.42386302591</v>
      </c>
      <c r="H158" s="5">
        <f t="shared" ref="H158:H221" si="0">0 / 86400</f>
        <v>0</v>
      </c>
      <c r="I158" t="s">
        <v>142</v>
      </c>
      <c r="J158" t="s">
        <v>58</v>
      </c>
      <c r="K158" s="5">
        <f>67 / 86400</f>
        <v>7.7546296296296293E-4</v>
      </c>
      <c r="L158" s="5">
        <f>20 / 86400</f>
        <v>2.3148148148148149E-4</v>
      </c>
    </row>
    <row r="159" spans="1:12" x14ac:dyDescent="0.25">
      <c r="A159" s="3">
        <v>45708.00100694444</v>
      </c>
      <c r="B159" t="s">
        <v>35</v>
      </c>
      <c r="C159" s="3">
        <v>45708.001932870371</v>
      </c>
      <c r="D159" t="s">
        <v>156</v>
      </c>
      <c r="E159" s="4">
        <v>0.47524208289384839</v>
      </c>
      <c r="F159" s="4">
        <v>349225.54492508166</v>
      </c>
      <c r="G159" s="4">
        <v>349226.02016716456</v>
      </c>
      <c r="H159" s="5">
        <f t="shared" si="0"/>
        <v>0</v>
      </c>
      <c r="I159" t="s">
        <v>157</v>
      </c>
      <c r="J159" t="s">
        <v>38</v>
      </c>
      <c r="K159" s="5">
        <f>80 / 86400</f>
        <v>9.2592592592592596E-4</v>
      </c>
      <c r="L159" s="5">
        <f>100 / 86400</f>
        <v>1.1574074074074073E-3</v>
      </c>
    </row>
    <row r="160" spans="1:12" x14ac:dyDescent="0.25">
      <c r="A160" s="3">
        <v>45708.00309027778</v>
      </c>
      <c r="B160" t="s">
        <v>155</v>
      </c>
      <c r="C160" s="3">
        <v>45708.004479166666</v>
      </c>
      <c r="D160" t="s">
        <v>158</v>
      </c>
      <c r="E160" s="4">
        <v>1.1244782851338386</v>
      </c>
      <c r="F160" s="4">
        <v>349226.12013296317</v>
      </c>
      <c r="G160" s="4">
        <v>349227.24461124832</v>
      </c>
      <c r="H160" s="5">
        <f t="shared" si="0"/>
        <v>0</v>
      </c>
      <c r="I160" t="s">
        <v>159</v>
      </c>
      <c r="J160" t="s">
        <v>160</v>
      </c>
      <c r="K160" s="5">
        <f>120 / 86400</f>
        <v>1.3888888888888889E-3</v>
      </c>
      <c r="L160" s="5">
        <f>4 / 86400</f>
        <v>4.6296296296296294E-5</v>
      </c>
    </row>
    <row r="161" spans="1:12" x14ac:dyDescent="0.25">
      <c r="A161" s="3">
        <v>45708.004525462966</v>
      </c>
      <c r="B161" t="s">
        <v>158</v>
      </c>
      <c r="C161" s="3">
        <v>45708.005682870367</v>
      </c>
      <c r="D161" t="s">
        <v>158</v>
      </c>
      <c r="E161" s="4">
        <v>0.77774937885999684</v>
      </c>
      <c r="F161" s="4">
        <v>349227.24893829302</v>
      </c>
      <c r="G161" s="4">
        <v>349228.0266876719</v>
      </c>
      <c r="H161" s="5">
        <f t="shared" si="0"/>
        <v>0</v>
      </c>
      <c r="I161" t="s">
        <v>161</v>
      </c>
      <c r="J161" t="s">
        <v>162</v>
      </c>
      <c r="K161" s="5">
        <f>100 / 86400</f>
        <v>1.1574074074074073E-3</v>
      </c>
      <c r="L161" s="5">
        <f>20 / 86400</f>
        <v>2.3148148148148149E-4</v>
      </c>
    </row>
    <row r="162" spans="1:12" x14ac:dyDescent="0.25">
      <c r="A162" s="3">
        <v>45708.005914351852</v>
      </c>
      <c r="B162" t="s">
        <v>158</v>
      </c>
      <c r="C162" s="3">
        <v>45708.007905092592</v>
      </c>
      <c r="D162" t="s">
        <v>163</v>
      </c>
      <c r="E162" s="4">
        <v>0.89071846717596059</v>
      </c>
      <c r="F162" s="4">
        <v>349228.03218238545</v>
      </c>
      <c r="G162" s="4">
        <v>349228.92290085263</v>
      </c>
      <c r="H162" s="5">
        <f t="shared" si="0"/>
        <v>0</v>
      </c>
      <c r="I162" t="s">
        <v>164</v>
      </c>
      <c r="J162" t="s">
        <v>68</v>
      </c>
      <c r="K162" s="5">
        <f>172 / 86400</f>
        <v>1.9907407407407408E-3</v>
      </c>
      <c r="L162" s="5">
        <f>53 / 86400</f>
        <v>6.134259259259259E-4</v>
      </c>
    </row>
    <row r="163" spans="1:12" x14ac:dyDescent="0.25">
      <c r="A163" s="3">
        <v>45708.008518518516</v>
      </c>
      <c r="B163" t="s">
        <v>165</v>
      </c>
      <c r="C163" s="3">
        <v>45708.009710648148</v>
      </c>
      <c r="D163" t="s">
        <v>166</v>
      </c>
      <c r="E163" s="4">
        <v>0.63376499199867253</v>
      </c>
      <c r="F163" s="4">
        <v>349228.96150899859</v>
      </c>
      <c r="G163" s="4">
        <v>349229.59527399059</v>
      </c>
      <c r="H163" s="5">
        <f t="shared" si="0"/>
        <v>0</v>
      </c>
      <c r="I163" t="s">
        <v>54</v>
      </c>
      <c r="J163" t="s">
        <v>148</v>
      </c>
      <c r="K163" s="5">
        <f>103 / 86400</f>
        <v>1.1921296296296296E-3</v>
      </c>
      <c r="L163" s="5">
        <f>12 / 86400</f>
        <v>1.3888888888888889E-4</v>
      </c>
    </row>
    <row r="164" spans="1:12" x14ac:dyDescent="0.25">
      <c r="A164" s="3">
        <v>45708.009849537033</v>
      </c>
      <c r="B164" t="s">
        <v>166</v>
      </c>
      <c r="C164" s="3">
        <v>45708.010081018518</v>
      </c>
      <c r="D164" t="s">
        <v>167</v>
      </c>
      <c r="E164" s="4">
        <v>0.13335228657722473</v>
      </c>
      <c r="F164" s="4">
        <v>349229.60064472578</v>
      </c>
      <c r="G164" s="4">
        <v>349229.73399701237</v>
      </c>
      <c r="H164" s="5">
        <f t="shared" si="0"/>
        <v>0</v>
      </c>
      <c r="I164" t="s">
        <v>168</v>
      </c>
      <c r="J164" t="s">
        <v>157</v>
      </c>
      <c r="K164" s="5">
        <f>20 / 86400</f>
        <v>2.3148148148148149E-4</v>
      </c>
      <c r="L164" s="5">
        <f>6 / 86400</f>
        <v>6.9444444444444444E-5</v>
      </c>
    </row>
    <row r="165" spans="1:12" x14ac:dyDescent="0.25">
      <c r="A165" s="3">
        <v>45708.010150462964</v>
      </c>
      <c r="B165" t="s">
        <v>167</v>
      </c>
      <c r="C165" s="3">
        <v>45708.011770833335</v>
      </c>
      <c r="D165" t="s">
        <v>98</v>
      </c>
      <c r="E165" s="4">
        <v>1.2181638800501824</v>
      </c>
      <c r="F165" s="4">
        <v>349229.73798247689</v>
      </c>
      <c r="G165" s="4">
        <v>349230.95614635694</v>
      </c>
      <c r="H165" s="5">
        <f t="shared" si="0"/>
        <v>0</v>
      </c>
      <c r="I165" t="s">
        <v>169</v>
      </c>
      <c r="J165" t="s">
        <v>134</v>
      </c>
      <c r="K165" s="5">
        <f>140 / 86400</f>
        <v>1.6203703703703703E-3</v>
      </c>
      <c r="L165" s="5">
        <f>20 / 86400</f>
        <v>2.3148148148148149E-4</v>
      </c>
    </row>
    <row r="166" spans="1:12" x14ac:dyDescent="0.25">
      <c r="A166" s="3">
        <v>45708.012002314819</v>
      </c>
      <c r="B166" t="s">
        <v>98</v>
      </c>
      <c r="C166" s="3">
        <v>45708.01663194444</v>
      </c>
      <c r="D166" t="s">
        <v>170</v>
      </c>
      <c r="E166" s="4">
        <v>4.2266445317864418</v>
      </c>
      <c r="F166" s="4">
        <v>349230.97133865685</v>
      </c>
      <c r="G166" s="4">
        <v>349235.19798318861</v>
      </c>
      <c r="H166" s="5">
        <f t="shared" si="0"/>
        <v>0</v>
      </c>
      <c r="I166" t="s">
        <v>171</v>
      </c>
      <c r="J166" t="s">
        <v>140</v>
      </c>
      <c r="K166" s="5">
        <f>400 / 86400</f>
        <v>4.6296296296296294E-3</v>
      </c>
      <c r="L166" s="5">
        <f>31 / 86400</f>
        <v>3.5879629629629629E-4</v>
      </c>
    </row>
    <row r="167" spans="1:12" x14ac:dyDescent="0.25">
      <c r="A167" s="3">
        <v>45708.01699074074</v>
      </c>
      <c r="B167" t="s">
        <v>170</v>
      </c>
      <c r="C167" s="3">
        <v>45708.018611111111</v>
      </c>
      <c r="D167" t="s">
        <v>78</v>
      </c>
      <c r="E167" s="4">
        <v>1.8820032478570938</v>
      </c>
      <c r="F167" s="4">
        <v>349235.20361362683</v>
      </c>
      <c r="G167" s="4">
        <v>349237.08561687468</v>
      </c>
      <c r="H167" s="5">
        <f t="shared" si="0"/>
        <v>0</v>
      </c>
      <c r="I167" t="s">
        <v>172</v>
      </c>
      <c r="J167" t="s">
        <v>96</v>
      </c>
      <c r="K167" s="5">
        <f>140 / 86400</f>
        <v>1.6203703703703703E-3</v>
      </c>
      <c r="L167" s="5">
        <f>17 / 86400</f>
        <v>1.9675925925925926E-4</v>
      </c>
    </row>
    <row r="168" spans="1:12" x14ac:dyDescent="0.25">
      <c r="A168" s="3">
        <v>45708.018807870365</v>
      </c>
      <c r="B168" t="s">
        <v>173</v>
      </c>
      <c r="C168" s="3">
        <v>45708.019259259258</v>
      </c>
      <c r="D168" t="s">
        <v>174</v>
      </c>
      <c r="E168" s="4">
        <v>5.9459616899490357E-2</v>
      </c>
      <c r="F168" s="4">
        <v>349237.11755927809</v>
      </c>
      <c r="G168" s="4">
        <v>349237.17701889499</v>
      </c>
      <c r="H168" s="5">
        <f t="shared" si="0"/>
        <v>0</v>
      </c>
      <c r="I168" t="s">
        <v>65</v>
      </c>
      <c r="J168" t="s">
        <v>55</v>
      </c>
      <c r="K168" s="5">
        <f>39 / 86400</f>
        <v>4.5138888888888887E-4</v>
      </c>
      <c r="L168" s="5">
        <f>496 / 86400</f>
        <v>5.7407407407407407E-3</v>
      </c>
    </row>
    <row r="169" spans="1:12" x14ac:dyDescent="0.25">
      <c r="A169" s="3">
        <v>45708.025000000001</v>
      </c>
      <c r="B169" t="s">
        <v>174</v>
      </c>
      <c r="C169" s="3">
        <v>45708.028136574074</v>
      </c>
      <c r="D169" t="s">
        <v>27</v>
      </c>
      <c r="E169" s="4">
        <v>1.1415736892223358</v>
      </c>
      <c r="F169" s="4">
        <v>349237.18446557055</v>
      </c>
      <c r="G169" s="4">
        <v>349238.32603925979</v>
      </c>
      <c r="H169" s="5">
        <f t="shared" si="0"/>
        <v>0</v>
      </c>
      <c r="I169" t="s">
        <v>144</v>
      </c>
      <c r="J169" t="s">
        <v>44</v>
      </c>
      <c r="K169" s="5">
        <f>271 / 86400</f>
        <v>3.1365740740740742E-3</v>
      </c>
      <c r="L169" s="5">
        <f>290 / 86400</f>
        <v>3.3564814814814816E-3</v>
      </c>
    </row>
    <row r="170" spans="1:12" x14ac:dyDescent="0.25">
      <c r="A170" s="3">
        <v>45708.031493055554</v>
      </c>
      <c r="B170" t="s">
        <v>27</v>
      </c>
      <c r="C170" s="3">
        <v>45708.032314814816</v>
      </c>
      <c r="D170" t="s">
        <v>27</v>
      </c>
      <c r="E170" s="4">
        <v>0.22497605031728746</v>
      </c>
      <c r="F170" s="4">
        <v>349238.35881100298</v>
      </c>
      <c r="G170" s="4">
        <v>349238.5837870533</v>
      </c>
      <c r="H170" s="5">
        <f t="shared" si="0"/>
        <v>0</v>
      </c>
      <c r="I170" t="s">
        <v>20</v>
      </c>
      <c r="J170" t="s">
        <v>86</v>
      </c>
      <c r="K170" s="5">
        <f>71 / 86400</f>
        <v>8.2175925925925927E-4</v>
      </c>
      <c r="L170" s="5">
        <f>16167 / 86400</f>
        <v>0.18711805555555555</v>
      </c>
    </row>
    <row r="171" spans="1:12" x14ac:dyDescent="0.25">
      <c r="A171" s="3">
        <v>45708.21943287037</v>
      </c>
      <c r="B171" t="s">
        <v>27</v>
      </c>
      <c r="C171" s="3">
        <v>45708.220543981486</v>
      </c>
      <c r="D171" t="s">
        <v>27</v>
      </c>
      <c r="E171" s="4">
        <v>0.15989027154445648</v>
      </c>
      <c r="F171" s="4">
        <v>349238.59944738215</v>
      </c>
      <c r="G171" s="4">
        <v>349238.7593376537</v>
      </c>
      <c r="H171" s="5">
        <f t="shared" si="0"/>
        <v>0</v>
      </c>
      <c r="I171" t="s">
        <v>29</v>
      </c>
      <c r="J171" t="s">
        <v>32</v>
      </c>
      <c r="K171" s="5">
        <f>96 / 86400</f>
        <v>1.1111111111111111E-3</v>
      </c>
      <c r="L171" s="5">
        <f>20 / 86400</f>
        <v>2.3148148148148149E-4</v>
      </c>
    </row>
    <row r="172" spans="1:12" x14ac:dyDescent="0.25">
      <c r="A172" s="3">
        <v>45708.220775462964</v>
      </c>
      <c r="B172" t="s">
        <v>27</v>
      </c>
      <c r="C172" s="3">
        <v>45708.222708333335</v>
      </c>
      <c r="D172" t="s">
        <v>175</v>
      </c>
      <c r="E172" s="4">
        <v>0.76314566242694859</v>
      </c>
      <c r="F172" s="4">
        <v>349238.76202240918</v>
      </c>
      <c r="G172" s="4">
        <v>349239.52516807162</v>
      </c>
      <c r="H172" s="5">
        <f t="shared" si="0"/>
        <v>0</v>
      </c>
      <c r="I172" t="s">
        <v>134</v>
      </c>
      <c r="J172" t="s">
        <v>49</v>
      </c>
      <c r="K172" s="5">
        <f>167 / 86400</f>
        <v>1.9328703703703704E-3</v>
      </c>
      <c r="L172" s="5">
        <f>67 / 86400</f>
        <v>7.7546296296296293E-4</v>
      </c>
    </row>
    <row r="173" spans="1:12" x14ac:dyDescent="0.25">
      <c r="A173" s="3">
        <v>45708.223483796297</v>
      </c>
      <c r="B173" t="s">
        <v>175</v>
      </c>
      <c r="C173" s="3">
        <v>45708.224583333329</v>
      </c>
      <c r="D173" t="s">
        <v>176</v>
      </c>
      <c r="E173" s="4">
        <v>0.91326263463497159</v>
      </c>
      <c r="F173" s="4">
        <v>349239.53371795936</v>
      </c>
      <c r="G173" s="4">
        <v>349240.44698059396</v>
      </c>
      <c r="H173" s="5">
        <f t="shared" si="0"/>
        <v>0</v>
      </c>
      <c r="I173" t="s">
        <v>177</v>
      </c>
      <c r="J173" t="s">
        <v>178</v>
      </c>
      <c r="K173" s="5">
        <f>95 / 86400</f>
        <v>1.0995370370370371E-3</v>
      </c>
      <c r="L173" s="5">
        <f>20 / 86400</f>
        <v>2.3148148148148149E-4</v>
      </c>
    </row>
    <row r="174" spans="1:12" x14ac:dyDescent="0.25">
      <c r="A174" s="3">
        <v>45708.224814814814</v>
      </c>
      <c r="B174" t="s">
        <v>176</v>
      </c>
      <c r="C174" s="3">
        <v>45708.229444444441</v>
      </c>
      <c r="D174" t="s">
        <v>87</v>
      </c>
      <c r="E174" s="4">
        <v>4.6395883375406264</v>
      </c>
      <c r="F174" s="4">
        <v>349240.44919760566</v>
      </c>
      <c r="G174" s="4">
        <v>349245.08878594323</v>
      </c>
      <c r="H174" s="5">
        <f t="shared" si="0"/>
        <v>0</v>
      </c>
      <c r="I174" t="s">
        <v>179</v>
      </c>
      <c r="J174" t="s">
        <v>25</v>
      </c>
      <c r="K174" s="5">
        <f>400 / 86400</f>
        <v>4.6296296296296294E-3</v>
      </c>
      <c r="L174" s="5">
        <f>7 / 86400</f>
        <v>8.1018518518518516E-5</v>
      </c>
    </row>
    <row r="175" spans="1:12" x14ac:dyDescent="0.25">
      <c r="A175" s="3">
        <v>45708.229525462964</v>
      </c>
      <c r="B175" t="s">
        <v>87</v>
      </c>
      <c r="C175" s="3">
        <v>45708.232303240744</v>
      </c>
      <c r="D175" t="s">
        <v>39</v>
      </c>
      <c r="E175" s="4">
        <v>2.8444607420563699</v>
      </c>
      <c r="F175" s="4">
        <v>349245.09139534988</v>
      </c>
      <c r="G175" s="4">
        <v>349247.93585609191</v>
      </c>
      <c r="H175" s="5">
        <f t="shared" si="0"/>
        <v>0</v>
      </c>
      <c r="I175" t="s">
        <v>147</v>
      </c>
      <c r="J175" t="s">
        <v>180</v>
      </c>
      <c r="K175" s="5">
        <f>240 / 86400</f>
        <v>2.7777777777777779E-3</v>
      </c>
      <c r="L175" s="5">
        <f>318 / 86400</f>
        <v>3.6805555555555554E-3</v>
      </c>
    </row>
    <row r="176" spans="1:12" x14ac:dyDescent="0.25">
      <c r="A176" s="3">
        <v>45708.235983796301</v>
      </c>
      <c r="B176" t="s">
        <v>39</v>
      </c>
      <c r="C176" s="3">
        <v>45708.236215277779</v>
      </c>
      <c r="D176" t="s">
        <v>181</v>
      </c>
      <c r="E176" s="4">
        <v>3.4855856835842129E-2</v>
      </c>
      <c r="F176" s="4">
        <v>349247.94610953826</v>
      </c>
      <c r="G176" s="4">
        <v>349247.98096539511</v>
      </c>
      <c r="H176" s="5">
        <f t="shared" si="0"/>
        <v>0</v>
      </c>
      <c r="I176" t="s">
        <v>55</v>
      </c>
      <c r="J176" t="s">
        <v>32</v>
      </c>
      <c r="K176" s="5">
        <f>20 / 86400</f>
        <v>2.3148148148148149E-4</v>
      </c>
      <c r="L176" s="5">
        <f>34 / 86400</f>
        <v>3.9351851851851852E-4</v>
      </c>
    </row>
    <row r="177" spans="1:12" x14ac:dyDescent="0.25">
      <c r="A177" s="3">
        <v>45708.236608796295</v>
      </c>
      <c r="B177" t="s">
        <v>182</v>
      </c>
      <c r="C177" s="3">
        <v>45708.237384259264</v>
      </c>
      <c r="D177" t="s">
        <v>182</v>
      </c>
      <c r="E177" s="4">
        <v>4.3183687746524813E-2</v>
      </c>
      <c r="F177" s="4">
        <v>349247.99710520194</v>
      </c>
      <c r="G177" s="4">
        <v>349248.04028888972</v>
      </c>
      <c r="H177" s="5">
        <f t="shared" si="0"/>
        <v>0</v>
      </c>
      <c r="I177" t="s">
        <v>26</v>
      </c>
      <c r="J177" t="s">
        <v>136</v>
      </c>
      <c r="K177" s="5">
        <f>67 / 86400</f>
        <v>7.7546296296296293E-4</v>
      </c>
      <c r="L177" s="5">
        <f>80 / 86400</f>
        <v>9.2592592592592596E-4</v>
      </c>
    </row>
    <row r="178" spans="1:12" x14ac:dyDescent="0.25">
      <c r="A178" s="3">
        <v>45708.238310185188</v>
      </c>
      <c r="B178" t="s">
        <v>182</v>
      </c>
      <c r="C178" s="3">
        <v>45708.238773148143</v>
      </c>
      <c r="D178" t="s">
        <v>183</v>
      </c>
      <c r="E178" s="4">
        <v>0.24721755510568619</v>
      </c>
      <c r="F178" s="4">
        <v>349248.07159230369</v>
      </c>
      <c r="G178" s="4">
        <v>349248.31880985881</v>
      </c>
      <c r="H178" s="5">
        <f t="shared" si="0"/>
        <v>0</v>
      </c>
      <c r="I178" t="s">
        <v>160</v>
      </c>
      <c r="J178" t="s">
        <v>148</v>
      </c>
      <c r="K178" s="5">
        <f>40 / 86400</f>
        <v>4.6296296296296298E-4</v>
      </c>
      <c r="L178" s="5">
        <f>20 / 86400</f>
        <v>2.3148148148148149E-4</v>
      </c>
    </row>
    <row r="179" spans="1:12" x14ac:dyDescent="0.25">
      <c r="A179" s="3">
        <v>45708.239004629635</v>
      </c>
      <c r="B179" t="s">
        <v>183</v>
      </c>
      <c r="C179" s="3">
        <v>45708.240856481483</v>
      </c>
      <c r="D179" t="s">
        <v>184</v>
      </c>
      <c r="E179" s="4">
        <v>1.4184445414543152</v>
      </c>
      <c r="F179" s="4">
        <v>349248.3231815722</v>
      </c>
      <c r="G179" s="4">
        <v>349249.74162611365</v>
      </c>
      <c r="H179" s="5">
        <f t="shared" si="0"/>
        <v>0</v>
      </c>
      <c r="I179" t="s">
        <v>185</v>
      </c>
      <c r="J179" t="s">
        <v>164</v>
      </c>
      <c r="K179" s="5">
        <f>160 / 86400</f>
        <v>1.8518518518518519E-3</v>
      </c>
      <c r="L179" s="5">
        <f>20 / 86400</f>
        <v>2.3148148148148149E-4</v>
      </c>
    </row>
    <row r="180" spans="1:12" x14ac:dyDescent="0.25">
      <c r="A180" s="3">
        <v>45708.241087962961</v>
      </c>
      <c r="B180" t="s">
        <v>184</v>
      </c>
      <c r="C180" s="3">
        <v>45708.244097222225</v>
      </c>
      <c r="D180" t="s">
        <v>186</v>
      </c>
      <c r="E180" s="4">
        <v>2.4164555281996729</v>
      </c>
      <c r="F180" s="4">
        <v>349249.74513636727</v>
      </c>
      <c r="G180" s="4">
        <v>349252.16159189545</v>
      </c>
      <c r="H180" s="5">
        <f t="shared" si="0"/>
        <v>0</v>
      </c>
      <c r="I180" t="s">
        <v>187</v>
      </c>
      <c r="J180" t="s">
        <v>31</v>
      </c>
      <c r="K180" s="5">
        <f>260 / 86400</f>
        <v>3.0092592592592593E-3</v>
      </c>
      <c r="L180" s="5">
        <f>40 / 86400</f>
        <v>4.6296296296296298E-4</v>
      </c>
    </row>
    <row r="181" spans="1:12" x14ac:dyDescent="0.25">
      <c r="A181" s="3">
        <v>45708.244560185187</v>
      </c>
      <c r="B181" t="s">
        <v>186</v>
      </c>
      <c r="C181" s="3">
        <v>45708.245023148149</v>
      </c>
      <c r="D181" t="s">
        <v>188</v>
      </c>
      <c r="E181" s="4">
        <v>3.0245109498500823E-2</v>
      </c>
      <c r="F181" s="4">
        <v>349252.17622520955</v>
      </c>
      <c r="G181" s="4">
        <v>349252.20647031901</v>
      </c>
      <c r="H181" s="5">
        <f t="shared" si="0"/>
        <v>0</v>
      </c>
      <c r="I181" t="s">
        <v>136</v>
      </c>
      <c r="J181" t="s">
        <v>135</v>
      </c>
      <c r="K181" s="5">
        <f>40 / 86400</f>
        <v>4.6296296296296298E-4</v>
      </c>
      <c r="L181" s="5">
        <f>100 / 86400</f>
        <v>1.1574074074074073E-3</v>
      </c>
    </row>
    <row r="182" spans="1:12" x14ac:dyDescent="0.25">
      <c r="A182" s="3">
        <v>45708.24618055555</v>
      </c>
      <c r="B182" t="s">
        <v>188</v>
      </c>
      <c r="C182" s="3">
        <v>45708.246874999997</v>
      </c>
      <c r="D182" t="s">
        <v>186</v>
      </c>
      <c r="E182" s="4">
        <v>0.43609735840559005</v>
      </c>
      <c r="F182" s="4">
        <v>349252.23588662391</v>
      </c>
      <c r="G182" s="4">
        <v>349252.67198398232</v>
      </c>
      <c r="H182" s="5">
        <f t="shared" si="0"/>
        <v>0</v>
      </c>
      <c r="I182" t="s">
        <v>139</v>
      </c>
      <c r="J182" t="s">
        <v>189</v>
      </c>
      <c r="K182" s="5">
        <f>60 / 86400</f>
        <v>6.9444444444444447E-4</v>
      </c>
      <c r="L182" s="5">
        <f>100 / 86400</f>
        <v>1.1574074074074073E-3</v>
      </c>
    </row>
    <row r="183" spans="1:12" x14ac:dyDescent="0.25">
      <c r="A183" s="3">
        <v>45708.248032407406</v>
      </c>
      <c r="B183" t="s">
        <v>186</v>
      </c>
      <c r="C183" s="3">
        <v>45708.248263888891</v>
      </c>
      <c r="D183" t="s">
        <v>186</v>
      </c>
      <c r="E183" s="4">
        <v>0.25092679822444913</v>
      </c>
      <c r="F183" s="4">
        <v>349252.77317294385</v>
      </c>
      <c r="G183" s="4">
        <v>349253.02409974206</v>
      </c>
      <c r="H183" s="5">
        <f t="shared" si="0"/>
        <v>0</v>
      </c>
      <c r="I183" t="s">
        <v>190</v>
      </c>
      <c r="J183" t="s">
        <v>190</v>
      </c>
      <c r="K183" s="5">
        <f>20 / 86400</f>
        <v>2.3148148148148149E-4</v>
      </c>
      <c r="L183" s="5">
        <f>20 / 86400</f>
        <v>2.3148148148148149E-4</v>
      </c>
    </row>
    <row r="184" spans="1:12" x14ac:dyDescent="0.25">
      <c r="A184" s="3">
        <v>45708.248495370368</v>
      </c>
      <c r="B184" t="s">
        <v>186</v>
      </c>
      <c r="C184" s="3">
        <v>45708.249884259261</v>
      </c>
      <c r="D184" t="s">
        <v>84</v>
      </c>
      <c r="E184" s="4">
        <v>1.0101909369230271</v>
      </c>
      <c r="F184" s="4">
        <v>349253.20699365699</v>
      </c>
      <c r="G184" s="4">
        <v>349254.2171845939</v>
      </c>
      <c r="H184" s="5">
        <f t="shared" si="0"/>
        <v>0</v>
      </c>
      <c r="I184" t="s">
        <v>172</v>
      </c>
      <c r="J184" t="s">
        <v>54</v>
      </c>
      <c r="K184" s="5">
        <f>120 / 86400</f>
        <v>1.3888888888888889E-3</v>
      </c>
      <c r="L184" s="5">
        <f>15 / 86400</f>
        <v>1.7361111111111112E-4</v>
      </c>
    </row>
    <row r="185" spans="1:12" x14ac:dyDescent="0.25">
      <c r="A185" s="3">
        <v>45708.250057870369</v>
      </c>
      <c r="B185" t="s">
        <v>191</v>
      </c>
      <c r="C185" s="3">
        <v>45708.251446759255</v>
      </c>
      <c r="D185" t="s">
        <v>191</v>
      </c>
      <c r="E185" s="4">
        <v>1.2465456729531288</v>
      </c>
      <c r="F185" s="4">
        <v>349254.22343572293</v>
      </c>
      <c r="G185" s="4">
        <v>349255.46998139587</v>
      </c>
      <c r="H185" s="5">
        <f t="shared" si="0"/>
        <v>0</v>
      </c>
      <c r="I185" t="s">
        <v>130</v>
      </c>
      <c r="J185" t="s">
        <v>192</v>
      </c>
      <c r="K185" s="5">
        <f>120 / 86400</f>
        <v>1.3888888888888889E-3</v>
      </c>
      <c r="L185" s="5">
        <f>28 / 86400</f>
        <v>3.2407407407407406E-4</v>
      </c>
    </row>
    <row r="186" spans="1:12" x14ac:dyDescent="0.25">
      <c r="A186" s="3">
        <v>45708.251770833333</v>
      </c>
      <c r="B186" t="s">
        <v>191</v>
      </c>
      <c r="C186" s="3">
        <v>45708.252233796295</v>
      </c>
      <c r="D186" t="s">
        <v>191</v>
      </c>
      <c r="E186" s="4">
        <v>6.8081216931343072E-2</v>
      </c>
      <c r="F186" s="4">
        <v>349255.48380476353</v>
      </c>
      <c r="G186" s="4">
        <v>349255.55188598047</v>
      </c>
      <c r="H186" s="5">
        <f t="shared" si="0"/>
        <v>0</v>
      </c>
      <c r="I186" t="s">
        <v>32</v>
      </c>
      <c r="J186" t="s">
        <v>32</v>
      </c>
      <c r="K186" s="5">
        <f>40 / 86400</f>
        <v>4.6296296296296298E-4</v>
      </c>
      <c r="L186" s="5">
        <f>40 / 86400</f>
        <v>4.6296296296296298E-4</v>
      </c>
    </row>
    <row r="187" spans="1:12" x14ac:dyDescent="0.25">
      <c r="A187" s="3">
        <v>45708.252696759257</v>
      </c>
      <c r="B187" t="s">
        <v>191</v>
      </c>
      <c r="C187" s="3">
        <v>45708.253854166665</v>
      </c>
      <c r="D187" t="s">
        <v>191</v>
      </c>
      <c r="E187" s="4">
        <v>0.88087537807226179</v>
      </c>
      <c r="F187" s="4">
        <v>349255.55801416497</v>
      </c>
      <c r="G187" s="4">
        <v>349256.43888954306</v>
      </c>
      <c r="H187" s="5">
        <f t="shared" si="0"/>
        <v>0</v>
      </c>
      <c r="I187" t="s">
        <v>179</v>
      </c>
      <c r="J187" t="s">
        <v>164</v>
      </c>
      <c r="K187" s="5">
        <f>100 / 86400</f>
        <v>1.1574074074074073E-3</v>
      </c>
      <c r="L187" s="5">
        <f>20 / 86400</f>
        <v>2.3148148148148149E-4</v>
      </c>
    </row>
    <row r="188" spans="1:12" x14ac:dyDescent="0.25">
      <c r="A188" s="3">
        <v>45708.25408564815</v>
      </c>
      <c r="B188" t="s">
        <v>191</v>
      </c>
      <c r="C188" s="3">
        <v>45708.254317129627</v>
      </c>
      <c r="D188" t="s">
        <v>191</v>
      </c>
      <c r="E188" s="4">
        <v>5.1743076741695405E-2</v>
      </c>
      <c r="F188" s="4">
        <v>349256.43966569559</v>
      </c>
      <c r="G188" s="4">
        <v>349256.49140877236</v>
      </c>
      <c r="H188" s="5">
        <f t="shared" si="0"/>
        <v>0</v>
      </c>
      <c r="I188" t="s">
        <v>143</v>
      </c>
      <c r="J188" t="s">
        <v>137</v>
      </c>
      <c r="K188" s="5">
        <f>20 / 86400</f>
        <v>2.3148148148148149E-4</v>
      </c>
      <c r="L188" s="5">
        <f>20 / 86400</f>
        <v>2.3148148148148149E-4</v>
      </c>
    </row>
    <row r="189" spans="1:12" x14ac:dyDescent="0.25">
      <c r="A189" s="3">
        <v>45708.254548611112</v>
      </c>
      <c r="B189" t="s">
        <v>191</v>
      </c>
      <c r="C189" s="3">
        <v>45708.254780092597</v>
      </c>
      <c r="D189" t="s">
        <v>191</v>
      </c>
      <c r="E189" s="4">
        <v>1.633498787879944E-3</v>
      </c>
      <c r="F189" s="4">
        <v>349256.53629505902</v>
      </c>
      <c r="G189" s="4">
        <v>349256.53792855784</v>
      </c>
      <c r="H189" s="5">
        <f t="shared" si="0"/>
        <v>0</v>
      </c>
      <c r="I189" t="s">
        <v>136</v>
      </c>
      <c r="J189" t="s">
        <v>22</v>
      </c>
      <c r="K189" s="5">
        <f>20 / 86400</f>
        <v>2.3148148148148149E-4</v>
      </c>
      <c r="L189" s="5">
        <f>6 / 86400</f>
        <v>6.9444444444444444E-5</v>
      </c>
    </row>
    <row r="190" spans="1:12" x14ac:dyDescent="0.25">
      <c r="A190" s="3">
        <v>45708.254849537036</v>
      </c>
      <c r="B190" t="s">
        <v>191</v>
      </c>
      <c r="C190" s="3">
        <v>45708.261793981481</v>
      </c>
      <c r="D190" t="s">
        <v>98</v>
      </c>
      <c r="E190" s="4">
        <v>5.4256365851759911</v>
      </c>
      <c r="F190" s="4">
        <v>349256.53977500903</v>
      </c>
      <c r="G190" s="4">
        <v>349261.9654115942</v>
      </c>
      <c r="H190" s="5">
        <f t="shared" si="0"/>
        <v>0</v>
      </c>
      <c r="I190" t="s">
        <v>37</v>
      </c>
      <c r="J190" t="s">
        <v>31</v>
      </c>
      <c r="K190" s="5">
        <f>600 / 86400</f>
        <v>6.9444444444444441E-3</v>
      </c>
      <c r="L190" s="5">
        <f>40 / 86400</f>
        <v>4.6296296296296298E-4</v>
      </c>
    </row>
    <row r="191" spans="1:12" x14ac:dyDescent="0.25">
      <c r="A191" s="3">
        <v>45708.262256944443</v>
      </c>
      <c r="B191" t="s">
        <v>98</v>
      </c>
      <c r="C191" s="3">
        <v>45708.2652662037</v>
      </c>
      <c r="D191" t="s">
        <v>166</v>
      </c>
      <c r="E191" s="4">
        <v>1.9327510094642639</v>
      </c>
      <c r="F191" s="4">
        <v>349262.09729960642</v>
      </c>
      <c r="G191" s="4">
        <v>349264.0300506159</v>
      </c>
      <c r="H191" s="5">
        <f t="shared" si="0"/>
        <v>0</v>
      </c>
      <c r="I191" t="s">
        <v>130</v>
      </c>
      <c r="J191" t="s">
        <v>150</v>
      </c>
      <c r="K191" s="5">
        <f>260 / 86400</f>
        <v>3.0092592592592593E-3</v>
      </c>
      <c r="L191" s="5">
        <f>20 / 86400</f>
        <v>2.3148148148148149E-4</v>
      </c>
    </row>
    <row r="192" spans="1:12" x14ac:dyDescent="0.25">
      <c r="A192" s="3">
        <v>45708.265497685185</v>
      </c>
      <c r="B192" t="s">
        <v>166</v>
      </c>
      <c r="C192" s="3">
        <v>45708.266423611116</v>
      </c>
      <c r="D192" t="s">
        <v>193</v>
      </c>
      <c r="E192" s="4">
        <v>0.27598073798418044</v>
      </c>
      <c r="F192" s="4">
        <v>349264.04131558223</v>
      </c>
      <c r="G192" s="4">
        <v>349264.31729632022</v>
      </c>
      <c r="H192" s="5">
        <f t="shared" si="0"/>
        <v>0</v>
      </c>
      <c r="I192" t="s">
        <v>20</v>
      </c>
      <c r="J192" t="s">
        <v>65</v>
      </c>
      <c r="K192" s="5">
        <f>80 / 86400</f>
        <v>9.2592592592592596E-4</v>
      </c>
      <c r="L192" s="5">
        <f>20 / 86400</f>
        <v>2.3148148148148149E-4</v>
      </c>
    </row>
    <row r="193" spans="1:12" x14ac:dyDescent="0.25">
      <c r="A193" s="3">
        <v>45708.266655092593</v>
      </c>
      <c r="B193" t="s">
        <v>194</v>
      </c>
      <c r="C193" s="3">
        <v>45708.266886574071</v>
      </c>
      <c r="D193" t="s">
        <v>194</v>
      </c>
      <c r="E193" s="4">
        <v>1.4625344038009644E-2</v>
      </c>
      <c r="F193" s="4">
        <v>349264.32846518117</v>
      </c>
      <c r="G193" s="4">
        <v>349264.34309052519</v>
      </c>
      <c r="H193" s="5">
        <f t="shared" si="0"/>
        <v>0</v>
      </c>
      <c r="I193" t="s">
        <v>145</v>
      </c>
      <c r="J193" t="s">
        <v>135</v>
      </c>
      <c r="K193" s="5">
        <f>20 / 86400</f>
        <v>2.3148148148148149E-4</v>
      </c>
      <c r="L193" s="5">
        <f>40 / 86400</f>
        <v>4.6296296296296298E-4</v>
      </c>
    </row>
    <row r="194" spans="1:12" x14ac:dyDescent="0.25">
      <c r="A194" s="3">
        <v>45708.26734953704</v>
      </c>
      <c r="B194" t="s">
        <v>167</v>
      </c>
      <c r="C194" s="3">
        <v>45708.268078703702</v>
      </c>
      <c r="D194" t="s">
        <v>195</v>
      </c>
      <c r="E194" s="4">
        <v>3.1782781064510345E-2</v>
      </c>
      <c r="F194" s="4">
        <v>349264.35779679549</v>
      </c>
      <c r="G194" s="4">
        <v>349264.38957957656</v>
      </c>
      <c r="H194" s="5">
        <f t="shared" si="0"/>
        <v>0</v>
      </c>
      <c r="I194" t="s">
        <v>32</v>
      </c>
      <c r="J194" t="s">
        <v>136</v>
      </c>
      <c r="K194" s="5">
        <f>63 / 86400</f>
        <v>7.291666666666667E-4</v>
      </c>
      <c r="L194" s="5">
        <f>20 / 86400</f>
        <v>2.3148148148148149E-4</v>
      </c>
    </row>
    <row r="195" spans="1:12" x14ac:dyDescent="0.25">
      <c r="A195" s="3">
        <v>45708.268310185187</v>
      </c>
      <c r="B195" t="s">
        <v>196</v>
      </c>
      <c r="C195" s="3">
        <v>45708.269247685181</v>
      </c>
      <c r="D195" t="s">
        <v>167</v>
      </c>
      <c r="E195" s="4">
        <v>0.11364275228977204</v>
      </c>
      <c r="F195" s="4">
        <v>349264.39762286271</v>
      </c>
      <c r="G195" s="4">
        <v>349264.511265615</v>
      </c>
      <c r="H195" s="5">
        <f t="shared" si="0"/>
        <v>0</v>
      </c>
      <c r="I195" t="s">
        <v>26</v>
      </c>
      <c r="J195" t="s">
        <v>55</v>
      </c>
      <c r="K195" s="5">
        <f>81 / 86400</f>
        <v>9.3749999999999997E-4</v>
      </c>
      <c r="L195" s="5">
        <f>20 / 86400</f>
        <v>2.3148148148148149E-4</v>
      </c>
    </row>
    <row r="196" spans="1:12" x14ac:dyDescent="0.25">
      <c r="A196" s="3">
        <v>45708.269479166665</v>
      </c>
      <c r="B196" t="s">
        <v>167</v>
      </c>
      <c r="C196" s="3">
        <v>45708.269849537042</v>
      </c>
      <c r="D196" t="s">
        <v>133</v>
      </c>
      <c r="E196" s="4">
        <v>5.9052381217479709E-2</v>
      </c>
      <c r="F196" s="4">
        <v>349264.52381056198</v>
      </c>
      <c r="G196" s="4">
        <v>349264.58286294318</v>
      </c>
      <c r="H196" s="5">
        <f t="shared" si="0"/>
        <v>0</v>
      </c>
      <c r="I196" t="s">
        <v>97</v>
      </c>
      <c r="J196" t="s">
        <v>26</v>
      </c>
      <c r="K196" s="5">
        <f>32 / 86400</f>
        <v>3.7037037037037035E-4</v>
      </c>
      <c r="L196" s="5">
        <f>20 / 86400</f>
        <v>2.3148148148148149E-4</v>
      </c>
    </row>
    <row r="197" spans="1:12" x14ac:dyDescent="0.25">
      <c r="A197" s="3">
        <v>45708.27008101852</v>
      </c>
      <c r="B197" t="s">
        <v>133</v>
      </c>
      <c r="C197" s="3">
        <v>45708.270902777775</v>
      </c>
      <c r="D197" t="s">
        <v>167</v>
      </c>
      <c r="E197" s="4">
        <v>7.259116011857987E-2</v>
      </c>
      <c r="F197" s="4">
        <v>349264.60425955505</v>
      </c>
      <c r="G197" s="4">
        <v>349264.67685071519</v>
      </c>
      <c r="H197" s="5">
        <f t="shared" si="0"/>
        <v>0</v>
      </c>
      <c r="I197" t="s">
        <v>26</v>
      </c>
      <c r="J197" t="s">
        <v>143</v>
      </c>
      <c r="K197" s="5">
        <f>71 / 86400</f>
        <v>8.2175925925925927E-4</v>
      </c>
      <c r="L197" s="5">
        <f>60 / 86400</f>
        <v>6.9444444444444447E-4</v>
      </c>
    </row>
    <row r="198" spans="1:12" x14ac:dyDescent="0.25">
      <c r="A198" s="3">
        <v>45708.271597222221</v>
      </c>
      <c r="B198" t="s">
        <v>197</v>
      </c>
      <c r="C198" s="3">
        <v>45708.272060185191</v>
      </c>
      <c r="D198" t="s">
        <v>196</v>
      </c>
      <c r="E198" s="4">
        <v>6.4422628462314599E-2</v>
      </c>
      <c r="F198" s="4">
        <v>349264.69760066865</v>
      </c>
      <c r="G198" s="4">
        <v>349264.76202329714</v>
      </c>
      <c r="H198" s="5">
        <f t="shared" si="0"/>
        <v>0</v>
      </c>
      <c r="I198" t="s">
        <v>55</v>
      </c>
      <c r="J198" t="s">
        <v>32</v>
      </c>
      <c r="K198" s="5">
        <f>40 / 86400</f>
        <v>4.6296296296296298E-4</v>
      </c>
      <c r="L198" s="5">
        <f>58 / 86400</f>
        <v>6.7129629629629625E-4</v>
      </c>
    </row>
    <row r="199" spans="1:12" x14ac:dyDescent="0.25">
      <c r="A199" s="3">
        <v>45708.272731481484</v>
      </c>
      <c r="B199" t="s">
        <v>167</v>
      </c>
      <c r="C199" s="3">
        <v>45708.274583333332</v>
      </c>
      <c r="D199" t="s">
        <v>167</v>
      </c>
      <c r="E199" s="4">
        <v>1.2577277878522872</v>
      </c>
      <c r="F199" s="4">
        <v>349264.77604467841</v>
      </c>
      <c r="G199" s="4">
        <v>349266.03377246624</v>
      </c>
      <c r="H199" s="5">
        <f t="shared" si="0"/>
        <v>0</v>
      </c>
      <c r="I199" t="s">
        <v>33</v>
      </c>
      <c r="J199" t="s">
        <v>162</v>
      </c>
      <c r="K199" s="5">
        <f>160 / 86400</f>
        <v>1.8518518518518519E-3</v>
      </c>
      <c r="L199" s="5">
        <f>40 / 86400</f>
        <v>4.6296296296296298E-4</v>
      </c>
    </row>
    <row r="200" spans="1:12" x14ac:dyDescent="0.25">
      <c r="A200" s="3">
        <v>45708.275046296301</v>
      </c>
      <c r="B200" t="s">
        <v>167</v>
      </c>
      <c r="C200" s="3">
        <v>45708.275277777779</v>
      </c>
      <c r="D200" t="s">
        <v>167</v>
      </c>
      <c r="E200" s="4">
        <v>8.0347466468811031E-3</v>
      </c>
      <c r="F200" s="4">
        <v>349266.0532769807</v>
      </c>
      <c r="G200" s="4">
        <v>349266.06131172733</v>
      </c>
      <c r="H200" s="5">
        <f t="shared" si="0"/>
        <v>0</v>
      </c>
      <c r="I200" t="s">
        <v>55</v>
      </c>
      <c r="J200" t="s">
        <v>145</v>
      </c>
      <c r="K200" s="5">
        <f>20 / 86400</f>
        <v>2.3148148148148149E-4</v>
      </c>
      <c r="L200" s="5">
        <f>26 / 86400</f>
        <v>3.0092592592592595E-4</v>
      </c>
    </row>
    <row r="201" spans="1:12" x14ac:dyDescent="0.25">
      <c r="A201" s="3">
        <v>45708.275578703702</v>
      </c>
      <c r="B201" t="s">
        <v>167</v>
      </c>
      <c r="C201" s="3">
        <v>45708.276041666672</v>
      </c>
      <c r="D201" t="s">
        <v>198</v>
      </c>
      <c r="E201" s="4">
        <v>0.13224714142084121</v>
      </c>
      <c r="F201" s="4">
        <v>349266.06636217545</v>
      </c>
      <c r="G201" s="4">
        <v>349266.1986093169</v>
      </c>
      <c r="H201" s="5">
        <f t="shared" si="0"/>
        <v>0</v>
      </c>
      <c r="I201" t="s">
        <v>20</v>
      </c>
      <c r="J201" t="s">
        <v>65</v>
      </c>
      <c r="K201" s="5">
        <f>40 / 86400</f>
        <v>4.6296296296296298E-4</v>
      </c>
      <c r="L201" s="5">
        <f>40 / 86400</f>
        <v>4.6296296296296298E-4</v>
      </c>
    </row>
    <row r="202" spans="1:12" x14ac:dyDescent="0.25">
      <c r="A202" s="3">
        <v>45708.276504629626</v>
      </c>
      <c r="B202" t="s">
        <v>167</v>
      </c>
      <c r="C202" s="3">
        <v>45708.281828703708</v>
      </c>
      <c r="D202" t="s">
        <v>199</v>
      </c>
      <c r="E202" s="4">
        <v>3.5156702747941018</v>
      </c>
      <c r="F202" s="4">
        <v>349266.24575197388</v>
      </c>
      <c r="G202" s="4">
        <v>349269.76142224867</v>
      </c>
      <c r="H202" s="5">
        <f t="shared" si="0"/>
        <v>0</v>
      </c>
      <c r="I202" t="s">
        <v>130</v>
      </c>
      <c r="J202" t="s">
        <v>162</v>
      </c>
      <c r="K202" s="5">
        <f>460 / 86400</f>
        <v>5.324074074074074E-3</v>
      </c>
      <c r="L202" s="5">
        <f>20 / 86400</f>
        <v>2.3148148148148149E-4</v>
      </c>
    </row>
    <row r="203" spans="1:12" x14ac:dyDescent="0.25">
      <c r="A203" s="3">
        <v>45708.282060185185</v>
      </c>
      <c r="B203" t="s">
        <v>199</v>
      </c>
      <c r="C203" s="3">
        <v>45708.283159722225</v>
      </c>
      <c r="D203" t="s">
        <v>200</v>
      </c>
      <c r="E203" s="4">
        <v>0.40136586976051331</v>
      </c>
      <c r="F203" s="4">
        <v>349269.76232908096</v>
      </c>
      <c r="G203" s="4">
        <v>349270.16369495069</v>
      </c>
      <c r="H203" s="5">
        <f t="shared" si="0"/>
        <v>0</v>
      </c>
      <c r="I203" t="s">
        <v>201</v>
      </c>
      <c r="J203" t="s">
        <v>44</v>
      </c>
      <c r="K203" s="5">
        <f>95 / 86400</f>
        <v>1.0995370370370371E-3</v>
      </c>
      <c r="L203" s="5">
        <f>102 / 86400</f>
        <v>1.1805555555555556E-3</v>
      </c>
    </row>
    <row r="204" spans="1:12" x14ac:dyDescent="0.25">
      <c r="A204" s="3">
        <v>45708.28434027778</v>
      </c>
      <c r="B204" t="s">
        <v>200</v>
      </c>
      <c r="C204" s="3">
        <v>45708.28628472222</v>
      </c>
      <c r="D204" t="s">
        <v>202</v>
      </c>
      <c r="E204" s="4">
        <v>0.88434380471706386</v>
      </c>
      <c r="F204" s="4">
        <v>349270.1836751544</v>
      </c>
      <c r="G204" s="4">
        <v>349271.06801895908</v>
      </c>
      <c r="H204" s="5">
        <f t="shared" si="0"/>
        <v>0</v>
      </c>
      <c r="I204" t="s">
        <v>203</v>
      </c>
      <c r="J204" t="s">
        <v>68</v>
      </c>
      <c r="K204" s="5">
        <f>168 / 86400</f>
        <v>1.9444444444444444E-3</v>
      </c>
      <c r="L204" s="5">
        <f>60 / 86400</f>
        <v>6.9444444444444447E-4</v>
      </c>
    </row>
    <row r="205" spans="1:12" x14ac:dyDescent="0.25">
      <c r="A205" s="3">
        <v>45708.286979166667</v>
      </c>
      <c r="B205" t="s">
        <v>202</v>
      </c>
      <c r="C205" s="3">
        <v>45708.287442129629</v>
      </c>
      <c r="D205" t="s">
        <v>204</v>
      </c>
      <c r="E205" s="4">
        <v>0.16491817742586135</v>
      </c>
      <c r="F205" s="4">
        <v>349271.11207622761</v>
      </c>
      <c r="G205" s="4">
        <v>349271.27699440502</v>
      </c>
      <c r="H205" s="5">
        <f t="shared" si="0"/>
        <v>0</v>
      </c>
      <c r="I205" t="s">
        <v>157</v>
      </c>
      <c r="J205" t="s">
        <v>44</v>
      </c>
      <c r="K205" s="5">
        <f>40 / 86400</f>
        <v>4.6296296296296298E-4</v>
      </c>
      <c r="L205" s="5">
        <f>32 / 86400</f>
        <v>3.7037037037037035E-4</v>
      </c>
    </row>
    <row r="206" spans="1:12" x14ac:dyDescent="0.25">
      <c r="A206" s="3">
        <v>45708.287812499999</v>
      </c>
      <c r="B206" t="s">
        <v>205</v>
      </c>
      <c r="C206" s="3">
        <v>45708.288043981476</v>
      </c>
      <c r="D206" t="s">
        <v>205</v>
      </c>
      <c r="E206" s="4">
        <v>1.0522991299629211E-2</v>
      </c>
      <c r="F206" s="4">
        <v>349271.36177954479</v>
      </c>
      <c r="G206" s="4">
        <v>349271.3723025361</v>
      </c>
      <c r="H206" s="5">
        <f t="shared" si="0"/>
        <v>0</v>
      </c>
      <c r="I206" t="s">
        <v>55</v>
      </c>
      <c r="J206" t="s">
        <v>136</v>
      </c>
      <c r="K206" s="5">
        <f>20 / 86400</f>
        <v>2.3148148148148149E-4</v>
      </c>
      <c r="L206" s="5">
        <f>20 / 86400</f>
        <v>2.3148148148148149E-4</v>
      </c>
    </row>
    <row r="207" spans="1:12" x14ac:dyDescent="0.25">
      <c r="A207" s="3">
        <v>45708.288275462968</v>
      </c>
      <c r="B207" t="s">
        <v>205</v>
      </c>
      <c r="C207" s="3">
        <v>45708.289456018523</v>
      </c>
      <c r="D207" t="s">
        <v>70</v>
      </c>
      <c r="E207" s="4">
        <v>0.45378018760681155</v>
      </c>
      <c r="F207" s="4">
        <v>349271.3736196548</v>
      </c>
      <c r="G207" s="4">
        <v>349271.82739984238</v>
      </c>
      <c r="H207" s="5">
        <f t="shared" si="0"/>
        <v>0</v>
      </c>
      <c r="I207" t="s">
        <v>162</v>
      </c>
      <c r="J207" t="s">
        <v>49</v>
      </c>
      <c r="K207" s="5">
        <f>102 / 86400</f>
        <v>1.1805555555555556E-3</v>
      </c>
      <c r="L207" s="5">
        <f>17 / 86400</f>
        <v>1.9675925925925926E-4</v>
      </c>
    </row>
    <row r="208" spans="1:12" x14ac:dyDescent="0.25">
      <c r="A208" s="3">
        <v>45708.289652777778</v>
      </c>
      <c r="B208" t="s">
        <v>70</v>
      </c>
      <c r="C208" s="3">
        <v>45708.293946759259</v>
      </c>
      <c r="D208" t="s">
        <v>206</v>
      </c>
      <c r="E208" s="4">
        <v>2.0170448321700096</v>
      </c>
      <c r="F208" s="4">
        <v>349271.8331051197</v>
      </c>
      <c r="G208" s="4">
        <v>349273.85014995188</v>
      </c>
      <c r="H208" s="5">
        <f t="shared" si="0"/>
        <v>0</v>
      </c>
      <c r="I208" t="s">
        <v>207</v>
      </c>
      <c r="J208" t="s">
        <v>131</v>
      </c>
      <c r="K208" s="5">
        <f>371 / 86400</f>
        <v>4.2939814814814811E-3</v>
      </c>
      <c r="L208" s="5">
        <f>79 / 86400</f>
        <v>9.1435185185185185E-4</v>
      </c>
    </row>
    <row r="209" spans="1:12" x14ac:dyDescent="0.25">
      <c r="A209" s="3">
        <v>45708.294861111106</v>
      </c>
      <c r="B209" t="s">
        <v>208</v>
      </c>
      <c r="C209" s="3">
        <v>45708.296840277777</v>
      </c>
      <c r="D209" t="s">
        <v>209</v>
      </c>
      <c r="E209" s="4">
        <v>0.74553885746002202</v>
      </c>
      <c r="F209" s="4">
        <v>349273.8748062888</v>
      </c>
      <c r="G209" s="4">
        <v>349274.62034514622</v>
      </c>
      <c r="H209" s="5">
        <f t="shared" si="0"/>
        <v>0</v>
      </c>
      <c r="I209" t="s">
        <v>201</v>
      </c>
      <c r="J209" t="s">
        <v>49</v>
      </c>
      <c r="K209" s="5">
        <f>171 / 86400</f>
        <v>1.9791666666666668E-3</v>
      </c>
      <c r="L209" s="5">
        <f>20 / 86400</f>
        <v>2.3148148148148149E-4</v>
      </c>
    </row>
    <row r="210" spans="1:12" x14ac:dyDescent="0.25">
      <c r="A210" s="3">
        <v>45708.297071759254</v>
      </c>
      <c r="B210" t="s">
        <v>209</v>
      </c>
      <c r="C210" s="3">
        <v>45708.299988425926</v>
      </c>
      <c r="D210" t="s">
        <v>210</v>
      </c>
      <c r="E210" s="4">
        <v>0.91119373822212224</v>
      </c>
      <c r="F210" s="4">
        <v>349274.84656459623</v>
      </c>
      <c r="G210" s="4">
        <v>349275.75775833445</v>
      </c>
      <c r="H210" s="5">
        <f t="shared" si="0"/>
        <v>0</v>
      </c>
      <c r="I210" t="s">
        <v>25</v>
      </c>
      <c r="J210" t="s">
        <v>29</v>
      </c>
      <c r="K210" s="5">
        <f>252 / 86400</f>
        <v>2.9166666666666668E-3</v>
      </c>
      <c r="L210" s="5">
        <f>20 / 86400</f>
        <v>2.3148148148148149E-4</v>
      </c>
    </row>
    <row r="211" spans="1:12" x14ac:dyDescent="0.25">
      <c r="A211" s="3">
        <v>45708.300219907411</v>
      </c>
      <c r="B211" t="s">
        <v>210</v>
      </c>
      <c r="C211" s="3">
        <v>45708.303946759261</v>
      </c>
      <c r="D211" t="s">
        <v>211</v>
      </c>
      <c r="E211" s="4">
        <v>0.67521857988834377</v>
      </c>
      <c r="F211" s="4">
        <v>349275.76177550032</v>
      </c>
      <c r="G211" s="4">
        <v>349276.4369940802</v>
      </c>
      <c r="H211" s="5">
        <f t="shared" si="0"/>
        <v>0</v>
      </c>
      <c r="I211" t="s">
        <v>131</v>
      </c>
      <c r="J211" t="s">
        <v>168</v>
      </c>
      <c r="K211" s="5">
        <f>322 / 86400</f>
        <v>3.7268518518518519E-3</v>
      </c>
      <c r="L211" s="5">
        <f>43 / 86400</f>
        <v>4.9768518518518521E-4</v>
      </c>
    </row>
    <row r="212" spans="1:12" x14ac:dyDescent="0.25">
      <c r="A212" s="3">
        <v>45708.304444444446</v>
      </c>
      <c r="B212" t="s">
        <v>211</v>
      </c>
      <c r="C212" s="3">
        <v>45708.307222222225</v>
      </c>
      <c r="D212" t="s">
        <v>212</v>
      </c>
      <c r="E212" s="4">
        <v>0.89008944028615955</v>
      </c>
      <c r="F212" s="4">
        <v>349276.45232008619</v>
      </c>
      <c r="G212" s="4">
        <v>349277.34240952646</v>
      </c>
      <c r="H212" s="5">
        <f t="shared" si="0"/>
        <v>0</v>
      </c>
      <c r="I212" t="s">
        <v>180</v>
      </c>
      <c r="J212" t="s">
        <v>29</v>
      </c>
      <c r="K212" s="5">
        <f>240 / 86400</f>
        <v>2.7777777777777779E-3</v>
      </c>
      <c r="L212" s="5">
        <f>14 / 86400</f>
        <v>1.6203703703703703E-4</v>
      </c>
    </row>
    <row r="213" spans="1:12" x14ac:dyDescent="0.25">
      <c r="A213" s="3">
        <v>45708.307384259257</v>
      </c>
      <c r="B213" t="s">
        <v>212</v>
      </c>
      <c r="C213" s="3">
        <v>45708.309687500005</v>
      </c>
      <c r="D213" t="s">
        <v>213</v>
      </c>
      <c r="E213" s="4">
        <v>0.66901048916578287</v>
      </c>
      <c r="F213" s="4">
        <v>349277.34653736872</v>
      </c>
      <c r="G213" s="4">
        <v>349278.01554785785</v>
      </c>
      <c r="H213" s="5">
        <f t="shared" si="0"/>
        <v>0</v>
      </c>
      <c r="I213" t="s">
        <v>185</v>
      </c>
      <c r="J213" t="s">
        <v>65</v>
      </c>
      <c r="K213" s="5">
        <f>199 / 86400</f>
        <v>2.3032407407407407E-3</v>
      </c>
      <c r="L213" s="5">
        <f>5 / 86400</f>
        <v>5.7870370370370373E-5</v>
      </c>
    </row>
    <row r="214" spans="1:12" x14ac:dyDescent="0.25">
      <c r="A214" s="3">
        <v>45708.309745370367</v>
      </c>
      <c r="B214" t="s">
        <v>213</v>
      </c>
      <c r="C214" s="3">
        <v>45708.311342592591</v>
      </c>
      <c r="D214" t="s">
        <v>212</v>
      </c>
      <c r="E214" s="4">
        <v>9.1110552251338961E-2</v>
      </c>
      <c r="F214" s="4">
        <v>349278.02090374456</v>
      </c>
      <c r="G214" s="4">
        <v>349278.11201429681</v>
      </c>
      <c r="H214" s="5">
        <f t="shared" si="0"/>
        <v>0</v>
      </c>
      <c r="I214" t="s">
        <v>86</v>
      </c>
      <c r="J214" t="s">
        <v>136</v>
      </c>
      <c r="K214" s="5">
        <f>138 / 86400</f>
        <v>1.5972222222222223E-3</v>
      </c>
      <c r="L214" s="5">
        <f>20 / 86400</f>
        <v>2.3148148148148149E-4</v>
      </c>
    </row>
    <row r="215" spans="1:12" x14ac:dyDescent="0.25">
      <c r="A215" s="3">
        <v>45708.311574074076</v>
      </c>
      <c r="B215" t="s">
        <v>212</v>
      </c>
      <c r="C215" s="3">
        <v>45708.311805555553</v>
      </c>
      <c r="D215" t="s">
        <v>213</v>
      </c>
      <c r="E215" s="4">
        <v>1.2361810982227325E-2</v>
      </c>
      <c r="F215" s="4">
        <v>349278.11783251225</v>
      </c>
      <c r="G215" s="4">
        <v>349278.13019432325</v>
      </c>
      <c r="H215" s="5">
        <f t="shared" si="0"/>
        <v>0</v>
      </c>
      <c r="I215" t="s">
        <v>145</v>
      </c>
      <c r="J215" t="s">
        <v>136</v>
      </c>
      <c r="K215" s="5">
        <f>20 / 86400</f>
        <v>2.3148148148148149E-4</v>
      </c>
      <c r="L215" s="5">
        <f>20 / 86400</f>
        <v>2.3148148148148149E-4</v>
      </c>
    </row>
    <row r="216" spans="1:12" x14ac:dyDescent="0.25">
      <c r="A216" s="3">
        <v>45708.312037037038</v>
      </c>
      <c r="B216" t="s">
        <v>213</v>
      </c>
      <c r="C216" s="3">
        <v>45708.312627314815</v>
      </c>
      <c r="D216" t="s">
        <v>213</v>
      </c>
      <c r="E216" s="4">
        <v>1.4688834846019745E-2</v>
      </c>
      <c r="F216" s="4">
        <v>349278.13447182579</v>
      </c>
      <c r="G216" s="4">
        <v>349278.14916066063</v>
      </c>
      <c r="H216" s="5">
        <f t="shared" si="0"/>
        <v>0</v>
      </c>
      <c r="I216" t="s">
        <v>55</v>
      </c>
      <c r="J216" t="s">
        <v>145</v>
      </c>
      <c r="K216" s="5">
        <f>51 / 86400</f>
        <v>5.9027777777777778E-4</v>
      </c>
      <c r="L216" s="5">
        <f>20 / 86400</f>
        <v>2.3148148148148149E-4</v>
      </c>
    </row>
    <row r="217" spans="1:12" x14ac:dyDescent="0.25">
      <c r="A217" s="3">
        <v>45708.3128587963</v>
      </c>
      <c r="B217" t="s">
        <v>213</v>
      </c>
      <c r="C217" s="3">
        <v>45708.313090277778</v>
      </c>
      <c r="D217" t="s">
        <v>213</v>
      </c>
      <c r="E217" s="4">
        <v>8.2507130503654477E-3</v>
      </c>
      <c r="F217" s="4">
        <v>349278.15343305829</v>
      </c>
      <c r="G217" s="4">
        <v>349278.16168377135</v>
      </c>
      <c r="H217" s="5">
        <f t="shared" si="0"/>
        <v>0</v>
      </c>
      <c r="I217" t="s">
        <v>145</v>
      </c>
      <c r="J217" t="s">
        <v>145</v>
      </c>
      <c r="K217" s="5">
        <f>20 / 86400</f>
        <v>2.3148148148148149E-4</v>
      </c>
      <c r="L217" s="5">
        <f>20 / 86400</f>
        <v>2.3148148148148149E-4</v>
      </c>
    </row>
    <row r="218" spans="1:12" x14ac:dyDescent="0.25">
      <c r="A218" s="3">
        <v>45708.313321759255</v>
      </c>
      <c r="B218" t="s">
        <v>213</v>
      </c>
      <c r="C218" s="3">
        <v>45708.313784722224</v>
      </c>
      <c r="D218" t="s">
        <v>213</v>
      </c>
      <c r="E218" s="4">
        <v>1.8682195067405701E-2</v>
      </c>
      <c r="F218" s="4">
        <v>349278.17081558122</v>
      </c>
      <c r="G218" s="4">
        <v>349278.18949777627</v>
      </c>
      <c r="H218" s="5">
        <f t="shared" si="0"/>
        <v>0</v>
      </c>
      <c r="I218" t="s">
        <v>145</v>
      </c>
      <c r="J218" t="s">
        <v>136</v>
      </c>
      <c r="K218" s="5">
        <f>40 / 86400</f>
        <v>4.6296296296296298E-4</v>
      </c>
      <c r="L218" s="5">
        <f>80 / 86400</f>
        <v>9.2592592592592596E-4</v>
      </c>
    </row>
    <row r="219" spans="1:12" x14ac:dyDescent="0.25">
      <c r="A219" s="3">
        <v>45708.314710648148</v>
      </c>
      <c r="B219" t="s">
        <v>213</v>
      </c>
      <c r="C219" s="3">
        <v>45708.314942129626</v>
      </c>
      <c r="D219" t="s">
        <v>213</v>
      </c>
      <c r="E219" s="4">
        <v>8.903020501136779E-3</v>
      </c>
      <c r="F219" s="4">
        <v>349278.22823558305</v>
      </c>
      <c r="G219" s="4">
        <v>349278.23713860358</v>
      </c>
      <c r="H219" s="5">
        <f t="shared" si="0"/>
        <v>0</v>
      </c>
      <c r="I219" t="s">
        <v>145</v>
      </c>
      <c r="J219" t="s">
        <v>136</v>
      </c>
      <c r="K219" s="5">
        <f>20 / 86400</f>
        <v>2.3148148148148149E-4</v>
      </c>
      <c r="L219" s="5">
        <f>28 / 86400</f>
        <v>3.2407407407407406E-4</v>
      </c>
    </row>
    <row r="220" spans="1:12" x14ac:dyDescent="0.25">
      <c r="A220" s="3">
        <v>45708.315266203703</v>
      </c>
      <c r="B220" t="s">
        <v>213</v>
      </c>
      <c r="C220" s="3">
        <v>45708.315960648149</v>
      </c>
      <c r="D220" t="s">
        <v>214</v>
      </c>
      <c r="E220" s="4">
        <v>0.19436385530233383</v>
      </c>
      <c r="F220" s="4">
        <v>349278.25311456784</v>
      </c>
      <c r="G220" s="4">
        <v>349278.44747842313</v>
      </c>
      <c r="H220" s="5">
        <f t="shared" si="0"/>
        <v>0</v>
      </c>
      <c r="I220" t="s">
        <v>142</v>
      </c>
      <c r="J220" t="s">
        <v>65</v>
      </c>
      <c r="K220" s="5">
        <f>60 / 86400</f>
        <v>6.9444444444444447E-4</v>
      </c>
      <c r="L220" s="5">
        <f>60 / 86400</f>
        <v>6.9444444444444447E-4</v>
      </c>
    </row>
    <row r="221" spans="1:12" x14ac:dyDescent="0.25">
      <c r="A221" s="3">
        <v>45708.316655092596</v>
      </c>
      <c r="B221" t="s">
        <v>214</v>
      </c>
      <c r="C221" s="3">
        <v>45708.319814814815</v>
      </c>
      <c r="D221" t="s">
        <v>215</v>
      </c>
      <c r="E221" s="4">
        <v>2.2699327178597448</v>
      </c>
      <c r="F221" s="4">
        <v>349278.46481271338</v>
      </c>
      <c r="G221" s="4">
        <v>349280.73474543123</v>
      </c>
      <c r="H221" s="5">
        <f t="shared" si="0"/>
        <v>0</v>
      </c>
      <c r="I221" t="s">
        <v>177</v>
      </c>
      <c r="J221" t="s">
        <v>54</v>
      </c>
      <c r="K221" s="5">
        <f>273 / 86400</f>
        <v>3.1597222222222222E-3</v>
      </c>
      <c r="L221" s="5">
        <f>26 / 86400</f>
        <v>3.0092592592592595E-4</v>
      </c>
    </row>
    <row r="222" spans="1:12" x14ac:dyDescent="0.25">
      <c r="A222" s="3">
        <v>45708.320115740746</v>
      </c>
      <c r="B222" t="s">
        <v>215</v>
      </c>
      <c r="C222" s="3">
        <v>45708.32130787037</v>
      </c>
      <c r="D222" t="s">
        <v>216</v>
      </c>
      <c r="E222" s="4">
        <v>0.54453153562545775</v>
      </c>
      <c r="F222" s="4">
        <v>349280.74533691636</v>
      </c>
      <c r="G222" s="4">
        <v>349281.28986845195</v>
      </c>
      <c r="H222" s="5">
        <f t="shared" ref="H222:H285" si="1">0 / 86400</f>
        <v>0</v>
      </c>
      <c r="I222" t="s">
        <v>217</v>
      </c>
      <c r="J222" t="s">
        <v>68</v>
      </c>
      <c r="K222" s="5">
        <f>103 / 86400</f>
        <v>1.1921296296296296E-3</v>
      </c>
      <c r="L222" s="5">
        <f>8 / 86400</f>
        <v>9.2592592592592588E-5</v>
      </c>
    </row>
    <row r="223" spans="1:12" x14ac:dyDescent="0.25">
      <c r="A223" s="3">
        <v>45708.321400462963</v>
      </c>
      <c r="B223" t="s">
        <v>216</v>
      </c>
      <c r="C223" s="3">
        <v>45708.322615740741</v>
      </c>
      <c r="D223" t="s">
        <v>218</v>
      </c>
      <c r="E223" s="4">
        <v>0.48374807798862457</v>
      </c>
      <c r="F223" s="4">
        <v>349281.29229734163</v>
      </c>
      <c r="G223" s="4">
        <v>349281.77604541963</v>
      </c>
      <c r="H223" s="5">
        <f t="shared" si="1"/>
        <v>0</v>
      </c>
      <c r="I223" t="s">
        <v>201</v>
      </c>
      <c r="J223" t="s">
        <v>20</v>
      </c>
      <c r="K223" s="5">
        <f>105 / 86400</f>
        <v>1.2152777777777778E-3</v>
      </c>
      <c r="L223" s="5">
        <f>11 / 86400</f>
        <v>1.273148148148148E-4</v>
      </c>
    </row>
    <row r="224" spans="1:12" x14ac:dyDescent="0.25">
      <c r="A224" s="3">
        <v>45708.322743055556</v>
      </c>
      <c r="B224" t="s">
        <v>219</v>
      </c>
      <c r="C224" s="3">
        <v>45708.322974537034</v>
      </c>
      <c r="D224" t="s">
        <v>219</v>
      </c>
      <c r="E224" s="4">
        <v>1.7683404922485352E-2</v>
      </c>
      <c r="F224" s="4">
        <v>349281.80673195375</v>
      </c>
      <c r="G224" s="4">
        <v>349281.82441535866</v>
      </c>
      <c r="H224" s="5">
        <f t="shared" si="1"/>
        <v>0</v>
      </c>
      <c r="I224" t="s">
        <v>97</v>
      </c>
      <c r="J224" t="s">
        <v>135</v>
      </c>
      <c r="K224" s="5">
        <f>20 / 86400</f>
        <v>2.3148148148148149E-4</v>
      </c>
      <c r="L224" s="5">
        <f>28 / 86400</f>
        <v>3.2407407407407406E-4</v>
      </c>
    </row>
    <row r="225" spans="1:12" x14ac:dyDescent="0.25">
      <c r="A225" s="3">
        <v>45708.323298611111</v>
      </c>
      <c r="B225" t="s">
        <v>219</v>
      </c>
      <c r="C225" s="3">
        <v>45708.325821759259</v>
      </c>
      <c r="D225" t="s">
        <v>220</v>
      </c>
      <c r="E225" s="4">
        <v>0.84787206733226772</v>
      </c>
      <c r="F225" s="4">
        <v>349281.83962066419</v>
      </c>
      <c r="G225" s="4">
        <v>349282.68749273149</v>
      </c>
      <c r="H225" s="5">
        <f t="shared" si="1"/>
        <v>0</v>
      </c>
      <c r="I225" t="s">
        <v>164</v>
      </c>
      <c r="J225" t="s">
        <v>58</v>
      </c>
      <c r="K225" s="5">
        <f>218 / 86400</f>
        <v>2.5231481481481481E-3</v>
      </c>
      <c r="L225" s="5">
        <f>72 / 86400</f>
        <v>8.3333333333333339E-4</v>
      </c>
    </row>
    <row r="226" spans="1:12" x14ac:dyDescent="0.25">
      <c r="A226" s="3">
        <v>45708.326655092591</v>
      </c>
      <c r="B226" t="s">
        <v>220</v>
      </c>
      <c r="C226" s="3">
        <v>45708.32711805556</v>
      </c>
      <c r="D226" t="s">
        <v>221</v>
      </c>
      <c r="E226" s="4">
        <v>0.18233956414461136</v>
      </c>
      <c r="F226" s="4">
        <v>349282.70362431201</v>
      </c>
      <c r="G226" s="4">
        <v>349282.88596387615</v>
      </c>
      <c r="H226" s="5">
        <f t="shared" si="1"/>
        <v>0</v>
      </c>
      <c r="I226" t="s">
        <v>150</v>
      </c>
      <c r="J226" t="s">
        <v>49</v>
      </c>
      <c r="K226" s="5">
        <f>40 / 86400</f>
        <v>4.6296296296296298E-4</v>
      </c>
      <c r="L226" s="5">
        <f>9 / 86400</f>
        <v>1.0416666666666667E-4</v>
      </c>
    </row>
    <row r="227" spans="1:12" x14ac:dyDescent="0.25">
      <c r="A227" s="3">
        <v>45708.327222222222</v>
      </c>
      <c r="B227" t="s">
        <v>221</v>
      </c>
      <c r="C227" s="3">
        <v>45708.327453703707</v>
      </c>
      <c r="D227" t="s">
        <v>222</v>
      </c>
      <c r="E227" s="4">
        <v>9.4573115706443785E-3</v>
      </c>
      <c r="F227" s="4">
        <v>349282.89749693341</v>
      </c>
      <c r="G227" s="4">
        <v>349282.90695424494</v>
      </c>
      <c r="H227" s="5">
        <f t="shared" si="1"/>
        <v>0</v>
      </c>
      <c r="I227" t="s">
        <v>55</v>
      </c>
      <c r="J227" t="s">
        <v>136</v>
      </c>
      <c r="K227" s="5">
        <f>20 / 86400</f>
        <v>2.3148148148148149E-4</v>
      </c>
      <c r="L227" s="5">
        <f>19 / 86400</f>
        <v>2.199074074074074E-4</v>
      </c>
    </row>
    <row r="228" spans="1:12" x14ac:dyDescent="0.25">
      <c r="A228" s="3">
        <v>45708.327673611115</v>
      </c>
      <c r="B228" t="s">
        <v>222</v>
      </c>
      <c r="C228" s="3">
        <v>45708.329293981486</v>
      </c>
      <c r="D228" t="s">
        <v>223</v>
      </c>
      <c r="E228" s="4">
        <v>0.90958075320720677</v>
      </c>
      <c r="F228" s="4">
        <v>349282.91587079025</v>
      </c>
      <c r="G228" s="4">
        <v>349283.82545154344</v>
      </c>
      <c r="H228" s="5">
        <f t="shared" si="1"/>
        <v>0</v>
      </c>
      <c r="I228" t="s">
        <v>96</v>
      </c>
      <c r="J228" t="s">
        <v>144</v>
      </c>
      <c r="K228" s="5">
        <f>140 / 86400</f>
        <v>1.6203703703703703E-3</v>
      </c>
      <c r="L228" s="5">
        <f>40 / 86400</f>
        <v>4.6296296296296298E-4</v>
      </c>
    </row>
    <row r="229" spans="1:12" x14ac:dyDescent="0.25">
      <c r="A229" s="3">
        <v>45708.32975694444</v>
      </c>
      <c r="B229" t="s">
        <v>223</v>
      </c>
      <c r="C229" s="3">
        <v>45708.329988425925</v>
      </c>
      <c r="D229" t="s">
        <v>223</v>
      </c>
      <c r="E229" s="4">
        <v>2.7082570791244509E-3</v>
      </c>
      <c r="F229" s="4">
        <v>349283.85362395353</v>
      </c>
      <c r="G229" s="4">
        <v>349283.85633221059</v>
      </c>
      <c r="H229" s="5">
        <f t="shared" si="1"/>
        <v>0</v>
      </c>
      <c r="I229" t="s">
        <v>145</v>
      </c>
      <c r="J229" t="s">
        <v>22</v>
      </c>
      <c r="K229" s="5">
        <f>20 / 86400</f>
        <v>2.3148148148148149E-4</v>
      </c>
      <c r="L229" s="5">
        <f>44 / 86400</f>
        <v>5.0925925925925921E-4</v>
      </c>
    </row>
    <row r="230" spans="1:12" x14ac:dyDescent="0.25">
      <c r="A230" s="3">
        <v>45708.330497685187</v>
      </c>
      <c r="B230" t="s">
        <v>223</v>
      </c>
      <c r="C230" s="3">
        <v>45708.331250000003</v>
      </c>
      <c r="D230" t="s">
        <v>21</v>
      </c>
      <c r="E230" s="4">
        <v>0.3153485140800476</v>
      </c>
      <c r="F230" s="4">
        <v>349283.89378862764</v>
      </c>
      <c r="G230" s="4">
        <v>349284.2091371417</v>
      </c>
      <c r="H230" s="5">
        <f t="shared" si="1"/>
        <v>0</v>
      </c>
      <c r="I230" t="s">
        <v>142</v>
      </c>
      <c r="J230" t="s">
        <v>20</v>
      </c>
      <c r="K230" s="5">
        <f>65 / 86400</f>
        <v>7.5231481481481482E-4</v>
      </c>
      <c r="L230" s="5">
        <f>20 / 86400</f>
        <v>2.3148148148148149E-4</v>
      </c>
    </row>
    <row r="231" spans="1:12" x14ac:dyDescent="0.25">
      <c r="A231" s="3">
        <v>45708.33148148148</v>
      </c>
      <c r="B231" t="s">
        <v>224</v>
      </c>
      <c r="C231" s="3">
        <v>45708.33194444445</v>
      </c>
      <c r="D231" t="s">
        <v>225</v>
      </c>
      <c r="E231" s="4">
        <v>3.2880337476730345E-2</v>
      </c>
      <c r="F231" s="4">
        <v>349284.22985487047</v>
      </c>
      <c r="G231" s="4">
        <v>349284.26273520797</v>
      </c>
      <c r="H231" s="5">
        <f t="shared" si="1"/>
        <v>0</v>
      </c>
      <c r="I231" t="s">
        <v>55</v>
      </c>
      <c r="J231" t="s">
        <v>135</v>
      </c>
      <c r="K231" s="5">
        <f>40 / 86400</f>
        <v>4.6296296296296298E-4</v>
      </c>
      <c r="L231" s="5">
        <f>99 / 86400</f>
        <v>1.1458333333333333E-3</v>
      </c>
    </row>
    <row r="232" spans="1:12" x14ac:dyDescent="0.25">
      <c r="A232" s="3">
        <v>45708.333090277782</v>
      </c>
      <c r="B232" t="s">
        <v>225</v>
      </c>
      <c r="C232" s="3">
        <v>45708.333333333328</v>
      </c>
      <c r="D232" t="s">
        <v>226</v>
      </c>
      <c r="E232" s="4">
        <v>4.6016411185264587E-3</v>
      </c>
      <c r="F232" s="4">
        <v>349284.29488285549</v>
      </c>
      <c r="G232" s="4">
        <v>349284.29948449659</v>
      </c>
      <c r="H232" s="5">
        <f t="shared" si="1"/>
        <v>0</v>
      </c>
      <c r="I232" t="s">
        <v>145</v>
      </c>
      <c r="J232" t="s">
        <v>145</v>
      </c>
      <c r="K232" s="5">
        <f>21 / 86400</f>
        <v>2.4305555555555555E-4</v>
      </c>
      <c r="L232" s="5">
        <f>87 / 86400</f>
        <v>1.0069444444444444E-3</v>
      </c>
    </row>
    <row r="233" spans="1:12" x14ac:dyDescent="0.25">
      <c r="A233" s="3">
        <v>45708.334340277783</v>
      </c>
      <c r="B233" t="s">
        <v>225</v>
      </c>
      <c r="C233" s="3">
        <v>45708.335185185184</v>
      </c>
      <c r="D233" t="s">
        <v>227</v>
      </c>
      <c r="E233" s="4">
        <v>0.1395090075135231</v>
      </c>
      <c r="F233" s="4">
        <v>349284.33099966915</v>
      </c>
      <c r="G233" s="4">
        <v>349284.47050867666</v>
      </c>
      <c r="H233" s="5">
        <f t="shared" si="1"/>
        <v>0</v>
      </c>
      <c r="I233" t="s">
        <v>49</v>
      </c>
      <c r="J233" t="s">
        <v>26</v>
      </c>
      <c r="K233" s="5">
        <f>73 / 86400</f>
        <v>8.4490740740740739E-4</v>
      </c>
      <c r="L233" s="5">
        <f>6 / 86400</f>
        <v>6.9444444444444444E-5</v>
      </c>
    </row>
    <row r="234" spans="1:12" x14ac:dyDescent="0.25">
      <c r="A234" s="3">
        <v>45708.33525462963</v>
      </c>
      <c r="B234" t="s">
        <v>228</v>
      </c>
      <c r="C234" s="3">
        <v>45708.335902777777</v>
      </c>
      <c r="D234" t="s">
        <v>223</v>
      </c>
      <c r="E234" s="4">
        <v>0.22428902566432954</v>
      </c>
      <c r="F234" s="4">
        <v>349284.49685816851</v>
      </c>
      <c r="G234" s="4">
        <v>349284.72114719416</v>
      </c>
      <c r="H234" s="5">
        <f t="shared" si="1"/>
        <v>0</v>
      </c>
      <c r="I234" t="s">
        <v>217</v>
      </c>
      <c r="J234" t="s">
        <v>58</v>
      </c>
      <c r="K234" s="5">
        <f>56 / 86400</f>
        <v>6.4814814814814813E-4</v>
      </c>
      <c r="L234" s="5">
        <f>106 / 86400</f>
        <v>1.2268518518518518E-3</v>
      </c>
    </row>
    <row r="235" spans="1:12" x14ac:dyDescent="0.25">
      <c r="A235" s="3">
        <v>45708.337129629625</v>
      </c>
      <c r="B235" t="s">
        <v>229</v>
      </c>
      <c r="C235" s="3">
        <v>45708.338553240741</v>
      </c>
      <c r="D235" t="s">
        <v>230</v>
      </c>
      <c r="E235" s="4">
        <v>0.27424728214740751</v>
      </c>
      <c r="F235" s="4">
        <v>349284.85521562782</v>
      </c>
      <c r="G235" s="4">
        <v>349285.12946290994</v>
      </c>
      <c r="H235" s="5">
        <f t="shared" si="1"/>
        <v>0</v>
      </c>
      <c r="I235" t="s">
        <v>217</v>
      </c>
      <c r="J235" t="s">
        <v>168</v>
      </c>
      <c r="K235" s="5">
        <f>123 / 86400</f>
        <v>1.4236111111111112E-3</v>
      </c>
      <c r="L235" s="5">
        <f>7 / 86400</f>
        <v>8.1018518518518516E-5</v>
      </c>
    </row>
    <row r="236" spans="1:12" x14ac:dyDescent="0.25">
      <c r="A236" s="3">
        <v>45708.338634259257</v>
      </c>
      <c r="B236" t="s">
        <v>230</v>
      </c>
      <c r="C236" s="3">
        <v>45708.340127314819</v>
      </c>
      <c r="D236" t="s">
        <v>231</v>
      </c>
      <c r="E236" s="4">
        <v>0.3794084529876709</v>
      </c>
      <c r="F236" s="4">
        <v>349285.13637463102</v>
      </c>
      <c r="G236" s="4">
        <v>349285.51578308403</v>
      </c>
      <c r="H236" s="5">
        <f t="shared" si="1"/>
        <v>0</v>
      </c>
      <c r="I236" t="s">
        <v>68</v>
      </c>
      <c r="J236" t="s">
        <v>86</v>
      </c>
      <c r="K236" s="5">
        <f>129 / 86400</f>
        <v>1.4930555555555556E-3</v>
      </c>
      <c r="L236" s="5">
        <f>18 / 86400</f>
        <v>2.0833333333333335E-4</v>
      </c>
    </row>
    <row r="237" spans="1:12" x14ac:dyDescent="0.25">
      <c r="A237" s="3">
        <v>45708.340335648143</v>
      </c>
      <c r="B237" t="s">
        <v>231</v>
      </c>
      <c r="C237" s="3">
        <v>45708.341493055559</v>
      </c>
      <c r="D237" t="s">
        <v>232</v>
      </c>
      <c r="E237" s="4">
        <v>0.4062014870643616</v>
      </c>
      <c r="F237" s="4">
        <v>349285.51868649776</v>
      </c>
      <c r="G237" s="4">
        <v>349285.92488798482</v>
      </c>
      <c r="H237" s="5">
        <f t="shared" si="1"/>
        <v>0</v>
      </c>
      <c r="I237" t="s">
        <v>54</v>
      </c>
      <c r="J237" t="s">
        <v>44</v>
      </c>
      <c r="K237" s="5">
        <f>100 / 86400</f>
        <v>1.1574074074074073E-3</v>
      </c>
      <c r="L237" s="5">
        <f>17 / 86400</f>
        <v>1.9675925925925926E-4</v>
      </c>
    </row>
    <row r="238" spans="1:12" x14ac:dyDescent="0.25">
      <c r="A238" s="3">
        <v>45708.341689814813</v>
      </c>
      <c r="B238" t="s">
        <v>232</v>
      </c>
      <c r="C238" s="3">
        <v>45708.34275462963</v>
      </c>
      <c r="D238" t="s">
        <v>233</v>
      </c>
      <c r="E238" s="4">
        <v>0.33291808563470843</v>
      </c>
      <c r="F238" s="4">
        <v>349285.93538330297</v>
      </c>
      <c r="G238" s="4">
        <v>349286.2683013886</v>
      </c>
      <c r="H238" s="5">
        <f t="shared" si="1"/>
        <v>0</v>
      </c>
      <c r="I238" t="s">
        <v>164</v>
      </c>
      <c r="J238" t="s">
        <v>29</v>
      </c>
      <c r="K238" s="5">
        <f>92 / 86400</f>
        <v>1.0648148148148149E-3</v>
      </c>
      <c r="L238" s="5">
        <f>8 / 86400</f>
        <v>9.2592592592592588E-5</v>
      </c>
    </row>
    <row r="239" spans="1:12" x14ac:dyDescent="0.25">
      <c r="A239" s="3">
        <v>45708.342847222222</v>
      </c>
      <c r="B239" t="s">
        <v>234</v>
      </c>
      <c r="C239" s="3">
        <v>45708.343541666662</v>
      </c>
      <c r="D239" t="s">
        <v>235</v>
      </c>
      <c r="E239" s="4">
        <v>6.9349868357181543E-2</v>
      </c>
      <c r="F239" s="4">
        <v>349286.27316090156</v>
      </c>
      <c r="G239" s="4">
        <v>349286.3425107699</v>
      </c>
      <c r="H239" s="5">
        <f t="shared" si="1"/>
        <v>0</v>
      </c>
      <c r="I239" t="s">
        <v>97</v>
      </c>
      <c r="J239" t="s">
        <v>143</v>
      </c>
      <c r="K239" s="5">
        <f>60 / 86400</f>
        <v>6.9444444444444447E-4</v>
      </c>
      <c r="L239" s="5">
        <f>7 / 86400</f>
        <v>8.1018518518518516E-5</v>
      </c>
    </row>
    <row r="240" spans="1:12" x14ac:dyDescent="0.25">
      <c r="A240" s="3">
        <v>45708.343622685185</v>
      </c>
      <c r="B240" t="s">
        <v>235</v>
      </c>
      <c r="C240" s="3">
        <v>45708.343854166669</v>
      </c>
      <c r="D240" t="s">
        <v>235</v>
      </c>
      <c r="E240" s="4">
        <v>0</v>
      </c>
      <c r="F240" s="4">
        <v>349286.3480489591</v>
      </c>
      <c r="G240" s="4">
        <v>349286.3480489591</v>
      </c>
      <c r="H240" s="5">
        <f t="shared" si="1"/>
        <v>0</v>
      </c>
      <c r="I240" t="s">
        <v>55</v>
      </c>
      <c r="J240" t="s">
        <v>22</v>
      </c>
      <c r="K240" s="5">
        <f>20 / 86400</f>
        <v>2.3148148148148149E-4</v>
      </c>
      <c r="L240" s="5">
        <f>20 / 86400</f>
        <v>2.3148148148148149E-4</v>
      </c>
    </row>
    <row r="241" spans="1:12" x14ac:dyDescent="0.25">
      <c r="A241" s="3">
        <v>45708.344085648147</v>
      </c>
      <c r="B241" t="s">
        <v>236</v>
      </c>
      <c r="C241" s="3">
        <v>45708.344317129631</v>
      </c>
      <c r="D241" t="s">
        <v>237</v>
      </c>
      <c r="E241" s="4">
        <v>6.8544527411460873E-2</v>
      </c>
      <c r="F241" s="4">
        <v>349286.4408000228</v>
      </c>
      <c r="G241" s="4">
        <v>349286.5093445502</v>
      </c>
      <c r="H241" s="5">
        <f t="shared" si="1"/>
        <v>0</v>
      </c>
      <c r="I241" t="s">
        <v>49</v>
      </c>
      <c r="J241" t="s">
        <v>65</v>
      </c>
      <c r="K241" s="5">
        <f>20 / 86400</f>
        <v>2.3148148148148149E-4</v>
      </c>
      <c r="L241" s="5">
        <f>20 / 86400</f>
        <v>2.3148148148148149E-4</v>
      </c>
    </row>
    <row r="242" spans="1:12" x14ac:dyDescent="0.25">
      <c r="A242" s="3">
        <v>45708.344548611116</v>
      </c>
      <c r="B242" t="s">
        <v>238</v>
      </c>
      <c r="C242" s="3">
        <v>45708.344780092593</v>
      </c>
      <c r="D242" t="s">
        <v>237</v>
      </c>
      <c r="E242" s="4">
        <v>7.4361965656280522E-3</v>
      </c>
      <c r="F242" s="4">
        <v>349286.53302487842</v>
      </c>
      <c r="G242" s="4">
        <v>349286.54046107503</v>
      </c>
      <c r="H242" s="5">
        <f t="shared" si="1"/>
        <v>0</v>
      </c>
      <c r="I242" t="s">
        <v>145</v>
      </c>
      <c r="J242" t="s">
        <v>145</v>
      </c>
      <c r="K242" s="5">
        <f>20 / 86400</f>
        <v>2.3148148148148149E-4</v>
      </c>
      <c r="L242" s="5">
        <f>34 / 86400</f>
        <v>3.9351851851851852E-4</v>
      </c>
    </row>
    <row r="243" spans="1:12" x14ac:dyDescent="0.25">
      <c r="A243" s="3">
        <v>45708.345173611116</v>
      </c>
      <c r="B243" t="s">
        <v>238</v>
      </c>
      <c r="C243" s="3">
        <v>45708.345405092594</v>
      </c>
      <c r="D243" t="s">
        <v>239</v>
      </c>
      <c r="E243" s="4">
        <v>4.1567043602466582E-2</v>
      </c>
      <c r="F243" s="4">
        <v>349286.55938525597</v>
      </c>
      <c r="G243" s="4">
        <v>349286.6009522996</v>
      </c>
      <c r="H243" s="5">
        <f t="shared" si="1"/>
        <v>0</v>
      </c>
      <c r="I243" t="s">
        <v>26</v>
      </c>
      <c r="J243" t="s">
        <v>26</v>
      </c>
      <c r="K243" s="5">
        <f>20 / 86400</f>
        <v>2.3148148148148149E-4</v>
      </c>
      <c r="L243" s="5">
        <f>80 / 86400</f>
        <v>9.2592592592592596E-4</v>
      </c>
    </row>
    <row r="244" spans="1:12" x14ac:dyDescent="0.25">
      <c r="A244" s="3">
        <v>45708.346331018518</v>
      </c>
      <c r="B244" t="s">
        <v>239</v>
      </c>
      <c r="C244" s="3">
        <v>45708.350613425922</v>
      </c>
      <c r="D244" t="s">
        <v>240</v>
      </c>
      <c r="E244" s="4">
        <v>1.6573961806893349</v>
      </c>
      <c r="F244" s="4">
        <v>349286.62349615921</v>
      </c>
      <c r="G244" s="4">
        <v>349288.28089233988</v>
      </c>
      <c r="H244" s="5">
        <f t="shared" si="1"/>
        <v>0</v>
      </c>
      <c r="I244" t="s">
        <v>241</v>
      </c>
      <c r="J244" t="s">
        <v>49</v>
      </c>
      <c r="K244" s="5">
        <f>370 / 86400</f>
        <v>4.2824074074074075E-3</v>
      </c>
      <c r="L244" s="5">
        <f>20 / 86400</f>
        <v>2.3148148148148149E-4</v>
      </c>
    </row>
    <row r="245" spans="1:12" x14ac:dyDescent="0.25">
      <c r="A245" s="3">
        <v>45708.350844907407</v>
      </c>
      <c r="B245" t="s">
        <v>242</v>
      </c>
      <c r="C245" s="3">
        <v>45708.352523148147</v>
      </c>
      <c r="D245" t="s">
        <v>243</v>
      </c>
      <c r="E245" s="4">
        <v>0.9093540933728218</v>
      </c>
      <c r="F245" s="4">
        <v>349288.35660801659</v>
      </c>
      <c r="G245" s="4">
        <v>349289.26596210996</v>
      </c>
      <c r="H245" s="5">
        <f t="shared" si="1"/>
        <v>0</v>
      </c>
      <c r="I245" t="s">
        <v>244</v>
      </c>
      <c r="J245" t="s">
        <v>144</v>
      </c>
      <c r="K245" s="5">
        <f>145 / 86400</f>
        <v>1.6782407407407408E-3</v>
      </c>
      <c r="L245" s="5">
        <f>9 / 86400</f>
        <v>1.0416666666666667E-4</v>
      </c>
    </row>
    <row r="246" spans="1:12" x14ac:dyDescent="0.25">
      <c r="A246" s="3">
        <v>45708.352627314816</v>
      </c>
      <c r="B246" t="s">
        <v>243</v>
      </c>
      <c r="C246" s="3">
        <v>45708.353587962964</v>
      </c>
      <c r="D246" t="s">
        <v>245</v>
      </c>
      <c r="E246" s="4">
        <v>0.34414663553237917</v>
      </c>
      <c r="F246" s="4">
        <v>349289.26971499738</v>
      </c>
      <c r="G246" s="4">
        <v>349289.61386163294</v>
      </c>
      <c r="H246" s="5">
        <f t="shared" si="1"/>
        <v>0</v>
      </c>
      <c r="I246" t="s">
        <v>164</v>
      </c>
      <c r="J246" t="s">
        <v>44</v>
      </c>
      <c r="K246" s="5">
        <f>83 / 86400</f>
        <v>9.6064814814814819E-4</v>
      </c>
      <c r="L246" s="5">
        <f>20 / 86400</f>
        <v>2.3148148148148149E-4</v>
      </c>
    </row>
    <row r="247" spans="1:12" x14ac:dyDescent="0.25">
      <c r="A247" s="3">
        <v>45708.353819444441</v>
      </c>
      <c r="B247" t="s">
        <v>245</v>
      </c>
      <c r="C247" s="3">
        <v>45708.354745370365</v>
      </c>
      <c r="D247" t="s">
        <v>246</v>
      </c>
      <c r="E247" s="4">
        <v>0.58517477768659587</v>
      </c>
      <c r="F247" s="4">
        <v>349289.63324843801</v>
      </c>
      <c r="G247" s="4">
        <v>349290.21842321567</v>
      </c>
      <c r="H247" s="5">
        <f t="shared" si="1"/>
        <v>0</v>
      </c>
      <c r="I247" t="s">
        <v>190</v>
      </c>
      <c r="J247" t="s">
        <v>189</v>
      </c>
      <c r="K247" s="5">
        <f>80 / 86400</f>
        <v>9.2592592592592596E-4</v>
      </c>
      <c r="L247" s="5">
        <f>40 / 86400</f>
        <v>4.6296296296296298E-4</v>
      </c>
    </row>
    <row r="248" spans="1:12" x14ac:dyDescent="0.25">
      <c r="A248" s="3">
        <v>45708.355208333334</v>
      </c>
      <c r="B248" t="s">
        <v>246</v>
      </c>
      <c r="C248" s="3">
        <v>45708.355671296296</v>
      </c>
      <c r="D248" t="s">
        <v>247</v>
      </c>
      <c r="E248" s="4">
        <v>0.12537517637014389</v>
      </c>
      <c r="F248" s="4">
        <v>349290.23239555367</v>
      </c>
      <c r="G248" s="4">
        <v>349290.35777073004</v>
      </c>
      <c r="H248" s="5">
        <f t="shared" si="1"/>
        <v>0</v>
      </c>
      <c r="I248" t="s">
        <v>65</v>
      </c>
      <c r="J248" t="s">
        <v>86</v>
      </c>
      <c r="K248" s="5">
        <f>40 / 86400</f>
        <v>4.6296296296296298E-4</v>
      </c>
      <c r="L248" s="5">
        <f>20 / 86400</f>
        <v>2.3148148148148149E-4</v>
      </c>
    </row>
    <row r="249" spans="1:12" x14ac:dyDescent="0.25">
      <c r="A249" s="3">
        <v>45708.355902777781</v>
      </c>
      <c r="B249" t="s">
        <v>247</v>
      </c>
      <c r="C249" s="3">
        <v>45708.360023148147</v>
      </c>
      <c r="D249" t="s">
        <v>248</v>
      </c>
      <c r="E249" s="4">
        <v>0.9607011570334435</v>
      </c>
      <c r="F249" s="4">
        <v>349290.38447113778</v>
      </c>
      <c r="G249" s="4">
        <v>349291.34517229482</v>
      </c>
      <c r="H249" s="5">
        <f t="shared" si="1"/>
        <v>0</v>
      </c>
      <c r="I249" t="s">
        <v>162</v>
      </c>
      <c r="J249" t="s">
        <v>97</v>
      </c>
      <c r="K249" s="5">
        <f>356 / 86400</f>
        <v>4.1203703703703706E-3</v>
      </c>
      <c r="L249" s="5">
        <f>15 / 86400</f>
        <v>1.7361111111111112E-4</v>
      </c>
    </row>
    <row r="250" spans="1:12" x14ac:dyDescent="0.25">
      <c r="A250" s="3">
        <v>45708.360196759255</v>
      </c>
      <c r="B250" t="s">
        <v>248</v>
      </c>
      <c r="C250" s="3">
        <v>45708.363784722227</v>
      </c>
      <c r="D250" t="s">
        <v>249</v>
      </c>
      <c r="E250" s="4">
        <v>1.3426103836297989</v>
      </c>
      <c r="F250" s="4">
        <v>349291.35086772434</v>
      </c>
      <c r="G250" s="4">
        <v>349292.69347810798</v>
      </c>
      <c r="H250" s="5">
        <f t="shared" si="1"/>
        <v>0</v>
      </c>
      <c r="I250" t="s">
        <v>250</v>
      </c>
      <c r="J250" t="s">
        <v>49</v>
      </c>
      <c r="K250" s="5">
        <f>310 / 86400</f>
        <v>3.5879629629629629E-3</v>
      </c>
      <c r="L250" s="5">
        <f>40 / 86400</f>
        <v>4.6296296296296298E-4</v>
      </c>
    </row>
    <row r="251" spans="1:12" x14ac:dyDescent="0.25">
      <c r="A251" s="3">
        <v>45708.364247685182</v>
      </c>
      <c r="B251" t="s">
        <v>251</v>
      </c>
      <c r="C251" s="3">
        <v>45708.364942129629</v>
      </c>
      <c r="D251" t="s">
        <v>251</v>
      </c>
      <c r="E251" s="4">
        <v>6.0774843156337736E-2</v>
      </c>
      <c r="F251" s="4">
        <v>349292.72320313816</v>
      </c>
      <c r="G251" s="4">
        <v>349292.78397798131</v>
      </c>
      <c r="H251" s="5">
        <f t="shared" si="1"/>
        <v>0</v>
      </c>
      <c r="I251" t="s">
        <v>97</v>
      </c>
      <c r="J251" t="s">
        <v>143</v>
      </c>
      <c r="K251" s="5">
        <f>60 / 86400</f>
        <v>6.9444444444444447E-4</v>
      </c>
      <c r="L251" s="5">
        <f>72 / 86400</f>
        <v>8.3333333333333339E-4</v>
      </c>
    </row>
    <row r="252" spans="1:12" x14ac:dyDescent="0.25">
      <c r="A252" s="3">
        <v>45708.365775462968</v>
      </c>
      <c r="B252" t="s">
        <v>251</v>
      </c>
      <c r="C252" s="3">
        <v>45708.367673611108</v>
      </c>
      <c r="D252" t="s">
        <v>252</v>
      </c>
      <c r="E252" s="4">
        <v>1.1268597576618196</v>
      </c>
      <c r="F252" s="4">
        <v>349292.78995196847</v>
      </c>
      <c r="G252" s="4">
        <v>349293.91681172617</v>
      </c>
      <c r="H252" s="5">
        <f t="shared" si="1"/>
        <v>0</v>
      </c>
      <c r="I252" t="s">
        <v>187</v>
      </c>
      <c r="J252" t="s">
        <v>142</v>
      </c>
      <c r="K252" s="5">
        <f>164 / 86400</f>
        <v>1.8981481481481482E-3</v>
      </c>
      <c r="L252" s="5">
        <f>20 / 86400</f>
        <v>2.3148148148148149E-4</v>
      </c>
    </row>
    <row r="253" spans="1:12" x14ac:dyDescent="0.25">
      <c r="A253" s="3">
        <v>45708.367905092593</v>
      </c>
      <c r="B253" t="s">
        <v>252</v>
      </c>
      <c r="C253" s="3">
        <v>45708.368599537032</v>
      </c>
      <c r="D253" t="s">
        <v>253</v>
      </c>
      <c r="E253" s="4">
        <v>0.29185238540172576</v>
      </c>
      <c r="F253" s="4">
        <v>349293.95550413604</v>
      </c>
      <c r="G253" s="4">
        <v>349294.24735652143</v>
      </c>
      <c r="H253" s="5">
        <f t="shared" si="1"/>
        <v>0</v>
      </c>
      <c r="I253" t="s">
        <v>189</v>
      </c>
      <c r="J253" t="s">
        <v>34</v>
      </c>
      <c r="K253" s="5">
        <f>60 / 86400</f>
        <v>6.9444444444444447E-4</v>
      </c>
      <c r="L253" s="5">
        <f>40 / 86400</f>
        <v>4.6296296296296298E-4</v>
      </c>
    </row>
    <row r="254" spans="1:12" x14ac:dyDescent="0.25">
      <c r="A254" s="3">
        <v>45708.369062500002</v>
      </c>
      <c r="B254" t="s">
        <v>208</v>
      </c>
      <c r="C254" s="3">
        <v>45708.369756944448</v>
      </c>
      <c r="D254" t="s">
        <v>70</v>
      </c>
      <c r="E254" s="4">
        <v>0.43922475838661196</v>
      </c>
      <c r="F254" s="4">
        <v>349294.32128383621</v>
      </c>
      <c r="G254" s="4">
        <v>349294.76050859457</v>
      </c>
      <c r="H254" s="5">
        <f t="shared" si="1"/>
        <v>0</v>
      </c>
      <c r="I254" t="s">
        <v>160</v>
      </c>
      <c r="J254" t="s">
        <v>189</v>
      </c>
      <c r="K254" s="5">
        <f>60 / 86400</f>
        <v>6.9444444444444447E-4</v>
      </c>
      <c r="L254" s="5">
        <f>20 / 86400</f>
        <v>2.3148148148148149E-4</v>
      </c>
    </row>
    <row r="255" spans="1:12" x14ac:dyDescent="0.25">
      <c r="A255" s="3">
        <v>45708.369988425926</v>
      </c>
      <c r="B255" t="s">
        <v>70</v>
      </c>
      <c r="C255" s="3">
        <v>45708.37091435185</v>
      </c>
      <c r="D255" t="s">
        <v>151</v>
      </c>
      <c r="E255" s="4">
        <v>0.42745939338207245</v>
      </c>
      <c r="F255" s="4">
        <v>349294.78995733289</v>
      </c>
      <c r="G255" s="4">
        <v>349295.21741672629</v>
      </c>
      <c r="H255" s="5">
        <f t="shared" si="1"/>
        <v>0</v>
      </c>
      <c r="I255" t="s">
        <v>201</v>
      </c>
      <c r="J255" t="s">
        <v>68</v>
      </c>
      <c r="K255" s="5">
        <f>80 / 86400</f>
        <v>9.2592592592592596E-4</v>
      </c>
      <c r="L255" s="5">
        <f>20 / 86400</f>
        <v>2.3148148148148149E-4</v>
      </c>
    </row>
    <row r="256" spans="1:12" x14ac:dyDescent="0.25">
      <c r="A256" s="3">
        <v>45708.371145833335</v>
      </c>
      <c r="B256" t="s">
        <v>151</v>
      </c>
      <c r="C256" s="3">
        <v>45708.371851851851</v>
      </c>
      <c r="D256" t="s">
        <v>254</v>
      </c>
      <c r="E256" s="4">
        <v>0.27313225120306017</v>
      </c>
      <c r="F256" s="4">
        <v>349295.22191488463</v>
      </c>
      <c r="G256" s="4">
        <v>349295.4950471358</v>
      </c>
      <c r="H256" s="5">
        <f t="shared" si="1"/>
        <v>0</v>
      </c>
      <c r="I256" t="s">
        <v>187</v>
      </c>
      <c r="J256" t="s">
        <v>49</v>
      </c>
      <c r="K256" s="5">
        <f>61 / 86400</f>
        <v>7.0601851851851847E-4</v>
      </c>
      <c r="L256" s="5">
        <f>20 / 86400</f>
        <v>2.3148148148148149E-4</v>
      </c>
    </row>
    <row r="257" spans="1:12" x14ac:dyDescent="0.25">
      <c r="A257" s="3">
        <v>45708.372083333335</v>
      </c>
      <c r="B257" t="s">
        <v>254</v>
      </c>
      <c r="C257" s="3">
        <v>45708.372777777782</v>
      </c>
      <c r="D257" t="s">
        <v>255</v>
      </c>
      <c r="E257" s="4">
        <v>0.15564562231302262</v>
      </c>
      <c r="F257" s="4">
        <v>349295.77008546091</v>
      </c>
      <c r="G257" s="4">
        <v>349295.9257310832</v>
      </c>
      <c r="H257" s="5">
        <f t="shared" si="1"/>
        <v>0</v>
      </c>
      <c r="I257" t="s">
        <v>68</v>
      </c>
      <c r="J257" t="s">
        <v>137</v>
      </c>
      <c r="K257" s="5">
        <f>60 / 86400</f>
        <v>6.9444444444444447E-4</v>
      </c>
      <c r="L257" s="5">
        <f>80 / 86400</f>
        <v>9.2592592592592596E-4</v>
      </c>
    </row>
    <row r="258" spans="1:12" x14ac:dyDescent="0.25">
      <c r="A258" s="3">
        <v>45708.373703703706</v>
      </c>
      <c r="B258" t="s">
        <v>255</v>
      </c>
      <c r="C258" s="3">
        <v>45708.374664351853</v>
      </c>
      <c r="D258" t="s">
        <v>256</v>
      </c>
      <c r="E258" s="4">
        <v>0.27592481499910354</v>
      </c>
      <c r="F258" s="4">
        <v>349296.01525518019</v>
      </c>
      <c r="G258" s="4">
        <v>349296.29117999517</v>
      </c>
      <c r="H258" s="5">
        <f t="shared" si="1"/>
        <v>0</v>
      </c>
      <c r="I258" t="s">
        <v>20</v>
      </c>
      <c r="J258" t="s">
        <v>65</v>
      </c>
      <c r="K258" s="5">
        <f>83 / 86400</f>
        <v>9.6064814814814819E-4</v>
      </c>
      <c r="L258" s="5">
        <f>31 / 86400</f>
        <v>3.5879629629629629E-4</v>
      </c>
    </row>
    <row r="259" spans="1:12" x14ac:dyDescent="0.25">
      <c r="A259" s="3">
        <v>45708.375023148154</v>
      </c>
      <c r="B259" t="s">
        <v>256</v>
      </c>
      <c r="C259" s="3">
        <v>45708.375983796301</v>
      </c>
      <c r="D259" t="s">
        <v>257</v>
      </c>
      <c r="E259" s="4">
        <v>0.17802360808849335</v>
      </c>
      <c r="F259" s="4">
        <v>349296.31093464931</v>
      </c>
      <c r="G259" s="4">
        <v>349296.48895825737</v>
      </c>
      <c r="H259" s="5">
        <f t="shared" si="1"/>
        <v>0</v>
      </c>
      <c r="I259" t="s">
        <v>65</v>
      </c>
      <c r="J259" t="s">
        <v>168</v>
      </c>
      <c r="K259" s="5">
        <f>83 / 86400</f>
        <v>9.6064814814814819E-4</v>
      </c>
      <c r="L259" s="5">
        <f>54 / 86400</f>
        <v>6.2500000000000001E-4</v>
      </c>
    </row>
    <row r="260" spans="1:12" x14ac:dyDescent="0.25">
      <c r="A260" s="3">
        <v>45708.376608796301</v>
      </c>
      <c r="B260" t="s">
        <v>258</v>
      </c>
      <c r="C260" s="3">
        <v>45708.377303240741</v>
      </c>
      <c r="D260" t="s">
        <v>259</v>
      </c>
      <c r="E260" s="4">
        <v>0.49429732412099836</v>
      </c>
      <c r="F260" s="4">
        <v>349296.51760547684</v>
      </c>
      <c r="G260" s="4">
        <v>349297.01190280099</v>
      </c>
      <c r="H260" s="5">
        <f t="shared" si="1"/>
        <v>0</v>
      </c>
      <c r="I260" t="s">
        <v>180</v>
      </c>
      <c r="J260" t="s">
        <v>54</v>
      </c>
      <c r="K260" s="5">
        <f>60 / 86400</f>
        <v>6.9444444444444447E-4</v>
      </c>
      <c r="L260" s="5">
        <f>72 / 86400</f>
        <v>8.3333333333333339E-4</v>
      </c>
    </row>
    <row r="261" spans="1:12" x14ac:dyDescent="0.25">
      <c r="A261" s="3">
        <v>45708.378136574072</v>
      </c>
      <c r="B261" t="s">
        <v>259</v>
      </c>
      <c r="C261" s="3">
        <v>45708.378599537042</v>
      </c>
      <c r="D261" t="s">
        <v>259</v>
      </c>
      <c r="E261" s="4">
        <v>5.7078855037689211E-2</v>
      </c>
      <c r="F261" s="4">
        <v>349297.02754419192</v>
      </c>
      <c r="G261" s="4">
        <v>349297.08462304692</v>
      </c>
      <c r="H261" s="5">
        <f t="shared" si="1"/>
        <v>0</v>
      </c>
      <c r="I261" t="s">
        <v>55</v>
      </c>
      <c r="J261" t="s">
        <v>55</v>
      </c>
      <c r="K261" s="5">
        <f>40 / 86400</f>
        <v>4.6296296296296298E-4</v>
      </c>
      <c r="L261" s="5">
        <f>25 / 86400</f>
        <v>2.8935185185185184E-4</v>
      </c>
    </row>
    <row r="262" spans="1:12" x14ac:dyDescent="0.25">
      <c r="A262" s="3">
        <v>45708.378888888888</v>
      </c>
      <c r="B262" t="s">
        <v>259</v>
      </c>
      <c r="C262" s="3">
        <v>45708.379583333328</v>
      </c>
      <c r="D262" t="s">
        <v>259</v>
      </c>
      <c r="E262" s="4">
        <v>0.36151675844192505</v>
      </c>
      <c r="F262" s="4">
        <v>349297.08929854288</v>
      </c>
      <c r="G262" s="4">
        <v>349297.45081530127</v>
      </c>
      <c r="H262" s="5">
        <f t="shared" si="1"/>
        <v>0</v>
      </c>
      <c r="I262" t="s">
        <v>250</v>
      </c>
      <c r="J262" t="s">
        <v>148</v>
      </c>
      <c r="K262" s="5">
        <f>60 / 86400</f>
        <v>6.9444444444444447E-4</v>
      </c>
      <c r="L262" s="5">
        <f>10 / 86400</f>
        <v>1.1574074074074075E-4</v>
      </c>
    </row>
    <row r="263" spans="1:12" x14ac:dyDescent="0.25">
      <c r="A263" s="3">
        <v>45708.379699074074</v>
      </c>
      <c r="B263" t="s">
        <v>259</v>
      </c>
      <c r="C263" s="3">
        <v>45708.38108796296</v>
      </c>
      <c r="D263" t="s">
        <v>80</v>
      </c>
      <c r="E263" s="4">
        <v>0.87310065186023711</v>
      </c>
      <c r="F263" s="4">
        <v>349297.4882354592</v>
      </c>
      <c r="G263" s="4">
        <v>349298.36133611109</v>
      </c>
      <c r="H263" s="5">
        <f t="shared" si="1"/>
        <v>0</v>
      </c>
      <c r="I263" t="s">
        <v>190</v>
      </c>
      <c r="J263" t="s">
        <v>189</v>
      </c>
      <c r="K263" s="5">
        <f>120 / 86400</f>
        <v>1.3888888888888889E-3</v>
      </c>
      <c r="L263" s="5">
        <f>7 / 86400</f>
        <v>8.1018518518518516E-5</v>
      </c>
    </row>
    <row r="264" spans="1:12" x14ac:dyDescent="0.25">
      <c r="A264" s="3">
        <v>45708.381168981483</v>
      </c>
      <c r="B264" t="s">
        <v>80</v>
      </c>
      <c r="C264" s="3">
        <v>45708.382557870369</v>
      </c>
      <c r="D264" t="s">
        <v>260</v>
      </c>
      <c r="E264" s="4">
        <v>1.0019132499098777</v>
      </c>
      <c r="F264" s="4">
        <v>349298.3641037654</v>
      </c>
      <c r="G264" s="4">
        <v>349299.36601701536</v>
      </c>
      <c r="H264" s="5">
        <f t="shared" si="1"/>
        <v>0</v>
      </c>
      <c r="I264" t="s">
        <v>185</v>
      </c>
      <c r="J264" t="s">
        <v>54</v>
      </c>
      <c r="K264" s="5">
        <f>120 / 86400</f>
        <v>1.3888888888888889E-3</v>
      </c>
      <c r="L264" s="5">
        <f>20 / 86400</f>
        <v>2.3148148148148149E-4</v>
      </c>
    </row>
    <row r="265" spans="1:12" x14ac:dyDescent="0.25">
      <c r="A265" s="3">
        <v>45708.382789351846</v>
      </c>
      <c r="B265" t="s">
        <v>260</v>
      </c>
      <c r="C265" s="3">
        <v>45708.383252314816</v>
      </c>
      <c r="D265" t="s">
        <v>261</v>
      </c>
      <c r="E265" s="4">
        <v>5.0402571022510528E-2</v>
      </c>
      <c r="F265" s="4">
        <v>349299.37550286634</v>
      </c>
      <c r="G265" s="4">
        <v>349299.42590543733</v>
      </c>
      <c r="H265" s="5">
        <f t="shared" si="1"/>
        <v>0</v>
      </c>
      <c r="I265" t="s">
        <v>26</v>
      </c>
      <c r="J265" t="s">
        <v>55</v>
      </c>
      <c r="K265" s="5">
        <f>40 / 86400</f>
        <v>4.6296296296296298E-4</v>
      </c>
      <c r="L265" s="5">
        <f>20 / 86400</f>
        <v>2.3148148148148149E-4</v>
      </c>
    </row>
    <row r="266" spans="1:12" x14ac:dyDescent="0.25">
      <c r="A266" s="3">
        <v>45708.383483796293</v>
      </c>
      <c r="B266" t="s">
        <v>261</v>
      </c>
      <c r="C266" s="3">
        <v>45708.383715277778</v>
      </c>
      <c r="D266" t="s">
        <v>261</v>
      </c>
      <c r="E266" s="4">
        <v>2.5921649336814881E-3</v>
      </c>
      <c r="F266" s="4">
        <v>349299.42968962452</v>
      </c>
      <c r="G266" s="4">
        <v>349299.43228178949</v>
      </c>
      <c r="H266" s="5">
        <f t="shared" si="1"/>
        <v>0</v>
      </c>
      <c r="I266" t="s">
        <v>145</v>
      </c>
      <c r="J266" t="s">
        <v>22</v>
      </c>
      <c r="K266" s="5">
        <f>20 / 86400</f>
        <v>2.3148148148148149E-4</v>
      </c>
      <c r="L266" s="5">
        <f>23 / 86400</f>
        <v>2.6620370370370372E-4</v>
      </c>
    </row>
    <row r="267" spans="1:12" x14ac:dyDescent="0.25">
      <c r="A267" s="3">
        <v>45708.383981481486</v>
      </c>
      <c r="B267" t="s">
        <v>261</v>
      </c>
      <c r="C267" s="3">
        <v>45708.386759259258</v>
      </c>
      <c r="D267" t="s">
        <v>262</v>
      </c>
      <c r="E267" s="4">
        <v>1.7891209287643433</v>
      </c>
      <c r="F267" s="4">
        <v>349299.43551013601</v>
      </c>
      <c r="G267" s="4">
        <v>349301.22463106475</v>
      </c>
      <c r="H267" s="5">
        <f t="shared" si="1"/>
        <v>0</v>
      </c>
      <c r="I267" t="s">
        <v>263</v>
      </c>
      <c r="J267" t="s">
        <v>150</v>
      </c>
      <c r="K267" s="5">
        <f>240 / 86400</f>
        <v>2.7777777777777779E-3</v>
      </c>
      <c r="L267" s="5">
        <f>2 / 86400</f>
        <v>2.3148148148148147E-5</v>
      </c>
    </row>
    <row r="268" spans="1:12" x14ac:dyDescent="0.25">
      <c r="A268" s="3">
        <v>45708.386782407411</v>
      </c>
      <c r="B268" t="s">
        <v>262</v>
      </c>
      <c r="C268" s="3">
        <v>45708.388171296298</v>
      </c>
      <c r="D268" t="s">
        <v>262</v>
      </c>
      <c r="E268" s="4">
        <v>1.2270044696927072</v>
      </c>
      <c r="F268" s="4">
        <v>349301.22621591983</v>
      </c>
      <c r="G268" s="4">
        <v>349302.45322038955</v>
      </c>
      <c r="H268" s="5">
        <f t="shared" si="1"/>
        <v>0</v>
      </c>
      <c r="I268" t="s">
        <v>116</v>
      </c>
      <c r="J268" t="s">
        <v>192</v>
      </c>
      <c r="K268" s="5">
        <f>120 / 86400</f>
        <v>1.3888888888888889E-3</v>
      </c>
      <c r="L268" s="5">
        <f>20 / 86400</f>
        <v>2.3148148148148149E-4</v>
      </c>
    </row>
    <row r="269" spans="1:12" x14ac:dyDescent="0.25">
      <c r="A269" s="3">
        <v>45708.388402777782</v>
      </c>
      <c r="B269" t="s">
        <v>262</v>
      </c>
      <c r="C269" s="3">
        <v>45708.38863425926</v>
      </c>
      <c r="D269" t="s">
        <v>262</v>
      </c>
      <c r="E269" s="4">
        <v>1.3734684765338897E-2</v>
      </c>
      <c r="F269" s="4">
        <v>349302.46429601632</v>
      </c>
      <c r="G269" s="4">
        <v>349302.47803070111</v>
      </c>
      <c r="H269" s="5">
        <f t="shared" si="1"/>
        <v>0</v>
      </c>
      <c r="I269" t="s">
        <v>145</v>
      </c>
      <c r="J269" t="s">
        <v>136</v>
      </c>
      <c r="K269" s="5">
        <f>20 / 86400</f>
        <v>2.3148148148148149E-4</v>
      </c>
      <c r="L269" s="5">
        <f>3 / 86400</f>
        <v>3.4722222222222222E-5</v>
      </c>
    </row>
    <row r="270" spans="1:12" x14ac:dyDescent="0.25">
      <c r="A270" s="3">
        <v>45708.388668981483</v>
      </c>
      <c r="B270" t="s">
        <v>262</v>
      </c>
      <c r="C270" s="3">
        <v>45708.38890046296</v>
      </c>
      <c r="D270" t="s">
        <v>165</v>
      </c>
      <c r="E270" s="4">
        <v>4.3157986462116243E-2</v>
      </c>
      <c r="F270" s="4">
        <v>349302.48125979584</v>
      </c>
      <c r="G270" s="4">
        <v>349302.52441778232</v>
      </c>
      <c r="H270" s="5">
        <f t="shared" si="1"/>
        <v>0</v>
      </c>
      <c r="I270" t="s">
        <v>55</v>
      </c>
      <c r="J270" t="s">
        <v>168</v>
      </c>
      <c r="K270" s="5">
        <f>20 / 86400</f>
        <v>2.3148148148148149E-4</v>
      </c>
      <c r="L270" s="5">
        <f>32 / 86400</f>
        <v>3.7037037037037035E-4</v>
      </c>
    </row>
    <row r="271" spans="1:12" x14ac:dyDescent="0.25">
      <c r="A271" s="3">
        <v>45708.38927083333</v>
      </c>
      <c r="B271" t="s">
        <v>165</v>
      </c>
      <c r="C271" s="3">
        <v>45708.391122685185</v>
      </c>
      <c r="D271" t="s">
        <v>264</v>
      </c>
      <c r="E271" s="4">
        <v>0.46225151801109315</v>
      </c>
      <c r="F271" s="4">
        <v>349302.53134959203</v>
      </c>
      <c r="G271" s="4">
        <v>349302.99360111007</v>
      </c>
      <c r="H271" s="5">
        <f t="shared" si="1"/>
        <v>0</v>
      </c>
      <c r="I271" t="s">
        <v>131</v>
      </c>
      <c r="J271" t="s">
        <v>97</v>
      </c>
      <c r="K271" s="5">
        <f>160 / 86400</f>
        <v>1.8518518518518519E-3</v>
      </c>
      <c r="L271" s="5">
        <f>40 / 86400</f>
        <v>4.6296296296296298E-4</v>
      </c>
    </row>
    <row r="272" spans="1:12" x14ac:dyDescent="0.25">
      <c r="A272" s="3">
        <v>45708.391585648147</v>
      </c>
      <c r="B272" t="s">
        <v>265</v>
      </c>
      <c r="C272" s="3">
        <v>45708.391817129625</v>
      </c>
      <c r="D272" t="s">
        <v>166</v>
      </c>
      <c r="E272" s="4">
        <v>0.10175522691011429</v>
      </c>
      <c r="F272" s="4">
        <v>349303.06010003068</v>
      </c>
      <c r="G272" s="4">
        <v>349303.16185525758</v>
      </c>
      <c r="H272" s="5">
        <f t="shared" si="1"/>
        <v>0</v>
      </c>
      <c r="I272" t="s">
        <v>142</v>
      </c>
      <c r="J272" t="s">
        <v>34</v>
      </c>
      <c r="K272" s="5">
        <f>20 / 86400</f>
        <v>2.3148148148148149E-4</v>
      </c>
      <c r="L272" s="5">
        <f>7 / 86400</f>
        <v>8.1018518518518516E-5</v>
      </c>
    </row>
    <row r="273" spans="1:12" x14ac:dyDescent="0.25">
      <c r="A273" s="3">
        <v>45708.391898148147</v>
      </c>
      <c r="B273" t="s">
        <v>166</v>
      </c>
      <c r="C273" s="3">
        <v>45708.394907407404</v>
      </c>
      <c r="D273" t="s">
        <v>98</v>
      </c>
      <c r="E273" s="4">
        <v>1.347485063791275</v>
      </c>
      <c r="F273" s="4">
        <v>349303.16534841806</v>
      </c>
      <c r="G273" s="4">
        <v>349304.51283348183</v>
      </c>
      <c r="H273" s="5">
        <f t="shared" si="1"/>
        <v>0</v>
      </c>
      <c r="I273" t="s">
        <v>160</v>
      </c>
      <c r="J273" t="s">
        <v>68</v>
      </c>
      <c r="K273" s="5">
        <f>260 / 86400</f>
        <v>3.0092592592592593E-3</v>
      </c>
      <c r="L273" s="5">
        <f>40 / 86400</f>
        <v>4.6296296296296298E-4</v>
      </c>
    </row>
    <row r="274" spans="1:12" x14ac:dyDescent="0.25">
      <c r="A274" s="3">
        <v>45708.395370370374</v>
      </c>
      <c r="B274" t="s">
        <v>266</v>
      </c>
      <c r="C274" s="3">
        <v>45708.396990740745</v>
      </c>
      <c r="D274" t="s">
        <v>98</v>
      </c>
      <c r="E274" s="4">
        <v>0.68234080654382701</v>
      </c>
      <c r="F274" s="4">
        <v>349304.52822896023</v>
      </c>
      <c r="G274" s="4">
        <v>349305.21056976676</v>
      </c>
      <c r="H274" s="5">
        <f t="shared" si="1"/>
        <v>0</v>
      </c>
      <c r="I274" t="s">
        <v>241</v>
      </c>
      <c r="J274" t="s">
        <v>34</v>
      </c>
      <c r="K274" s="5">
        <f>140 / 86400</f>
        <v>1.6203703703703703E-3</v>
      </c>
      <c r="L274" s="5">
        <f>20 / 86400</f>
        <v>2.3148148148148149E-4</v>
      </c>
    </row>
    <row r="275" spans="1:12" x14ac:dyDescent="0.25">
      <c r="A275" s="3">
        <v>45708.397222222222</v>
      </c>
      <c r="B275" t="s">
        <v>98</v>
      </c>
      <c r="C275" s="3">
        <v>45708.399560185186</v>
      </c>
      <c r="D275" t="s">
        <v>78</v>
      </c>
      <c r="E275" s="4">
        <v>1.7750871381163598</v>
      </c>
      <c r="F275" s="4">
        <v>349305.21449272108</v>
      </c>
      <c r="G275" s="4">
        <v>349306.98957985919</v>
      </c>
      <c r="H275" s="5">
        <f t="shared" si="1"/>
        <v>0</v>
      </c>
      <c r="I275" t="s">
        <v>147</v>
      </c>
      <c r="J275" t="s">
        <v>164</v>
      </c>
      <c r="K275" s="5">
        <f>202 / 86400</f>
        <v>2.3379629629629631E-3</v>
      </c>
      <c r="L275" s="5">
        <f>20 / 86400</f>
        <v>2.3148148148148149E-4</v>
      </c>
    </row>
    <row r="276" spans="1:12" x14ac:dyDescent="0.25">
      <c r="A276" s="3">
        <v>45708.39979166667</v>
      </c>
      <c r="B276" t="s">
        <v>78</v>
      </c>
      <c r="C276" s="3">
        <v>45708.400023148148</v>
      </c>
      <c r="D276" t="s">
        <v>78</v>
      </c>
      <c r="E276" s="4">
        <v>1.8024645388126374E-2</v>
      </c>
      <c r="F276" s="4">
        <v>349306.99707369437</v>
      </c>
      <c r="G276" s="4">
        <v>349307.01509833976</v>
      </c>
      <c r="H276" s="5">
        <f t="shared" si="1"/>
        <v>0</v>
      </c>
      <c r="I276" t="s">
        <v>135</v>
      </c>
      <c r="J276" t="s">
        <v>135</v>
      </c>
      <c r="K276" s="5">
        <f>20 / 86400</f>
        <v>2.3148148148148149E-4</v>
      </c>
      <c r="L276" s="5">
        <f>20 / 86400</f>
        <v>2.3148148148148149E-4</v>
      </c>
    </row>
    <row r="277" spans="1:12" x14ac:dyDescent="0.25">
      <c r="A277" s="3">
        <v>45708.400254629625</v>
      </c>
      <c r="B277" t="s">
        <v>78</v>
      </c>
      <c r="C277" s="3">
        <v>45708.40048611111</v>
      </c>
      <c r="D277" t="s">
        <v>78</v>
      </c>
      <c r="E277" s="4">
        <v>2.599313795566559E-3</v>
      </c>
      <c r="F277" s="4">
        <v>349307.02043950395</v>
      </c>
      <c r="G277" s="4">
        <v>349307.02303881774</v>
      </c>
      <c r="H277" s="5">
        <f t="shared" si="1"/>
        <v>0</v>
      </c>
      <c r="I277" t="s">
        <v>145</v>
      </c>
      <c r="J277" t="s">
        <v>22</v>
      </c>
      <c r="K277" s="5">
        <f>20 / 86400</f>
        <v>2.3148148148148149E-4</v>
      </c>
      <c r="L277" s="5">
        <f>20 / 86400</f>
        <v>2.3148148148148149E-4</v>
      </c>
    </row>
    <row r="278" spans="1:12" x14ac:dyDescent="0.25">
      <c r="A278" s="3">
        <v>45708.400717592594</v>
      </c>
      <c r="B278" t="s">
        <v>78</v>
      </c>
      <c r="C278" s="3">
        <v>45708.401643518519</v>
      </c>
      <c r="D278" t="s">
        <v>78</v>
      </c>
      <c r="E278" s="4">
        <v>0.48391896641254423</v>
      </c>
      <c r="F278" s="4">
        <v>349307.05315569608</v>
      </c>
      <c r="G278" s="4">
        <v>349307.53707466251</v>
      </c>
      <c r="H278" s="5">
        <f t="shared" si="1"/>
        <v>0</v>
      </c>
      <c r="I278" t="s">
        <v>160</v>
      </c>
      <c r="J278" t="s">
        <v>148</v>
      </c>
      <c r="K278" s="5">
        <f>80 / 86400</f>
        <v>9.2592592592592596E-4</v>
      </c>
      <c r="L278" s="5">
        <f>5 / 86400</f>
        <v>5.7870370370370373E-5</v>
      </c>
    </row>
    <row r="279" spans="1:12" x14ac:dyDescent="0.25">
      <c r="A279" s="3">
        <v>45708.401701388888</v>
      </c>
      <c r="B279" t="s">
        <v>78</v>
      </c>
      <c r="C279" s="3">
        <v>45708.402395833335</v>
      </c>
      <c r="D279" t="s">
        <v>78</v>
      </c>
      <c r="E279" s="4">
        <v>0.41127380245923995</v>
      </c>
      <c r="F279" s="4">
        <v>349307.5413452987</v>
      </c>
      <c r="G279" s="4">
        <v>349307.95261910115</v>
      </c>
      <c r="H279" s="5">
        <f t="shared" si="1"/>
        <v>0</v>
      </c>
      <c r="I279" t="s">
        <v>25</v>
      </c>
      <c r="J279" t="s">
        <v>142</v>
      </c>
      <c r="K279" s="5">
        <f>60 / 86400</f>
        <v>6.9444444444444447E-4</v>
      </c>
      <c r="L279" s="5">
        <f>25 / 86400</f>
        <v>2.8935185185185184E-4</v>
      </c>
    </row>
    <row r="280" spans="1:12" x14ac:dyDescent="0.25">
      <c r="A280" s="3">
        <v>45708.402685185181</v>
      </c>
      <c r="B280" t="s">
        <v>267</v>
      </c>
      <c r="C280" s="3">
        <v>45708.403379629628</v>
      </c>
      <c r="D280" t="s">
        <v>78</v>
      </c>
      <c r="E280" s="4">
        <v>0.32562062406539916</v>
      </c>
      <c r="F280" s="4">
        <v>349307.96381276334</v>
      </c>
      <c r="G280" s="4">
        <v>349308.2894333874</v>
      </c>
      <c r="H280" s="5">
        <f t="shared" si="1"/>
        <v>0</v>
      </c>
      <c r="I280" t="s">
        <v>140</v>
      </c>
      <c r="J280" t="s">
        <v>131</v>
      </c>
      <c r="K280" s="5">
        <f>60 / 86400</f>
        <v>6.9444444444444447E-4</v>
      </c>
      <c r="L280" s="5">
        <f t="shared" ref="L280:L286" si="2">20 / 86400</f>
        <v>2.3148148148148149E-4</v>
      </c>
    </row>
    <row r="281" spans="1:12" x14ac:dyDescent="0.25">
      <c r="A281" s="3">
        <v>45708.403611111113</v>
      </c>
      <c r="B281" t="s">
        <v>78</v>
      </c>
      <c r="C281" s="3">
        <v>45708.404305555552</v>
      </c>
      <c r="D281" t="s">
        <v>170</v>
      </c>
      <c r="E281" s="4">
        <v>0.39466279196739196</v>
      </c>
      <c r="F281" s="4">
        <v>349308.40141443221</v>
      </c>
      <c r="G281" s="4">
        <v>349308.79607722419</v>
      </c>
      <c r="H281" s="5">
        <f t="shared" si="1"/>
        <v>0</v>
      </c>
      <c r="I281" t="s">
        <v>250</v>
      </c>
      <c r="J281" t="s">
        <v>157</v>
      </c>
      <c r="K281" s="5">
        <f>60 / 86400</f>
        <v>6.9444444444444447E-4</v>
      </c>
      <c r="L281" s="5">
        <f t="shared" si="2"/>
        <v>2.3148148148148149E-4</v>
      </c>
    </row>
    <row r="282" spans="1:12" x14ac:dyDescent="0.25">
      <c r="A282" s="3">
        <v>45708.404537037037</v>
      </c>
      <c r="B282" t="s">
        <v>78</v>
      </c>
      <c r="C282" s="3">
        <v>45708.404999999999</v>
      </c>
      <c r="D282" t="s">
        <v>78</v>
      </c>
      <c r="E282" s="4">
        <v>0.3819088314771652</v>
      </c>
      <c r="F282" s="4">
        <v>349308.95931297156</v>
      </c>
      <c r="G282" s="4">
        <v>349309.34122180304</v>
      </c>
      <c r="H282" s="5">
        <f t="shared" si="1"/>
        <v>0</v>
      </c>
      <c r="I282" t="s">
        <v>185</v>
      </c>
      <c r="J282" t="s">
        <v>160</v>
      </c>
      <c r="K282" s="5">
        <f>40 / 86400</f>
        <v>4.6296296296296298E-4</v>
      </c>
      <c r="L282" s="5">
        <f t="shared" si="2"/>
        <v>2.3148148148148149E-4</v>
      </c>
    </row>
    <row r="283" spans="1:12" x14ac:dyDescent="0.25">
      <c r="A283" s="3">
        <v>45708.405231481476</v>
      </c>
      <c r="B283" t="s">
        <v>78</v>
      </c>
      <c r="C283" s="3">
        <v>45708.408009259263</v>
      </c>
      <c r="D283" t="s">
        <v>268</v>
      </c>
      <c r="E283" s="4">
        <v>2.206420177400112</v>
      </c>
      <c r="F283" s="4">
        <v>349309.37731137843</v>
      </c>
      <c r="G283" s="4">
        <v>349311.58373155585</v>
      </c>
      <c r="H283" s="5">
        <f t="shared" si="1"/>
        <v>0</v>
      </c>
      <c r="I283" t="s">
        <v>171</v>
      </c>
      <c r="J283" t="s">
        <v>31</v>
      </c>
      <c r="K283" s="5">
        <f>240 / 86400</f>
        <v>2.7777777777777779E-3</v>
      </c>
      <c r="L283" s="5">
        <f t="shared" si="2"/>
        <v>2.3148148148148149E-4</v>
      </c>
    </row>
    <row r="284" spans="1:12" x14ac:dyDescent="0.25">
      <c r="A284" s="3">
        <v>45708.40824074074</v>
      </c>
      <c r="B284" t="s">
        <v>268</v>
      </c>
      <c r="C284" s="3">
        <v>45708.408472222218</v>
      </c>
      <c r="D284" t="s">
        <v>269</v>
      </c>
      <c r="E284" s="4">
        <v>5.2102296710014345E-2</v>
      </c>
      <c r="F284" s="4">
        <v>349311.59247614909</v>
      </c>
      <c r="G284" s="4">
        <v>349311.64457844582</v>
      </c>
      <c r="H284" s="5">
        <f t="shared" si="1"/>
        <v>0</v>
      </c>
      <c r="I284" t="s">
        <v>137</v>
      </c>
      <c r="J284" t="s">
        <v>137</v>
      </c>
      <c r="K284" s="5">
        <f>20 / 86400</f>
        <v>2.3148148148148149E-4</v>
      </c>
      <c r="L284" s="5">
        <f t="shared" si="2"/>
        <v>2.3148148148148149E-4</v>
      </c>
    </row>
    <row r="285" spans="1:12" x14ac:dyDescent="0.25">
      <c r="A285" s="3">
        <v>45708.408703703702</v>
      </c>
      <c r="B285" t="s">
        <v>84</v>
      </c>
      <c r="C285" s="3">
        <v>45708.409768518519</v>
      </c>
      <c r="D285" t="s">
        <v>270</v>
      </c>
      <c r="E285" s="4">
        <v>0.73489303141832352</v>
      </c>
      <c r="F285" s="4">
        <v>349311.72538181912</v>
      </c>
      <c r="G285" s="4">
        <v>349312.46027485054</v>
      </c>
      <c r="H285" s="5">
        <f t="shared" si="1"/>
        <v>0</v>
      </c>
      <c r="I285" t="s">
        <v>172</v>
      </c>
      <c r="J285" t="s">
        <v>217</v>
      </c>
      <c r="K285" s="5">
        <f>92 / 86400</f>
        <v>1.0648148148148149E-3</v>
      </c>
      <c r="L285" s="5">
        <f t="shared" si="2"/>
        <v>2.3148148148148149E-4</v>
      </c>
    </row>
    <row r="286" spans="1:12" x14ac:dyDescent="0.25">
      <c r="A286" s="3">
        <v>45708.41</v>
      </c>
      <c r="B286" t="s">
        <v>191</v>
      </c>
      <c r="C286" s="3">
        <v>45708.412777777776</v>
      </c>
      <c r="D286" t="s">
        <v>271</v>
      </c>
      <c r="E286" s="4">
        <v>1.9938242405056954</v>
      </c>
      <c r="F286" s="4">
        <v>349312.51396420237</v>
      </c>
      <c r="G286" s="4">
        <v>349314.50778844283</v>
      </c>
      <c r="H286" s="5">
        <f t="shared" ref="H286:H349" si="3">0 / 86400</f>
        <v>0</v>
      </c>
      <c r="I286" t="s">
        <v>104</v>
      </c>
      <c r="J286" t="s">
        <v>54</v>
      </c>
      <c r="K286" s="5">
        <f>240 / 86400</f>
        <v>2.7777777777777779E-3</v>
      </c>
      <c r="L286" s="5">
        <f t="shared" si="2"/>
        <v>2.3148148148148149E-4</v>
      </c>
    </row>
    <row r="287" spans="1:12" x14ac:dyDescent="0.25">
      <c r="A287" s="3">
        <v>45708.41300925926</v>
      </c>
      <c r="B287" t="s">
        <v>271</v>
      </c>
      <c r="C287" s="3">
        <v>45708.4137037037</v>
      </c>
      <c r="D287" t="s">
        <v>186</v>
      </c>
      <c r="E287" s="4">
        <v>0.32661321318149567</v>
      </c>
      <c r="F287" s="4">
        <v>349314.58612624882</v>
      </c>
      <c r="G287" s="4">
        <v>349314.91273946204</v>
      </c>
      <c r="H287" s="5">
        <f t="shared" si="3"/>
        <v>0</v>
      </c>
      <c r="I287" t="s">
        <v>160</v>
      </c>
      <c r="J287" t="s">
        <v>131</v>
      </c>
      <c r="K287" s="5">
        <f>60 / 86400</f>
        <v>6.9444444444444447E-4</v>
      </c>
      <c r="L287" s="5">
        <f>60 / 86400</f>
        <v>6.9444444444444447E-4</v>
      </c>
    </row>
    <row r="288" spans="1:12" x14ac:dyDescent="0.25">
      <c r="A288" s="3">
        <v>45708.414398148147</v>
      </c>
      <c r="B288" t="s">
        <v>188</v>
      </c>
      <c r="C288" s="3">
        <v>45708.415092592593</v>
      </c>
      <c r="D288" t="s">
        <v>87</v>
      </c>
      <c r="E288" s="4">
        <v>0.57323853594064711</v>
      </c>
      <c r="F288" s="4">
        <v>349314.98403513792</v>
      </c>
      <c r="G288" s="4">
        <v>349315.55727367388</v>
      </c>
      <c r="H288" s="5">
        <f t="shared" si="3"/>
        <v>0</v>
      </c>
      <c r="I288" t="s">
        <v>179</v>
      </c>
      <c r="J288" t="s">
        <v>160</v>
      </c>
      <c r="K288" s="5">
        <f>60 / 86400</f>
        <v>6.9444444444444447E-4</v>
      </c>
      <c r="L288" s="5">
        <f>20 / 86400</f>
        <v>2.3148148148148149E-4</v>
      </c>
    </row>
    <row r="289" spans="1:12" x14ac:dyDescent="0.25">
      <c r="A289" s="3">
        <v>45708.415324074071</v>
      </c>
      <c r="B289" t="s">
        <v>87</v>
      </c>
      <c r="C289" s="3">
        <v>45708.419722222221</v>
      </c>
      <c r="D289" t="s">
        <v>272</v>
      </c>
      <c r="E289" s="4">
        <v>3.8804166491627692</v>
      </c>
      <c r="F289" s="4">
        <v>349315.65829586936</v>
      </c>
      <c r="G289" s="4">
        <v>349319.53871251852</v>
      </c>
      <c r="H289" s="5">
        <f t="shared" si="3"/>
        <v>0</v>
      </c>
      <c r="I289" t="s">
        <v>263</v>
      </c>
      <c r="J289" t="s">
        <v>192</v>
      </c>
      <c r="K289" s="5">
        <f>380 / 86400</f>
        <v>4.3981481481481484E-3</v>
      </c>
      <c r="L289" s="5">
        <f>40 / 86400</f>
        <v>4.6296296296296298E-4</v>
      </c>
    </row>
    <row r="290" spans="1:12" x14ac:dyDescent="0.25">
      <c r="A290" s="3">
        <v>45708.420185185183</v>
      </c>
      <c r="B290" t="s">
        <v>272</v>
      </c>
      <c r="C290" s="3">
        <v>45708.421342592592</v>
      </c>
      <c r="D290" t="s">
        <v>273</v>
      </c>
      <c r="E290" s="4">
        <v>0.56863254380226136</v>
      </c>
      <c r="F290" s="4">
        <v>349319.55851687636</v>
      </c>
      <c r="G290" s="4">
        <v>349320.12714942015</v>
      </c>
      <c r="H290" s="5">
        <f t="shared" si="3"/>
        <v>0</v>
      </c>
      <c r="I290" t="s">
        <v>160</v>
      </c>
      <c r="J290" t="s">
        <v>131</v>
      </c>
      <c r="K290" s="5">
        <f>100 / 86400</f>
        <v>1.1574074074074073E-3</v>
      </c>
      <c r="L290" s="5">
        <f t="shared" ref="L290:L295" si="4">20 / 86400</f>
        <v>2.3148148148148149E-4</v>
      </c>
    </row>
    <row r="291" spans="1:12" x14ac:dyDescent="0.25">
      <c r="A291" s="3">
        <v>45708.421574074076</v>
      </c>
      <c r="B291" t="s">
        <v>274</v>
      </c>
      <c r="C291" s="3">
        <v>45708.423194444447</v>
      </c>
      <c r="D291" t="s">
        <v>182</v>
      </c>
      <c r="E291" s="4">
        <v>1.2349784679412841</v>
      </c>
      <c r="F291" s="4">
        <v>349320.24043996772</v>
      </c>
      <c r="G291" s="4">
        <v>349321.47541843564</v>
      </c>
      <c r="H291" s="5">
        <f t="shared" si="3"/>
        <v>0</v>
      </c>
      <c r="I291" t="s">
        <v>161</v>
      </c>
      <c r="J291" t="s">
        <v>164</v>
      </c>
      <c r="K291" s="5">
        <f>140 / 86400</f>
        <v>1.6203703703703703E-3</v>
      </c>
      <c r="L291" s="5">
        <f t="shared" si="4"/>
        <v>2.3148148148148149E-4</v>
      </c>
    </row>
    <row r="292" spans="1:12" x14ac:dyDescent="0.25">
      <c r="A292" s="3">
        <v>45708.423425925925</v>
      </c>
      <c r="B292" t="s">
        <v>182</v>
      </c>
      <c r="C292" s="3">
        <v>45708.428171296298</v>
      </c>
      <c r="D292" t="s">
        <v>275</v>
      </c>
      <c r="E292" s="4">
        <v>4.133611091911793</v>
      </c>
      <c r="F292" s="4">
        <v>349321.50359549077</v>
      </c>
      <c r="G292" s="4">
        <v>349325.63720658264</v>
      </c>
      <c r="H292" s="5">
        <f t="shared" si="3"/>
        <v>0</v>
      </c>
      <c r="I292" t="s">
        <v>40</v>
      </c>
      <c r="J292" t="s">
        <v>139</v>
      </c>
      <c r="K292" s="5">
        <f>410 / 86400</f>
        <v>4.7453703703703703E-3</v>
      </c>
      <c r="L292" s="5">
        <f t="shared" si="4"/>
        <v>2.3148148148148149E-4</v>
      </c>
    </row>
    <row r="293" spans="1:12" x14ac:dyDescent="0.25">
      <c r="A293" s="3">
        <v>45708.428402777776</v>
      </c>
      <c r="B293" t="s">
        <v>275</v>
      </c>
      <c r="C293" s="3">
        <v>45708.43167824074</v>
      </c>
      <c r="D293" t="s">
        <v>276</v>
      </c>
      <c r="E293" s="4">
        <v>2.7806560032963752</v>
      </c>
      <c r="F293" s="4">
        <v>349325.68048287905</v>
      </c>
      <c r="G293" s="4">
        <v>349328.46113888233</v>
      </c>
      <c r="H293" s="5">
        <f t="shared" si="3"/>
        <v>0</v>
      </c>
      <c r="I293" t="s">
        <v>40</v>
      </c>
      <c r="J293" t="s">
        <v>178</v>
      </c>
      <c r="K293" s="5">
        <f>283 / 86400</f>
        <v>3.2754629629629631E-3</v>
      </c>
      <c r="L293" s="5">
        <f t="shared" si="4"/>
        <v>2.3148148148148149E-4</v>
      </c>
    </row>
    <row r="294" spans="1:12" x14ac:dyDescent="0.25">
      <c r="A294" s="3">
        <v>45708.431909722218</v>
      </c>
      <c r="B294" t="s">
        <v>276</v>
      </c>
      <c r="C294" s="3">
        <v>45708.438125000001</v>
      </c>
      <c r="D294" t="s">
        <v>277</v>
      </c>
      <c r="E294" s="4">
        <v>2.7468446846604349</v>
      </c>
      <c r="F294" s="4">
        <v>349328.50833903649</v>
      </c>
      <c r="G294" s="4">
        <v>349331.25518372114</v>
      </c>
      <c r="H294" s="5">
        <f t="shared" si="3"/>
        <v>0</v>
      </c>
      <c r="I294" t="s">
        <v>161</v>
      </c>
      <c r="J294" t="s">
        <v>34</v>
      </c>
      <c r="K294" s="5">
        <f>537 / 86400</f>
        <v>6.2152777777777779E-3</v>
      </c>
      <c r="L294" s="5">
        <f t="shared" si="4"/>
        <v>2.3148148148148149E-4</v>
      </c>
    </row>
    <row r="295" spans="1:12" x14ac:dyDescent="0.25">
      <c r="A295" s="3">
        <v>45708.438356481478</v>
      </c>
      <c r="B295" t="s">
        <v>277</v>
      </c>
      <c r="C295" s="3">
        <v>45708.439282407402</v>
      </c>
      <c r="D295" t="s">
        <v>277</v>
      </c>
      <c r="E295" s="4">
        <v>0.62847450363636015</v>
      </c>
      <c r="F295" s="4">
        <v>349331.2772239559</v>
      </c>
      <c r="G295" s="4">
        <v>349331.90569845948</v>
      </c>
      <c r="H295" s="5">
        <f t="shared" si="3"/>
        <v>0</v>
      </c>
      <c r="I295" t="s">
        <v>201</v>
      </c>
      <c r="J295" t="s">
        <v>162</v>
      </c>
      <c r="K295" s="5">
        <f>80 / 86400</f>
        <v>9.2592592592592596E-4</v>
      </c>
      <c r="L295" s="5">
        <f t="shared" si="4"/>
        <v>2.3148148148148149E-4</v>
      </c>
    </row>
    <row r="296" spans="1:12" x14ac:dyDescent="0.25">
      <c r="A296" s="3">
        <v>45708.439513888894</v>
      </c>
      <c r="B296" t="s">
        <v>277</v>
      </c>
      <c r="C296" s="3">
        <v>45708.440671296295</v>
      </c>
      <c r="D296" t="s">
        <v>278</v>
      </c>
      <c r="E296" s="4">
        <v>0.68273093110322958</v>
      </c>
      <c r="F296" s="4">
        <v>349332.08378735645</v>
      </c>
      <c r="G296" s="4">
        <v>349332.76651828754</v>
      </c>
      <c r="H296" s="5">
        <f t="shared" si="3"/>
        <v>0</v>
      </c>
      <c r="I296" t="s">
        <v>180</v>
      </c>
      <c r="J296" t="s">
        <v>142</v>
      </c>
      <c r="K296" s="5">
        <f>100 / 86400</f>
        <v>1.1574074074074073E-3</v>
      </c>
      <c r="L296" s="5">
        <f>3 / 86400</f>
        <v>3.4722222222222222E-5</v>
      </c>
    </row>
    <row r="297" spans="1:12" x14ac:dyDescent="0.25">
      <c r="A297" s="3">
        <v>45708.440706018519</v>
      </c>
      <c r="B297" t="s">
        <v>278</v>
      </c>
      <c r="C297" s="3">
        <v>45708.445474537039</v>
      </c>
      <c r="D297" t="s">
        <v>279</v>
      </c>
      <c r="E297" s="4">
        <v>2.0555981843471529</v>
      </c>
      <c r="F297" s="4">
        <v>349332.77158400149</v>
      </c>
      <c r="G297" s="4">
        <v>349334.82718218584</v>
      </c>
      <c r="H297" s="5">
        <f t="shared" si="3"/>
        <v>0</v>
      </c>
      <c r="I297" t="s">
        <v>250</v>
      </c>
      <c r="J297" t="s">
        <v>34</v>
      </c>
      <c r="K297" s="5">
        <f>412 / 86400</f>
        <v>4.7685185185185183E-3</v>
      </c>
      <c r="L297" s="5">
        <f>9 / 86400</f>
        <v>1.0416666666666667E-4</v>
      </c>
    </row>
    <row r="298" spans="1:12" x14ac:dyDescent="0.25">
      <c r="A298" s="3">
        <v>45708.4455787037</v>
      </c>
      <c r="B298" t="s">
        <v>279</v>
      </c>
      <c r="C298" s="3">
        <v>45708.446226851855</v>
      </c>
      <c r="D298" t="s">
        <v>53</v>
      </c>
      <c r="E298" s="4">
        <v>0.13707063210010528</v>
      </c>
      <c r="F298" s="4">
        <v>349334.83263206447</v>
      </c>
      <c r="G298" s="4">
        <v>349334.96970269654</v>
      </c>
      <c r="H298" s="5">
        <f t="shared" si="3"/>
        <v>0</v>
      </c>
      <c r="I298" t="s">
        <v>168</v>
      </c>
      <c r="J298" t="s">
        <v>137</v>
      </c>
      <c r="K298" s="5">
        <f>56 / 86400</f>
        <v>6.4814814814814813E-4</v>
      </c>
      <c r="L298" s="5">
        <f>3263 / 86400</f>
        <v>3.7766203703703705E-2</v>
      </c>
    </row>
    <row r="299" spans="1:12" x14ac:dyDescent="0.25">
      <c r="A299" s="3">
        <v>45708.483993055561</v>
      </c>
      <c r="B299" t="s">
        <v>53</v>
      </c>
      <c r="C299" s="3">
        <v>45708.486840277779</v>
      </c>
      <c r="D299" t="s">
        <v>149</v>
      </c>
      <c r="E299" s="4">
        <v>0.90136306262016297</v>
      </c>
      <c r="F299" s="4">
        <v>349334.98392926727</v>
      </c>
      <c r="G299" s="4">
        <v>349335.88529232988</v>
      </c>
      <c r="H299" s="5">
        <f t="shared" si="3"/>
        <v>0</v>
      </c>
      <c r="I299" t="s">
        <v>217</v>
      </c>
      <c r="J299" t="s">
        <v>29</v>
      </c>
      <c r="K299" s="5">
        <f>246 / 86400</f>
        <v>2.8472222222222223E-3</v>
      </c>
      <c r="L299" s="5">
        <f>1151 / 86400</f>
        <v>1.3321759259259259E-2</v>
      </c>
    </row>
    <row r="300" spans="1:12" x14ac:dyDescent="0.25">
      <c r="A300" s="3">
        <v>45708.500162037039</v>
      </c>
      <c r="B300" t="s">
        <v>149</v>
      </c>
      <c r="C300" s="3">
        <v>45708.500393518523</v>
      </c>
      <c r="D300" t="s">
        <v>149</v>
      </c>
      <c r="E300" s="4">
        <v>1.5980498611927033E-2</v>
      </c>
      <c r="F300" s="4">
        <v>349335.89980118256</v>
      </c>
      <c r="G300" s="4">
        <v>349335.91578168119</v>
      </c>
      <c r="H300" s="5">
        <f t="shared" si="3"/>
        <v>0</v>
      </c>
      <c r="I300" t="s">
        <v>32</v>
      </c>
      <c r="J300" t="s">
        <v>135</v>
      </c>
      <c r="K300" s="5">
        <f>20 / 86400</f>
        <v>2.3148148148148149E-4</v>
      </c>
      <c r="L300" s="5">
        <f>45 / 86400</f>
        <v>5.2083333333333333E-4</v>
      </c>
    </row>
    <row r="301" spans="1:12" x14ac:dyDescent="0.25">
      <c r="A301" s="3">
        <v>45708.500914351855</v>
      </c>
      <c r="B301" t="s">
        <v>149</v>
      </c>
      <c r="C301" s="3">
        <v>45708.511597222227</v>
      </c>
      <c r="D301" t="s">
        <v>280</v>
      </c>
      <c r="E301" s="4">
        <v>5.510268189370632</v>
      </c>
      <c r="F301" s="4">
        <v>349335.9222639901</v>
      </c>
      <c r="G301" s="4">
        <v>349341.43253217946</v>
      </c>
      <c r="H301" s="5">
        <f t="shared" si="3"/>
        <v>0</v>
      </c>
      <c r="I301" t="s">
        <v>96</v>
      </c>
      <c r="J301" t="s">
        <v>38</v>
      </c>
      <c r="K301" s="5">
        <f>923 / 86400</f>
        <v>1.068287037037037E-2</v>
      </c>
      <c r="L301" s="5">
        <f>40 / 86400</f>
        <v>4.6296296296296298E-4</v>
      </c>
    </row>
    <row r="302" spans="1:12" x14ac:dyDescent="0.25">
      <c r="A302" s="3">
        <v>45708.512060185181</v>
      </c>
      <c r="B302" t="s">
        <v>280</v>
      </c>
      <c r="C302" s="3">
        <v>45708.512291666666</v>
      </c>
      <c r="D302" t="s">
        <v>280</v>
      </c>
      <c r="E302" s="4">
        <v>3.8032765388488769E-3</v>
      </c>
      <c r="F302" s="4">
        <v>349341.45449495205</v>
      </c>
      <c r="G302" s="4">
        <v>349341.45829822856</v>
      </c>
      <c r="H302" s="5">
        <f t="shared" si="3"/>
        <v>0</v>
      </c>
      <c r="I302" t="s">
        <v>135</v>
      </c>
      <c r="J302" t="s">
        <v>145</v>
      </c>
      <c r="K302" s="5">
        <f>20 / 86400</f>
        <v>2.3148148148148149E-4</v>
      </c>
      <c r="L302" s="5">
        <f>80 / 86400</f>
        <v>9.2592592592592596E-4</v>
      </c>
    </row>
    <row r="303" spans="1:12" x14ac:dyDescent="0.25">
      <c r="A303" s="3">
        <v>45708.513217592597</v>
      </c>
      <c r="B303" t="s">
        <v>281</v>
      </c>
      <c r="C303" s="3">
        <v>45708.513449074075</v>
      </c>
      <c r="D303" t="s">
        <v>280</v>
      </c>
      <c r="E303" s="4">
        <v>8.3158385157585148E-3</v>
      </c>
      <c r="F303" s="4">
        <v>349341.46881993191</v>
      </c>
      <c r="G303" s="4">
        <v>349341.47713577043</v>
      </c>
      <c r="H303" s="5">
        <f t="shared" si="3"/>
        <v>0</v>
      </c>
      <c r="I303" t="s">
        <v>143</v>
      </c>
      <c r="J303" t="s">
        <v>145</v>
      </c>
      <c r="K303" s="5">
        <f>20 / 86400</f>
        <v>2.3148148148148149E-4</v>
      </c>
      <c r="L303" s="5">
        <f>180 / 86400</f>
        <v>2.0833333333333333E-3</v>
      </c>
    </row>
    <row r="304" spans="1:12" x14ac:dyDescent="0.25">
      <c r="A304" s="3">
        <v>45708.515532407408</v>
      </c>
      <c r="B304" t="s">
        <v>281</v>
      </c>
      <c r="C304" s="3">
        <v>45708.515763888892</v>
      </c>
      <c r="D304" t="s">
        <v>280</v>
      </c>
      <c r="E304" s="4">
        <v>1.5707488059997559E-3</v>
      </c>
      <c r="F304" s="4">
        <v>349341.5011887424</v>
      </c>
      <c r="G304" s="4">
        <v>349341.50275949121</v>
      </c>
      <c r="H304" s="5">
        <f t="shared" si="3"/>
        <v>0</v>
      </c>
      <c r="I304" t="s">
        <v>136</v>
      </c>
      <c r="J304" t="s">
        <v>22</v>
      </c>
      <c r="K304" s="5">
        <f>20 / 86400</f>
        <v>2.3148148148148149E-4</v>
      </c>
      <c r="L304" s="5">
        <f>220 / 86400</f>
        <v>2.5462962962962965E-3</v>
      </c>
    </row>
    <row r="305" spans="1:12" x14ac:dyDescent="0.25">
      <c r="A305" s="3">
        <v>45708.518310185187</v>
      </c>
      <c r="B305" t="s">
        <v>281</v>
      </c>
      <c r="C305" s="3">
        <v>45708.518541666665</v>
      </c>
      <c r="D305" t="s">
        <v>281</v>
      </c>
      <c r="E305" s="4">
        <v>3.7522515654563903E-3</v>
      </c>
      <c r="F305" s="4">
        <v>349341.53517942852</v>
      </c>
      <c r="G305" s="4">
        <v>349341.53893168009</v>
      </c>
      <c r="H305" s="5">
        <f t="shared" si="3"/>
        <v>0</v>
      </c>
      <c r="I305" t="s">
        <v>145</v>
      </c>
      <c r="J305" t="s">
        <v>145</v>
      </c>
      <c r="K305" s="5">
        <f>20 / 86400</f>
        <v>2.3148148148148149E-4</v>
      </c>
      <c r="L305" s="5">
        <f>60 / 86400</f>
        <v>6.9444444444444447E-4</v>
      </c>
    </row>
    <row r="306" spans="1:12" x14ac:dyDescent="0.25">
      <c r="A306" s="3">
        <v>45708.519236111111</v>
      </c>
      <c r="B306" t="s">
        <v>281</v>
      </c>
      <c r="C306" s="3">
        <v>45708.519930555558</v>
      </c>
      <c r="D306" t="s">
        <v>282</v>
      </c>
      <c r="E306" s="4">
        <v>0.21590931683778763</v>
      </c>
      <c r="F306" s="4">
        <v>349341.55548380187</v>
      </c>
      <c r="G306" s="4">
        <v>349341.77139311872</v>
      </c>
      <c r="H306" s="5">
        <f t="shared" si="3"/>
        <v>0</v>
      </c>
      <c r="I306" t="s">
        <v>157</v>
      </c>
      <c r="J306" t="s">
        <v>29</v>
      </c>
      <c r="K306" s="5">
        <f>60 / 86400</f>
        <v>6.9444444444444447E-4</v>
      </c>
      <c r="L306" s="5">
        <f>20 / 86400</f>
        <v>2.3148148148148149E-4</v>
      </c>
    </row>
    <row r="307" spans="1:12" x14ac:dyDescent="0.25">
      <c r="A307" s="3">
        <v>45708.520162037035</v>
      </c>
      <c r="B307" t="s">
        <v>282</v>
      </c>
      <c r="C307" s="3">
        <v>45708.52039351852</v>
      </c>
      <c r="D307" t="s">
        <v>283</v>
      </c>
      <c r="E307" s="4">
        <v>1.3171669363975525E-2</v>
      </c>
      <c r="F307" s="4">
        <v>349341.78490089026</v>
      </c>
      <c r="G307" s="4">
        <v>349341.79807255958</v>
      </c>
      <c r="H307" s="5">
        <f t="shared" si="3"/>
        <v>0</v>
      </c>
      <c r="I307" t="s">
        <v>145</v>
      </c>
      <c r="J307" t="s">
        <v>136</v>
      </c>
      <c r="K307" s="5">
        <f>20 / 86400</f>
        <v>2.3148148148148149E-4</v>
      </c>
      <c r="L307" s="5">
        <f>20 / 86400</f>
        <v>2.3148148148148149E-4</v>
      </c>
    </row>
    <row r="308" spans="1:12" x14ac:dyDescent="0.25">
      <c r="A308" s="3">
        <v>45708.520625000005</v>
      </c>
      <c r="B308" t="s">
        <v>284</v>
      </c>
      <c r="C308" s="3">
        <v>45708.521319444444</v>
      </c>
      <c r="D308" t="s">
        <v>285</v>
      </c>
      <c r="E308" s="4">
        <v>0.36646576875448228</v>
      </c>
      <c r="F308" s="4">
        <v>349341.8288080832</v>
      </c>
      <c r="G308" s="4">
        <v>349342.19527385192</v>
      </c>
      <c r="H308" s="5">
        <f t="shared" si="3"/>
        <v>0</v>
      </c>
      <c r="I308" t="s">
        <v>162</v>
      </c>
      <c r="J308" t="s">
        <v>148</v>
      </c>
      <c r="K308" s="5">
        <f>60 / 86400</f>
        <v>6.9444444444444447E-4</v>
      </c>
      <c r="L308" s="5">
        <f>20 / 86400</f>
        <v>2.3148148148148149E-4</v>
      </c>
    </row>
    <row r="309" spans="1:12" x14ac:dyDescent="0.25">
      <c r="A309" s="3">
        <v>45708.521550925929</v>
      </c>
      <c r="B309" t="s">
        <v>286</v>
      </c>
      <c r="C309" s="3">
        <v>45708.522245370375</v>
      </c>
      <c r="D309" t="s">
        <v>285</v>
      </c>
      <c r="E309" s="4">
        <v>0.51690093410015103</v>
      </c>
      <c r="F309" s="4">
        <v>349342.21035469556</v>
      </c>
      <c r="G309" s="4">
        <v>349342.72725562967</v>
      </c>
      <c r="H309" s="5">
        <f t="shared" si="3"/>
        <v>0</v>
      </c>
      <c r="I309" t="s">
        <v>180</v>
      </c>
      <c r="J309" t="s">
        <v>134</v>
      </c>
      <c r="K309" s="5">
        <f>60 / 86400</f>
        <v>6.9444444444444447E-4</v>
      </c>
      <c r="L309" s="5">
        <f>20 / 86400</f>
        <v>2.3148148148148149E-4</v>
      </c>
    </row>
    <row r="310" spans="1:12" x14ac:dyDescent="0.25">
      <c r="A310" s="3">
        <v>45708.522476851853</v>
      </c>
      <c r="B310" t="s">
        <v>285</v>
      </c>
      <c r="C310" s="3">
        <v>45708.52553240741</v>
      </c>
      <c r="D310" t="s">
        <v>275</v>
      </c>
      <c r="E310" s="4">
        <v>2.8737440634965896</v>
      </c>
      <c r="F310" s="4">
        <v>349342.72803186974</v>
      </c>
      <c r="G310" s="4">
        <v>349345.60177593329</v>
      </c>
      <c r="H310" s="5">
        <f t="shared" si="3"/>
        <v>0</v>
      </c>
      <c r="I310" t="s">
        <v>287</v>
      </c>
      <c r="J310" t="s">
        <v>250</v>
      </c>
      <c r="K310" s="5">
        <f>264 / 86400</f>
        <v>3.0555555555555557E-3</v>
      </c>
      <c r="L310" s="5">
        <f>40 / 86400</f>
        <v>4.6296296296296298E-4</v>
      </c>
    </row>
    <row r="311" spans="1:12" x14ac:dyDescent="0.25">
      <c r="A311" s="3">
        <v>45708.525995370372</v>
      </c>
      <c r="B311" t="s">
        <v>275</v>
      </c>
      <c r="C311" s="3">
        <v>45708.527384259258</v>
      </c>
      <c r="D311" t="s">
        <v>288</v>
      </c>
      <c r="E311" s="4">
        <v>1.7207158370018005</v>
      </c>
      <c r="F311" s="4">
        <v>349345.60717164853</v>
      </c>
      <c r="G311" s="4">
        <v>349347.3278874855</v>
      </c>
      <c r="H311" s="5">
        <f t="shared" si="3"/>
        <v>0</v>
      </c>
      <c r="I311" t="s">
        <v>33</v>
      </c>
      <c r="J311" t="s">
        <v>207</v>
      </c>
      <c r="K311" s="5">
        <f>120 / 86400</f>
        <v>1.3888888888888889E-3</v>
      </c>
      <c r="L311" s="5">
        <f>20 / 86400</f>
        <v>2.3148148148148149E-4</v>
      </c>
    </row>
    <row r="312" spans="1:12" x14ac:dyDescent="0.25">
      <c r="A312" s="3">
        <v>45708.527615740742</v>
      </c>
      <c r="B312" t="s">
        <v>288</v>
      </c>
      <c r="C312" s="3">
        <v>45708.533576388887</v>
      </c>
      <c r="D312" t="s">
        <v>183</v>
      </c>
      <c r="E312" s="4">
        <v>5.0069493572711945</v>
      </c>
      <c r="F312" s="4">
        <v>349347.42510229128</v>
      </c>
      <c r="G312" s="4">
        <v>349352.43205164856</v>
      </c>
      <c r="H312" s="5">
        <f t="shared" si="3"/>
        <v>0</v>
      </c>
      <c r="I312" t="s">
        <v>90</v>
      </c>
      <c r="J312" t="s">
        <v>178</v>
      </c>
      <c r="K312" s="5">
        <f>515 / 86400</f>
        <v>5.9606481481481481E-3</v>
      </c>
      <c r="L312" s="5">
        <f>20 / 86400</f>
        <v>2.3148148148148149E-4</v>
      </c>
    </row>
    <row r="313" spans="1:12" x14ac:dyDescent="0.25">
      <c r="A313" s="3">
        <v>45708.533807870372</v>
      </c>
      <c r="B313" t="s">
        <v>183</v>
      </c>
      <c r="C313" s="3">
        <v>45708.536585648151</v>
      </c>
      <c r="D313" t="s">
        <v>39</v>
      </c>
      <c r="E313" s="4">
        <v>2.5697638052105902</v>
      </c>
      <c r="F313" s="4">
        <v>349352.468103669</v>
      </c>
      <c r="G313" s="4">
        <v>349355.0378674742</v>
      </c>
      <c r="H313" s="5">
        <f t="shared" si="3"/>
        <v>0</v>
      </c>
      <c r="I313" t="s">
        <v>40</v>
      </c>
      <c r="J313" t="s">
        <v>250</v>
      </c>
      <c r="K313" s="5">
        <f>240 / 86400</f>
        <v>2.7777777777777779E-3</v>
      </c>
      <c r="L313" s="5">
        <f>40 / 86400</f>
        <v>4.6296296296296298E-4</v>
      </c>
    </row>
    <row r="314" spans="1:12" x14ac:dyDescent="0.25">
      <c r="A314" s="3">
        <v>45708.537048611106</v>
      </c>
      <c r="B314" t="s">
        <v>39</v>
      </c>
      <c r="C314" s="3">
        <v>45708.538437499999</v>
      </c>
      <c r="D314" t="s">
        <v>87</v>
      </c>
      <c r="E314" s="4">
        <v>1.0910035688877107</v>
      </c>
      <c r="F314" s="4">
        <v>349355.11993162165</v>
      </c>
      <c r="G314" s="4">
        <v>349356.21093519055</v>
      </c>
      <c r="H314" s="5">
        <f t="shared" si="3"/>
        <v>0</v>
      </c>
      <c r="I314" t="s">
        <v>187</v>
      </c>
      <c r="J314" t="s">
        <v>31</v>
      </c>
      <c r="K314" s="5">
        <f>120 / 86400</f>
        <v>1.3888888888888889E-3</v>
      </c>
      <c r="L314" s="5">
        <f>37 / 86400</f>
        <v>4.2824074074074075E-4</v>
      </c>
    </row>
    <row r="315" spans="1:12" x14ac:dyDescent="0.25">
      <c r="A315" s="3">
        <v>45708.538865740746</v>
      </c>
      <c r="B315" t="s">
        <v>87</v>
      </c>
      <c r="C315" s="3">
        <v>45708.539097222223</v>
      </c>
      <c r="D315" t="s">
        <v>186</v>
      </c>
      <c r="E315" s="4">
        <v>4.6155733108520509E-2</v>
      </c>
      <c r="F315" s="4">
        <v>349356.21333594719</v>
      </c>
      <c r="G315" s="4">
        <v>349356.25949168031</v>
      </c>
      <c r="H315" s="5">
        <f t="shared" si="3"/>
        <v>0</v>
      </c>
      <c r="I315" t="s">
        <v>55</v>
      </c>
      <c r="J315" t="s">
        <v>168</v>
      </c>
      <c r="K315" s="5">
        <f>20 / 86400</f>
        <v>2.3148148148148149E-4</v>
      </c>
      <c r="L315" s="5">
        <f>20 / 86400</f>
        <v>2.3148148148148149E-4</v>
      </c>
    </row>
    <row r="316" spans="1:12" x14ac:dyDescent="0.25">
      <c r="A316" s="3">
        <v>45708.5393287037</v>
      </c>
      <c r="B316" t="s">
        <v>186</v>
      </c>
      <c r="C316" s="3">
        <v>45708.539560185185</v>
      </c>
      <c r="D316" t="s">
        <v>186</v>
      </c>
      <c r="E316" s="4">
        <v>5.2453441023826595E-3</v>
      </c>
      <c r="F316" s="4">
        <v>349356.27333352418</v>
      </c>
      <c r="G316" s="4">
        <v>349356.27857886825</v>
      </c>
      <c r="H316" s="5">
        <f t="shared" si="3"/>
        <v>0</v>
      </c>
      <c r="I316" t="s">
        <v>26</v>
      </c>
      <c r="J316" t="s">
        <v>145</v>
      </c>
      <c r="K316" s="5">
        <f>20 / 86400</f>
        <v>2.3148148148148149E-4</v>
      </c>
      <c r="L316" s="5">
        <f>60 / 86400</f>
        <v>6.9444444444444447E-4</v>
      </c>
    </row>
    <row r="317" spans="1:12" x14ac:dyDescent="0.25">
      <c r="A317" s="3">
        <v>45708.540254629625</v>
      </c>
      <c r="B317" t="s">
        <v>186</v>
      </c>
      <c r="C317" s="3">
        <v>45708.540717592594</v>
      </c>
      <c r="D317" t="s">
        <v>188</v>
      </c>
      <c r="E317" s="4">
        <v>4.7993694663047794E-2</v>
      </c>
      <c r="F317" s="4">
        <v>349356.28466453485</v>
      </c>
      <c r="G317" s="4">
        <v>349356.33265822951</v>
      </c>
      <c r="H317" s="5">
        <f t="shared" si="3"/>
        <v>0</v>
      </c>
      <c r="I317" t="s">
        <v>97</v>
      </c>
      <c r="J317" t="s">
        <v>143</v>
      </c>
      <c r="K317" s="5">
        <f>40 / 86400</f>
        <v>4.6296296296296298E-4</v>
      </c>
      <c r="L317" s="5">
        <f>80 / 86400</f>
        <v>9.2592592592592596E-4</v>
      </c>
    </row>
    <row r="318" spans="1:12" x14ac:dyDescent="0.25">
      <c r="A318" s="3">
        <v>45708.541643518518</v>
      </c>
      <c r="B318" t="s">
        <v>188</v>
      </c>
      <c r="C318" s="3">
        <v>45708.543032407411</v>
      </c>
      <c r="D318" t="s">
        <v>186</v>
      </c>
      <c r="E318" s="4">
        <v>1.1161403128504752</v>
      </c>
      <c r="F318" s="4">
        <v>349356.34024287545</v>
      </c>
      <c r="G318" s="4">
        <v>349357.45638318831</v>
      </c>
      <c r="H318" s="5">
        <f t="shared" si="3"/>
        <v>0</v>
      </c>
      <c r="I318" t="s">
        <v>33</v>
      </c>
      <c r="J318" t="s">
        <v>31</v>
      </c>
      <c r="K318" s="5">
        <f>120 / 86400</f>
        <v>1.3888888888888889E-3</v>
      </c>
      <c r="L318" s="5">
        <f>21 / 86400</f>
        <v>2.4305555555555555E-4</v>
      </c>
    </row>
    <row r="319" spans="1:12" x14ac:dyDescent="0.25">
      <c r="A319" s="3">
        <v>45708.543275462958</v>
      </c>
      <c r="B319" t="s">
        <v>186</v>
      </c>
      <c r="C319" s="3">
        <v>45708.543969907405</v>
      </c>
      <c r="D319" t="s">
        <v>191</v>
      </c>
      <c r="E319" s="4">
        <v>0.80198768770694728</v>
      </c>
      <c r="F319" s="4">
        <v>349357.47478213429</v>
      </c>
      <c r="G319" s="4">
        <v>349358.276769822</v>
      </c>
      <c r="H319" s="5">
        <f t="shared" si="3"/>
        <v>0</v>
      </c>
      <c r="I319" t="s">
        <v>46</v>
      </c>
      <c r="J319" t="s">
        <v>96</v>
      </c>
      <c r="K319" s="5">
        <f>60 / 86400</f>
        <v>6.9444444444444447E-4</v>
      </c>
      <c r="L319" s="5">
        <f>1 / 86400</f>
        <v>1.1574074074074073E-5</v>
      </c>
    </row>
    <row r="320" spans="1:12" x14ac:dyDescent="0.25">
      <c r="A320" s="3">
        <v>45708.543981481482</v>
      </c>
      <c r="B320" t="s">
        <v>191</v>
      </c>
      <c r="C320" s="3">
        <v>45708.544895833329</v>
      </c>
      <c r="D320" t="s">
        <v>289</v>
      </c>
      <c r="E320" s="4">
        <v>0.59466818034648894</v>
      </c>
      <c r="F320" s="4">
        <v>349358.27900204697</v>
      </c>
      <c r="G320" s="4">
        <v>349358.8736702273</v>
      </c>
      <c r="H320" s="5">
        <f t="shared" si="3"/>
        <v>0</v>
      </c>
      <c r="I320" t="s">
        <v>172</v>
      </c>
      <c r="J320" t="s">
        <v>150</v>
      </c>
      <c r="K320" s="5">
        <f>79 / 86400</f>
        <v>9.1435185185185185E-4</v>
      </c>
      <c r="L320" s="5">
        <f>20 / 86400</f>
        <v>2.3148148148148149E-4</v>
      </c>
    </row>
    <row r="321" spans="1:12" x14ac:dyDescent="0.25">
      <c r="A321" s="3">
        <v>45708.545127314814</v>
      </c>
      <c r="B321" t="s">
        <v>289</v>
      </c>
      <c r="C321" s="3">
        <v>45708.54582175926</v>
      </c>
      <c r="D321" t="s">
        <v>191</v>
      </c>
      <c r="E321" s="4">
        <v>0.77914742320775987</v>
      </c>
      <c r="F321" s="4">
        <v>349358.88391835761</v>
      </c>
      <c r="G321" s="4">
        <v>349359.66306578083</v>
      </c>
      <c r="H321" s="5">
        <f t="shared" si="3"/>
        <v>0</v>
      </c>
      <c r="I321" t="s">
        <v>33</v>
      </c>
      <c r="J321" t="s">
        <v>161</v>
      </c>
      <c r="K321" s="5">
        <f>60 / 86400</f>
        <v>6.9444444444444447E-4</v>
      </c>
      <c r="L321" s="5">
        <f>20 / 86400</f>
        <v>2.3148148148148149E-4</v>
      </c>
    </row>
    <row r="322" spans="1:12" x14ac:dyDescent="0.25">
      <c r="A322" s="3">
        <v>45708.546053240745</v>
      </c>
      <c r="B322" t="s">
        <v>191</v>
      </c>
      <c r="C322" s="3">
        <v>45708.547442129631</v>
      </c>
      <c r="D322" t="s">
        <v>191</v>
      </c>
      <c r="E322" s="4">
        <v>0.95031254082918171</v>
      </c>
      <c r="F322" s="4">
        <v>349359.66892327042</v>
      </c>
      <c r="G322" s="4">
        <v>349360.61923581123</v>
      </c>
      <c r="H322" s="5">
        <f t="shared" si="3"/>
        <v>0</v>
      </c>
      <c r="I322" t="s">
        <v>171</v>
      </c>
      <c r="J322" t="s">
        <v>217</v>
      </c>
      <c r="K322" s="5">
        <f>120 / 86400</f>
        <v>1.3888888888888889E-3</v>
      </c>
      <c r="L322" s="5">
        <f>20 / 86400</f>
        <v>2.3148148148148149E-4</v>
      </c>
    </row>
    <row r="323" spans="1:12" x14ac:dyDescent="0.25">
      <c r="A323" s="3">
        <v>45708.547673611116</v>
      </c>
      <c r="B323" t="s">
        <v>78</v>
      </c>
      <c r="C323" s="3">
        <v>45708.54859953704</v>
      </c>
      <c r="D323" t="s">
        <v>78</v>
      </c>
      <c r="E323" s="4">
        <v>1.1854435164332391</v>
      </c>
      <c r="F323" s="4">
        <v>349360.70109486056</v>
      </c>
      <c r="G323" s="4">
        <v>349361.88653837697</v>
      </c>
      <c r="H323" s="5">
        <f t="shared" si="3"/>
        <v>0</v>
      </c>
      <c r="I323" t="s">
        <v>113</v>
      </c>
      <c r="J323" t="s">
        <v>104</v>
      </c>
      <c r="K323" s="5">
        <f>80 / 86400</f>
        <v>9.2592592592592596E-4</v>
      </c>
      <c r="L323" s="5">
        <f>20 / 86400</f>
        <v>2.3148148148148149E-4</v>
      </c>
    </row>
    <row r="324" spans="1:12" x14ac:dyDescent="0.25">
      <c r="A324" s="3">
        <v>45708.548831018517</v>
      </c>
      <c r="B324" t="s">
        <v>78</v>
      </c>
      <c r="C324" s="3">
        <v>45708.549293981487</v>
      </c>
      <c r="D324" t="s">
        <v>78</v>
      </c>
      <c r="E324" s="4">
        <v>0.51926326823234559</v>
      </c>
      <c r="F324" s="4">
        <v>349361.99741921417</v>
      </c>
      <c r="G324" s="4">
        <v>349362.51668248244</v>
      </c>
      <c r="H324" s="5">
        <f t="shared" si="3"/>
        <v>0</v>
      </c>
      <c r="I324" t="s">
        <v>147</v>
      </c>
      <c r="J324" t="s">
        <v>161</v>
      </c>
      <c r="K324" s="5">
        <f>40 / 86400</f>
        <v>4.6296296296296298E-4</v>
      </c>
      <c r="L324" s="5">
        <f>20 / 86400</f>
        <v>2.3148148148148149E-4</v>
      </c>
    </row>
    <row r="325" spans="1:12" x14ac:dyDescent="0.25">
      <c r="A325" s="3">
        <v>45708.549525462964</v>
      </c>
      <c r="B325" t="s">
        <v>78</v>
      </c>
      <c r="C325" s="3">
        <v>45708.550219907411</v>
      </c>
      <c r="D325" t="s">
        <v>78</v>
      </c>
      <c r="E325" s="4">
        <v>0.59346972388029096</v>
      </c>
      <c r="F325" s="4">
        <v>349362.6982552511</v>
      </c>
      <c r="G325" s="4">
        <v>349363.29172497499</v>
      </c>
      <c r="H325" s="5">
        <f t="shared" si="3"/>
        <v>0</v>
      </c>
      <c r="I325" t="s">
        <v>263</v>
      </c>
      <c r="J325" t="s">
        <v>139</v>
      </c>
      <c r="K325" s="5">
        <f>60 / 86400</f>
        <v>6.9444444444444447E-4</v>
      </c>
      <c r="L325" s="5">
        <f>40 / 86400</f>
        <v>4.6296296296296298E-4</v>
      </c>
    </row>
    <row r="326" spans="1:12" x14ac:dyDescent="0.25">
      <c r="A326" s="3">
        <v>45708.550682870366</v>
      </c>
      <c r="B326" t="s">
        <v>78</v>
      </c>
      <c r="C326" s="3">
        <v>45708.551145833335</v>
      </c>
      <c r="D326" t="s">
        <v>78</v>
      </c>
      <c r="E326" s="4">
        <v>0.38949118548631667</v>
      </c>
      <c r="F326" s="4">
        <v>349363.35399586021</v>
      </c>
      <c r="G326" s="4">
        <v>349363.74348704569</v>
      </c>
      <c r="H326" s="5">
        <f t="shared" si="3"/>
        <v>0</v>
      </c>
      <c r="I326" t="s">
        <v>290</v>
      </c>
      <c r="J326" t="s">
        <v>178</v>
      </c>
      <c r="K326" s="5">
        <f>40 / 86400</f>
        <v>4.6296296296296298E-4</v>
      </c>
      <c r="L326" s="5">
        <f>20 / 86400</f>
        <v>2.3148148148148149E-4</v>
      </c>
    </row>
    <row r="327" spans="1:12" x14ac:dyDescent="0.25">
      <c r="A327" s="3">
        <v>45708.551377314812</v>
      </c>
      <c r="B327" t="s">
        <v>78</v>
      </c>
      <c r="C327" s="3">
        <v>45708.552303240736</v>
      </c>
      <c r="D327" t="s">
        <v>78</v>
      </c>
      <c r="E327" s="4">
        <v>0.53369319021701811</v>
      </c>
      <c r="F327" s="4">
        <v>349363.74414664682</v>
      </c>
      <c r="G327" s="4">
        <v>349364.27783983701</v>
      </c>
      <c r="H327" s="5">
        <f t="shared" si="3"/>
        <v>0</v>
      </c>
      <c r="I327" t="s">
        <v>189</v>
      </c>
      <c r="J327" t="s">
        <v>157</v>
      </c>
      <c r="K327" s="5">
        <f>80 / 86400</f>
        <v>9.2592592592592596E-4</v>
      </c>
      <c r="L327" s="5">
        <f>40 / 86400</f>
        <v>4.6296296296296298E-4</v>
      </c>
    </row>
    <row r="328" spans="1:12" x14ac:dyDescent="0.25">
      <c r="A328" s="3">
        <v>45708.552766203706</v>
      </c>
      <c r="B328" t="s">
        <v>78</v>
      </c>
      <c r="C328" s="3">
        <v>45708.55369212963</v>
      </c>
      <c r="D328" t="s">
        <v>78</v>
      </c>
      <c r="E328" s="4">
        <v>0.95253880041837691</v>
      </c>
      <c r="F328" s="4">
        <v>349364.32321386645</v>
      </c>
      <c r="G328" s="4">
        <v>349365.27575266687</v>
      </c>
      <c r="H328" s="5">
        <f t="shared" si="3"/>
        <v>0</v>
      </c>
      <c r="I328" t="s">
        <v>33</v>
      </c>
      <c r="J328" t="s">
        <v>180</v>
      </c>
      <c r="K328" s="5">
        <f>80 / 86400</f>
        <v>9.2592592592592596E-4</v>
      </c>
      <c r="L328" s="5">
        <f>20 / 86400</f>
        <v>2.3148148148148149E-4</v>
      </c>
    </row>
    <row r="329" spans="1:12" x14ac:dyDescent="0.25">
      <c r="A329" s="3">
        <v>45708.553923611107</v>
      </c>
      <c r="B329" t="s">
        <v>78</v>
      </c>
      <c r="C329" s="3">
        <v>45708.555011574077</v>
      </c>
      <c r="D329" t="s">
        <v>98</v>
      </c>
      <c r="E329" s="4">
        <v>0.73591474026441572</v>
      </c>
      <c r="F329" s="4">
        <v>349365.48097486439</v>
      </c>
      <c r="G329" s="4">
        <v>349366.21688960464</v>
      </c>
      <c r="H329" s="5">
        <f t="shared" si="3"/>
        <v>0</v>
      </c>
      <c r="I329" t="s">
        <v>40</v>
      </c>
      <c r="J329" t="s">
        <v>162</v>
      </c>
      <c r="K329" s="5">
        <f>94 / 86400</f>
        <v>1.0879629629629629E-3</v>
      </c>
      <c r="L329" s="5">
        <f>16 / 86400</f>
        <v>1.8518518518518518E-4</v>
      </c>
    </row>
    <row r="330" spans="1:12" x14ac:dyDescent="0.25">
      <c r="A330" s="3">
        <v>45708.555196759262</v>
      </c>
      <c r="B330" t="s">
        <v>98</v>
      </c>
      <c r="C330" s="3">
        <v>45708.555428240739</v>
      </c>
      <c r="D330" t="s">
        <v>98</v>
      </c>
      <c r="E330" s="4">
        <v>0.13371164429187773</v>
      </c>
      <c r="F330" s="4">
        <v>349366.22432948241</v>
      </c>
      <c r="G330" s="4">
        <v>349366.35804112675</v>
      </c>
      <c r="H330" s="5">
        <f t="shared" si="3"/>
        <v>0</v>
      </c>
      <c r="I330" t="s">
        <v>168</v>
      </c>
      <c r="J330" t="s">
        <v>157</v>
      </c>
      <c r="K330" s="5">
        <f>20 / 86400</f>
        <v>2.3148148148148149E-4</v>
      </c>
      <c r="L330" s="5">
        <f>20 / 86400</f>
        <v>2.3148148148148149E-4</v>
      </c>
    </row>
    <row r="331" spans="1:12" x14ac:dyDescent="0.25">
      <c r="A331" s="3">
        <v>45708.555659722224</v>
      </c>
      <c r="B331" t="s">
        <v>98</v>
      </c>
      <c r="C331" s="3">
        <v>45708.556585648148</v>
      </c>
      <c r="D331" t="s">
        <v>98</v>
      </c>
      <c r="E331" s="4">
        <v>0.24503951787948608</v>
      </c>
      <c r="F331" s="4">
        <v>349366.44313095411</v>
      </c>
      <c r="G331" s="4">
        <v>349366.68817047199</v>
      </c>
      <c r="H331" s="5">
        <f t="shared" si="3"/>
        <v>0</v>
      </c>
      <c r="I331" t="s">
        <v>140</v>
      </c>
      <c r="J331" t="s">
        <v>86</v>
      </c>
      <c r="K331" s="5">
        <f>80 / 86400</f>
        <v>9.2592592592592596E-4</v>
      </c>
      <c r="L331" s="5">
        <f>4 / 86400</f>
        <v>4.6296296296296294E-5</v>
      </c>
    </row>
    <row r="332" spans="1:12" x14ac:dyDescent="0.25">
      <c r="A332" s="3">
        <v>45708.556631944448</v>
      </c>
      <c r="B332" t="s">
        <v>98</v>
      </c>
      <c r="C332" s="3">
        <v>45708.558020833334</v>
      </c>
      <c r="D332" t="s">
        <v>98</v>
      </c>
      <c r="E332" s="4">
        <v>0.30077653861045839</v>
      </c>
      <c r="F332" s="4">
        <v>349366.69209340599</v>
      </c>
      <c r="G332" s="4">
        <v>349366.99286994454</v>
      </c>
      <c r="H332" s="5">
        <f t="shared" si="3"/>
        <v>0</v>
      </c>
      <c r="I332" t="s">
        <v>20</v>
      </c>
      <c r="J332" t="s">
        <v>137</v>
      </c>
      <c r="K332" s="5">
        <f>120 / 86400</f>
        <v>1.3888888888888889E-3</v>
      </c>
      <c r="L332" s="5">
        <f>40 / 86400</f>
        <v>4.6296296296296298E-4</v>
      </c>
    </row>
    <row r="333" spans="1:12" x14ac:dyDescent="0.25">
      <c r="A333" s="3">
        <v>45708.558483796296</v>
      </c>
      <c r="B333" t="s">
        <v>98</v>
      </c>
      <c r="C333" s="3">
        <v>45708.559641203705</v>
      </c>
      <c r="D333" t="s">
        <v>291</v>
      </c>
      <c r="E333" s="4">
        <v>0.36941538292169573</v>
      </c>
      <c r="F333" s="4">
        <v>349367.00444576272</v>
      </c>
      <c r="G333" s="4">
        <v>349367.37386114564</v>
      </c>
      <c r="H333" s="5">
        <f t="shared" si="3"/>
        <v>0</v>
      </c>
      <c r="I333" t="s">
        <v>162</v>
      </c>
      <c r="J333" t="s">
        <v>29</v>
      </c>
      <c r="K333" s="5">
        <f>100 / 86400</f>
        <v>1.1574074074074073E-3</v>
      </c>
      <c r="L333" s="5">
        <f>7 / 86400</f>
        <v>8.1018518518518516E-5</v>
      </c>
    </row>
    <row r="334" spans="1:12" x14ac:dyDescent="0.25">
      <c r="A334" s="3">
        <v>45708.55972222222</v>
      </c>
      <c r="B334" t="s">
        <v>291</v>
      </c>
      <c r="C334" s="3">
        <v>45708.560185185182</v>
      </c>
      <c r="D334" t="s">
        <v>98</v>
      </c>
      <c r="E334" s="4">
        <v>0.10783582550287246</v>
      </c>
      <c r="F334" s="4">
        <v>349367.38021240704</v>
      </c>
      <c r="G334" s="4">
        <v>349367.48804823257</v>
      </c>
      <c r="H334" s="5">
        <f t="shared" si="3"/>
        <v>0</v>
      </c>
      <c r="I334" t="s">
        <v>29</v>
      </c>
      <c r="J334" t="s">
        <v>97</v>
      </c>
      <c r="K334" s="5">
        <f>40 / 86400</f>
        <v>4.6296296296296298E-4</v>
      </c>
      <c r="L334" s="5">
        <f>60 / 86400</f>
        <v>6.9444444444444447E-4</v>
      </c>
    </row>
    <row r="335" spans="1:12" x14ac:dyDescent="0.25">
      <c r="A335" s="3">
        <v>45708.560879629629</v>
      </c>
      <c r="B335" t="s">
        <v>98</v>
      </c>
      <c r="C335" s="3">
        <v>45708.561111111107</v>
      </c>
      <c r="D335" t="s">
        <v>292</v>
      </c>
      <c r="E335" s="4">
        <v>4.7542475581169127E-2</v>
      </c>
      <c r="F335" s="4">
        <v>349367.50826137495</v>
      </c>
      <c r="G335" s="4">
        <v>349367.55580385053</v>
      </c>
      <c r="H335" s="5">
        <f t="shared" si="3"/>
        <v>0</v>
      </c>
      <c r="I335" t="s">
        <v>137</v>
      </c>
      <c r="J335" t="s">
        <v>137</v>
      </c>
      <c r="K335" s="5">
        <f>20 / 86400</f>
        <v>2.3148148148148149E-4</v>
      </c>
      <c r="L335" s="5">
        <f>40 / 86400</f>
        <v>4.6296296296296298E-4</v>
      </c>
    </row>
    <row r="336" spans="1:12" x14ac:dyDescent="0.25">
      <c r="A336" s="3">
        <v>45708.561574074076</v>
      </c>
      <c r="B336" t="s">
        <v>165</v>
      </c>
      <c r="C336" s="3">
        <v>45708.562037037038</v>
      </c>
      <c r="D336" t="s">
        <v>165</v>
      </c>
      <c r="E336" s="4">
        <v>6.6776002347469332E-2</v>
      </c>
      <c r="F336" s="4">
        <v>349367.61876547342</v>
      </c>
      <c r="G336" s="4">
        <v>349367.68554147577</v>
      </c>
      <c r="H336" s="5">
        <f t="shared" si="3"/>
        <v>0</v>
      </c>
      <c r="I336" t="s">
        <v>29</v>
      </c>
      <c r="J336" t="s">
        <v>32</v>
      </c>
      <c r="K336" s="5">
        <f>40 / 86400</f>
        <v>4.6296296296296298E-4</v>
      </c>
      <c r="L336" s="5">
        <f>7 / 86400</f>
        <v>8.1018518518518516E-5</v>
      </c>
    </row>
    <row r="337" spans="1:12" x14ac:dyDescent="0.25">
      <c r="A337" s="3">
        <v>45708.562118055561</v>
      </c>
      <c r="B337" t="s">
        <v>165</v>
      </c>
      <c r="C337" s="3">
        <v>45708.564537037033</v>
      </c>
      <c r="D337" t="s">
        <v>167</v>
      </c>
      <c r="E337" s="4">
        <v>1.1047210335731505</v>
      </c>
      <c r="F337" s="4">
        <v>349367.68899850035</v>
      </c>
      <c r="G337" s="4">
        <v>349368.79371953395</v>
      </c>
      <c r="H337" s="5">
        <f t="shared" si="3"/>
        <v>0</v>
      </c>
      <c r="I337" t="s">
        <v>192</v>
      </c>
      <c r="J337" t="s">
        <v>68</v>
      </c>
      <c r="K337" s="5">
        <f>209 / 86400</f>
        <v>2.4189814814814816E-3</v>
      </c>
      <c r="L337" s="5">
        <f>6 / 86400</f>
        <v>6.9444444444444444E-5</v>
      </c>
    </row>
    <row r="338" spans="1:12" x14ac:dyDescent="0.25">
      <c r="A338" s="3">
        <v>45708.564606481479</v>
      </c>
      <c r="B338" t="s">
        <v>167</v>
      </c>
      <c r="C338" s="3">
        <v>45708.564837962964</v>
      </c>
      <c r="D338" t="s">
        <v>167</v>
      </c>
      <c r="E338" s="4">
        <v>3.9333875715732575E-2</v>
      </c>
      <c r="F338" s="4">
        <v>349368.79827988264</v>
      </c>
      <c r="G338" s="4">
        <v>349368.8376137584</v>
      </c>
      <c r="H338" s="5">
        <f t="shared" si="3"/>
        <v>0</v>
      </c>
      <c r="I338" t="s">
        <v>55</v>
      </c>
      <c r="J338" t="s">
        <v>26</v>
      </c>
      <c r="K338" s="5">
        <f>20 / 86400</f>
        <v>2.3148148148148149E-4</v>
      </c>
      <c r="L338" s="5">
        <f>20 / 86400</f>
        <v>2.3148148148148149E-4</v>
      </c>
    </row>
    <row r="339" spans="1:12" x14ac:dyDescent="0.25">
      <c r="A339" s="3">
        <v>45708.565069444448</v>
      </c>
      <c r="B339" t="s">
        <v>196</v>
      </c>
      <c r="C339" s="3">
        <v>45708.565300925926</v>
      </c>
      <c r="D339" t="s">
        <v>167</v>
      </c>
      <c r="E339" s="4">
        <v>8.6634135842323309E-3</v>
      </c>
      <c r="F339" s="4">
        <v>349368.84082613967</v>
      </c>
      <c r="G339" s="4">
        <v>349368.84948955325</v>
      </c>
      <c r="H339" s="5">
        <f t="shared" si="3"/>
        <v>0</v>
      </c>
      <c r="I339" t="s">
        <v>145</v>
      </c>
      <c r="J339" t="s">
        <v>136</v>
      </c>
      <c r="K339" s="5">
        <f>20 / 86400</f>
        <v>2.3148148148148149E-4</v>
      </c>
      <c r="L339" s="5">
        <f>23 / 86400</f>
        <v>2.6620370370370372E-4</v>
      </c>
    </row>
    <row r="340" spans="1:12" x14ac:dyDescent="0.25">
      <c r="A340" s="3">
        <v>45708.565567129626</v>
      </c>
      <c r="B340" t="s">
        <v>167</v>
      </c>
      <c r="C340" s="3">
        <v>45708.566030092596</v>
      </c>
      <c r="D340" t="s">
        <v>293</v>
      </c>
      <c r="E340" s="4">
        <v>0.17991636079549789</v>
      </c>
      <c r="F340" s="4">
        <v>349368.85405239381</v>
      </c>
      <c r="G340" s="4">
        <v>349369.03396875458</v>
      </c>
      <c r="H340" s="5">
        <f t="shared" si="3"/>
        <v>0</v>
      </c>
      <c r="I340" t="s">
        <v>294</v>
      </c>
      <c r="J340" t="s">
        <v>49</v>
      </c>
      <c r="K340" s="5">
        <f>40 / 86400</f>
        <v>4.6296296296296298E-4</v>
      </c>
      <c r="L340" s="5">
        <f>20 / 86400</f>
        <v>2.3148148148148149E-4</v>
      </c>
    </row>
    <row r="341" spans="1:12" x14ac:dyDescent="0.25">
      <c r="A341" s="3">
        <v>45708.566261574073</v>
      </c>
      <c r="B341" t="s">
        <v>262</v>
      </c>
      <c r="C341" s="3">
        <v>45708.56695601852</v>
      </c>
      <c r="D341" t="s">
        <v>167</v>
      </c>
      <c r="E341" s="4">
        <v>0.20477756595611571</v>
      </c>
      <c r="F341" s="4">
        <v>349369.74655061803</v>
      </c>
      <c r="G341" s="4">
        <v>349369.95132818399</v>
      </c>
      <c r="H341" s="5">
        <f t="shared" si="3"/>
        <v>0</v>
      </c>
      <c r="I341" t="s">
        <v>180</v>
      </c>
      <c r="J341" t="s">
        <v>65</v>
      </c>
      <c r="K341" s="5">
        <f>60 / 86400</f>
        <v>6.9444444444444447E-4</v>
      </c>
      <c r="L341" s="5">
        <f>4 / 86400</f>
        <v>4.6296296296296294E-5</v>
      </c>
    </row>
    <row r="342" spans="1:12" x14ac:dyDescent="0.25">
      <c r="A342" s="3">
        <v>45708.567002314812</v>
      </c>
      <c r="B342" t="s">
        <v>167</v>
      </c>
      <c r="C342" s="3">
        <v>45708.567696759259</v>
      </c>
      <c r="D342" t="s">
        <v>167</v>
      </c>
      <c r="E342" s="4">
        <v>0.2162255448102951</v>
      </c>
      <c r="F342" s="4">
        <v>349369.95491086843</v>
      </c>
      <c r="G342" s="4">
        <v>349370.17113641324</v>
      </c>
      <c r="H342" s="5">
        <f t="shared" si="3"/>
        <v>0</v>
      </c>
      <c r="I342" t="s">
        <v>139</v>
      </c>
      <c r="J342" t="s">
        <v>29</v>
      </c>
      <c r="K342" s="5">
        <f>60 / 86400</f>
        <v>6.9444444444444447E-4</v>
      </c>
      <c r="L342" s="5">
        <f>20 / 86400</f>
        <v>2.3148148148148149E-4</v>
      </c>
    </row>
    <row r="343" spans="1:12" x14ac:dyDescent="0.25">
      <c r="A343" s="3">
        <v>45708.567928240736</v>
      </c>
      <c r="B343" t="s">
        <v>295</v>
      </c>
      <c r="C343" s="3">
        <v>45708.568854166668</v>
      </c>
      <c r="D343" t="s">
        <v>295</v>
      </c>
      <c r="E343" s="4">
        <v>0.64144873189926144</v>
      </c>
      <c r="F343" s="4">
        <v>349370.17476640205</v>
      </c>
      <c r="G343" s="4">
        <v>349370.81621513399</v>
      </c>
      <c r="H343" s="5">
        <f t="shared" si="3"/>
        <v>0</v>
      </c>
      <c r="I343" t="s">
        <v>201</v>
      </c>
      <c r="J343" t="s">
        <v>217</v>
      </c>
      <c r="K343" s="5">
        <f>80 / 86400</f>
        <v>9.2592592592592596E-4</v>
      </c>
      <c r="L343" s="5">
        <f>20 / 86400</f>
        <v>2.3148148148148149E-4</v>
      </c>
    </row>
    <row r="344" spans="1:12" x14ac:dyDescent="0.25">
      <c r="A344" s="3">
        <v>45708.569085648152</v>
      </c>
      <c r="B344" t="s">
        <v>296</v>
      </c>
      <c r="C344" s="3">
        <v>45708.570474537039</v>
      </c>
      <c r="D344" t="s">
        <v>297</v>
      </c>
      <c r="E344" s="4">
        <v>0.92637631958723066</v>
      </c>
      <c r="F344" s="4">
        <v>349370.96184230264</v>
      </c>
      <c r="G344" s="4">
        <v>349371.88821862219</v>
      </c>
      <c r="H344" s="5">
        <f t="shared" si="3"/>
        <v>0</v>
      </c>
      <c r="I344" t="s">
        <v>298</v>
      </c>
      <c r="J344" t="s">
        <v>162</v>
      </c>
      <c r="K344" s="5">
        <f>120 / 86400</f>
        <v>1.3888888888888889E-3</v>
      </c>
      <c r="L344" s="5">
        <f>11 / 86400</f>
        <v>1.273148148148148E-4</v>
      </c>
    </row>
    <row r="345" spans="1:12" x14ac:dyDescent="0.25">
      <c r="A345" s="3">
        <v>45708.570601851854</v>
      </c>
      <c r="B345" t="s">
        <v>297</v>
      </c>
      <c r="C345" s="3">
        <v>45708.571701388893</v>
      </c>
      <c r="D345" t="s">
        <v>299</v>
      </c>
      <c r="E345" s="4">
        <v>0.44192375653982163</v>
      </c>
      <c r="F345" s="4">
        <v>349371.88925073849</v>
      </c>
      <c r="G345" s="4">
        <v>349372.33117449505</v>
      </c>
      <c r="H345" s="5">
        <f t="shared" si="3"/>
        <v>0</v>
      </c>
      <c r="I345" t="s">
        <v>134</v>
      </c>
      <c r="J345" t="s">
        <v>20</v>
      </c>
      <c r="K345" s="5">
        <f>95 / 86400</f>
        <v>1.0995370370370371E-3</v>
      </c>
      <c r="L345" s="5">
        <f>12 / 86400</f>
        <v>1.3888888888888889E-4</v>
      </c>
    </row>
    <row r="346" spans="1:12" x14ac:dyDescent="0.25">
      <c r="A346" s="3">
        <v>45708.571840277778</v>
      </c>
      <c r="B346" t="s">
        <v>299</v>
      </c>
      <c r="C346" s="3">
        <v>45708.572997685187</v>
      </c>
      <c r="D346" t="s">
        <v>299</v>
      </c>
      <c r="E346" s="4">
        <v>0.62945495390892026</v>
      </c>
      <c r="F346" s="4">
        <v>349372.33664751536</v>
      </c>
      <c r="G346" s="4">
        <v>349372.96610246925</v>
      </c>
      <c r="H346" s="5">
        <f t="shared" si="3"/>
        <v>0</v>
      </c>
      <c r="I346" t="s">
        <v>250</v>
      </c>
      <c r="J346" t="s">
        <v>144</v>
      </c>
      <c r="K346" s="5">
        <f>100 / 86400</f>
        <v>1.1574074074074073E-3</v>
      </c>
      <c r="L346" s="5">
        <f>10 / 86400</f>
        <v>1.1574074074074075E-4</v>
      </c>
    </row>
    <row r="347" spans="1:12" x14ac:dyDescent="0.25">
      <c r="A347" s="3">
        <v>45708.573113425926</v>
      </c>
      <c r="B347" t="s">
        <v>299</v>
      </c>
      <c r="C347" s="3">
        <v>45708.574965277774</v>
      </c>
      <c r="D347" t="s">
        <v>259</v>
      </c>
      <c r="E347" s="4">
        <v>1.1996275027394294</v>
      </c>
      <c r="F347" s="4">
        <v>349372.97017845715</v>
      </c>
      <c r="G347" s="4">
        <v>349374.16980595986</v>
      </c>
      <c r="H347" s="5">
        <f t="shared" si="3"/>
        <v>0</v>
      </c>
      <c r="I347" t="s">
        <v>300</v>
      </c>
      <c r="J347" t="s">
        <v>150</v>
      </c>
      <c r="K347" s="5">
        <f>160 / 86400</f>
        <v>1.8518518518518519E-3</v>
      </c>
      <c r="L347" s="5">
        <f>6 / 86400</f>
        <v>6.9444444444444444E-5</v>
      </c>
    </row>
    <row r="348" spans="1:12" x14ac:dyDescent="0.25">
      <c r="A348" s="3">
        <v>45708.57503472222</v>
      </c>
      <c r="B348" t="s">
        <v>259</v>
      </c>
      <c r="C348" s="3">
        <v>45708.575266203705</v>
      </c>
      <c r="D348" t="s">
        <v>301</v>
      </c>
      <c r="E348" s="4">
        <v>3.3899554908275606E-2</v>
      </c>
      <c r="F348" s="4">
        <v>349374.18986101489</v>
      </c>
      <c r="G348" s="4">
        <v>349374.22376056982</v>
      </c>
      <c r="H348" s="5">
        <f t="shared" si="3"/>
        <v>0</v>
      </c>
      <c r="I348" t="s">
        <v>55</v>
      </c>
      <c r="J348" t="s">
        <v>32</v>
      </c>
      <c r="K348" s="5">
        <f>20 / 86400</f>
        <v>2.3148148148148149E-4</v>
      </c>
      <c r="L348" s="5">
        <f>43 / 86400</f>
        <v>4.9768518518518521E-4</v>
      </c>
    </row>
    <row r="349" spans="1:12" x14ac:dyDescent="0.25">
      <c r="A349" s="3">
        <v>45708.57576388889</v>
      </c>
      <c r="B349" t="s">
        <v>301</v>
      </c>
      <c r="C349" s="3">
        <v>45708.576226851852</v>
      </c>
      <c r="D349" t="s">
        <v>259</v>
      </c>
      <c r="E349" s="4">
        <v>3.1606457293033602E-2</v>
      </c>
      <c r="F349" s="4">
        <v>349374.24893988267</v>
      </c>
      <c r="G349" s="4">
        <v>349374.28054633999</v>
      </c>
      <c r="H349" s="5">
        <f t="shared" si="3"/>
        <v>0</v>
      </c>
      <c r="I349" t="s">
        <v>26</v>
      </c>
      <c r="J349" t="s">
        <v>135</v>
      </c>
      <c r="K349" s="5">
        <f>40 / 86400</f>
        <v>4.6296296296296298E-4</v>
      </c>
      <c r="L349" s="5">
        <f>40 / 86400</f>
        <v>4.6296296296296298E-4</v>
      </c>
    </row>
    <row r="350" spans="1:12" x14ac:dyDescent="0.25">
      <c r="A350" s="3">
        <v>45708.576689814814</v>
      </c>
      <c r="B350" t="s">
        <v>259</v>
      </c>
      <c r="C350" s="3">
        <v>45708.576967592591</v>
      </c>
      <c r="D350" t="s">
        <v>200</v>
      </c>
      <c r="E350" s="4">
        <v>3.2632979154586794E-2</v>
      </c>
      <c r="F350" s="4">
        <v>349374.29031171143</v>
      </c>
      <c r="G350" s="4">
        <v>349374.32294469059</v>
      </c>
      <c r="H350" s="5">
        <f t="shared" ref="H350:H413" si="5">0 / 86400</f>
        <v>0</v>
      </c>
      <c r="I350" t="s">
        <v>32</v>
      </c>
      <c r="J350" t="s">
        <v>55</v>
      </c>
      <c r="K350" s="5">
        <f>24 / 86400</f>
        <v>2.7777777777777778E-4</v>
      </c>
      <c r="L350" s="5">
        <f>20 / 86400</f>
        <v>2.3148148148148149E-4</v>
      </c>
    </row>
    <row r="351" spans="1:12" x14ac:dyDescent="0.25">
      <c r="A351" s="3">
        <v>45708.577199074076</v>
      </c>
      <c r="B351" t="s">
        <v>200</v>
      </c>
      <c r="C351" s="3">
        <v>45708.577430555553</v>
      </c>
      <c r="D351" t="s">
        <v>200</v>
      </c>
      <c r="E351" s="4">
        <v>3.0607952594757081E-2</v>
      </c>
      <c r="F351" s="4">
        <v>349374.3434822316</v>
      </c>
      <c r="G351" s="4">
        <v>349374.37409018422</v>
      </c>
      <c r="H351" s="5">
        <f t="shared" si="5"/>
        <v>0</v>
      </c>
      <c r="I351" t="s">
        <v>168</v>
      </c>
      <c r="J351" t="s">
        <v>32</v>
      </c>
      <c r="K351" s="5">
        <f>20 / 86400</f>
        <v>2.3148148148148149E-4</v>
      </c>
      <c r="L351" s="5">
        <f>38 / 86400</f>
        <v>4.3981481481481481E-4</v>
      </c>
    </row>
    <row r="352" spans="1:12" x14ac:dyDescent="0.25">
      <c r="A352" s="3">
        <v>45708.577870370369</v>
      </c>
      <c r="B352" t="s">
        <v>259</v>
      </c>
      <c r="C352" s="3">
        <v>45708.579571759255</v>
      </c>
      <c r="D352" t="s">
        <v>202</v>
      </c>
      <c r="E352" s="4">
        <v>0.86118256747722621</v>
      </c>
      <c r="F352" s="4">
        <v>349374.38546055194</v>
      </c>
      <c r="G352" s="4">
        <v>349375.24664311938</v>
      </c>
      <c r="H352" s="5">
        <f t="shared" si="5"/>
        <v>0</v>
      </c>
      <c r="I352" t="s">
        <v>177</v>
      </c>
      <c r="J352" t="s">
        <v>38</v>
      </c>
      <c r="K352" s="5">
        <f>147 / 86400</f>
        <v>1.7013888888888888E-3</v>
      </c>
      <c r="L352" s="5">
        <f>100 / 86400</f>
        <v>1.1574074074074073E-3</v>
      </c>
    </row>
    <row r="353" spans="1:12" x14ac:dyDescent="0.25">
      <c r="A353" s="3">
        <v>45708.580729166672</v>
      </c>
      <c r="B353" t="s">
        <v>202</v>
      </c>
      <c r="C353" s="3">
        <v>45708.581423611111</v>
      </c>
      <c r="D353" t="s">
        <v>205</v>
      </c>
      <c r="E353" s="4">
        <v>0.24540226131677628</v>
      </c>
      <c r="F353" s="4">
        <v>349375.27847854124</v>
      </c>
      <c r="G353" s="4">
        <v>349375.52388080256</v>
      </c>
      <c r="H353" s="5">
        <f t="shared" si="5"/>
        <v>0</v>
      </c>
      <c r="I353" t="s">
        <v>160</v>
      </c>
      <c r="J353" t="s">
        <v>44</v>
      </c>
      <c r="K353" s="5">
        <f>60 / 86400</f>
        <v>6.9444444444444447E-4</v>
      </c>
      <c r="L353" s="5">
        <f>23 / 86400</f>
        <v>2.6620370370370372E-4</v>
      </c>
    </row>
    <row r="354" spans="1:12" x14ac:dyDescent="0.25">
      <c r="A354" s="3">
        <v>45708.581689814819</v>
      </c>
      <c r="B354" t="s">
        <v>255</v>
      </c>
      <c r="C354" s="3">
        <v>45708.581979166665</v>
      </c>
      <c r="D354" t="s">
        <v>205</v>
      </c>
      <c r="E354" s="4">
        <v>7.5039022326469418E-2</v>
      </c>
      <c r="F354" s="4">
        <v>349375.54075901938</v>
      </c>
      <c r="G354" s="4">
        <v>349375.61579804169</v>
      </c>
      <c r="H354" s="5">
        <f t="shared" si="5"/>
        <v>0</v>
      </c>
      <c r="I354" t="s">
        <v>157</v>
      </c>
      <c r="J354" t="s">
        <v>86</v>
      </c>
      <c r="K354" s="5">
        <f>25 / 86400</f>
        <v>2.8935185185185184E-4</v>
      </c>
      <c r="L354" s="5">
        <f>4 / 86400</f>
        <v>4.6296296296296294E-5</v>
      </c>
    </row>
    <row r="355" spans="1:12" x14ac:dyDescent="0.25">
      <c r="A355" s="3">
        <v>45708.582025462965</v>
      </c>
      <c r="B355" t="s">
        <v>205</v>
      </c>
      <c r="C355" s="3">
        <v>45708.582719907412</v>
      </c>
      <c r="D355" t="s">
        <v>302</v>
      </c>
      <c r="E355" s="4">
        <v>0.51056027781963353</v>
      </c>
      <c r="F355" s="4">
        <v>349375.62343593029</v>
      </c>
      <c r="G355" s="4">
        <v>349376.13399620814</v>
      </c>
      <c r="H355" s="5">
        <f t="shared" si="5"/>
        <v>0</v>
      </c>
      <c r="I355" t="s">
        <v>64</v>
      </c>
      <c r="J355" t="s">
        <v>134</v>
      </c>
      <c r="K355" s="5">
        <f>60 / 86400</f>
        <v>6.9444444444444447E-4</v>
      </c>
      <c r="L355" s="5">
        <f>3 / 86400</f>
        <v>3.4722222222222222E-5</v>
      </c>
    </row>
    <row r="356" spans="1:12" x14ac:dyDescent="0.25">
      <c r="A356" s="3">
        <v>45708.582754629635</v>
      </c>
      <c r="B356" t="s">
        <v>302</v>
      </c>
      <c r="C356" s="3">
        <v>45708.58321759259</v>
      </c>
      <c r="D356" t="s">
        <v>70</v>
      </c>
      <c r="E356" s="4">
        <v>0.45412742656469346</v>
      </c>
      <c r="F356" s="4">
        <v>349376.13876973547</v>
      </c>
      <c r="G356" s="4">
        <v>349376.59289716202</v>
      </c>
      <c r="H356" s="5">
        <f t="shared" si="5"/>
        <v>0</v>
      </c>
      <c r="I356" t="s">
        <v>64</v>
      </c>
      <c r="J356" t="s">
        <v>294</v>
      </c>
      <c r="K356" s="5">
        <f>40 / 86400</f>
        <v>4.6296296296296298E-4</v>
      </c>
      <c r="L356" s="5">
        <f>20 / 86400</f>
        <v>2.3148148148148149E-4</v>
      </c>
    </row>
    <row r="357" spans="1:12" x14ac:dyDescent="0.25">
      <c r="A357" s="3">
        <v>45708.583449074074</v>
      </c>
      <c r="B357" t="s">
        <v>70</v>
      </c>
      <c r="C357" s="3">
        <v>45708.584143518514</v>
      </c>
      <c r="D357" t="s">
        <v>303</v>
      </c>
      <c r="E357" s="4">
        <v>0.5025782935619354</v>
      </c>
      <c r="F357" s="4">
        <v>349376.59520552098</v>
      </c>
      <c r="G357" s="4">
        <v>349377.09778381453</v>
      </c>
      <c r="H357" s="5">
        <f t="shared" si="5"/>
        <v>0</v>
      </c>
      <c r="I357" t="s">
        <v>28</v>
      </c>
      <c r="J357" t="s">
        <v>54</v>
      </c>
      <c r="K357" s="5">
        <f>60 / 86400</f>
        <v>6.9444444444444447E-4</v>
      </c>
      <c r="L357" s="5">
        <f>85 / 86400</f>
        <v>9.837962962962962E-4</v>
      </c>
    </row>
    <row r="358" spans="1:12" x14ac:dyDescent="0.25">
      <c r="A358" s="3">
        <v>45708.585127314815</v>
      </c>
      <c r="B358" t="s">
        <v>303</v>
      </c>
      <c r="C358" s="3">
        <v>45708.58666666667</v>
      </c>
      <c r="D358" t="s">
        <v>304</v>
      </c>
      <c r="E358" s="4">
        <v>0.65591859221458437</v>
      </c>
      <c r="F358" s="4">
        <v>349377.109318854</v>
      </c>
      <c r="G358" s="4">
        <v>349377.76523744618</v>
      </c>
      <c r="H358" s="5">
        <f t="shared" si="5"/>
        <v>0</v>
      </c>
      <c r="I358" t="s">
        <v>142</v>
      </c>
      <c r="J358" t="s">
        <v>34</v>
      </c>
      <c r="K358" s="5">
        <f>133 / 86400</f>
        <v>1.5393518518518519E-3</v>
      </c>
      <c r="L358" s="5">
        <f>3 / 86400</f>
        <v>3.4722222222222222E-5</v>
      </c>
    </row>
    <row r="359" spans="1:12" x14ac:dyDescent="0.25">
      <c r="A359" s="3">
        <v>45708.586701388893</v>
      </c>
      <c r="B359" t="s">
        <v>209</v>
      </c>
      <c r="C359" s="3">
        <v>45708.587395833332</v>
      </c>
      <c r="D359" t="s">
        <v>305</v>
      </c>
      <c r="E359" s="4">
        <v>0.27268349993228913</v>
      </c>
      <c r="F359" s="4">
        <v>349377.76893805107</v>
      </c>
      <c r="G359" s="4">
        <v>349378.04162155098</v>
      </c>
      <c r="H359" s="5">
        <f t="shared" si="5"/>
        <v>0</v>
      </c>
      <c r="I359" t="s">
        <v>148</v>
      </c>
      <c r="J359" t="s">
        <v>49</v>
      </c>
      <c r="K359" s="5">
        <f>60 / 86400</f>
        <v>6.9444444444444447E-4</v>
      </c>
      <c r="L359" s="5">
        <f>4 / 86400</f>
        <v>4.6296296296296294E-5</v>
      </c>
    </row>
    <row r="360" spans="1:12" x14ac:dyDescent="0.25">
      <c r="A360" s="3">
        <v>45708.587442129632</v>
      </c>
      <c r="B360" t="s">
        <v>305</v>
      </c>
      <c r="C360" s="3">
        <v>45708.589444444442</v>
      </c>
      <c r="D360" t="s">
        <v>306</v>
      </c>
      <c r="E360" s="4">
        <v>0.77526245206594468</v>
      </c>
      <c r="F360" s="4">
        <v>349378.05011392216</v>
      </c>
      <c r="G360" s="4">
        <v>349378.82537637424</v>
      </c>
      <c r="H360" s="5">
        <f t="shared" si="5"/>
        <v>0</v>
      </c>
      <c r="I360" t="s">
        <v>157</v>
      </c>
      <c r="J360" t="s">
        <v>49</v>
      </c>
      <c r="K360" s="5">
        <f>173 / 86400</f>
        <v>2.0023148148148148E-3</v>
      </c>
      <c r="L360" s="5">
        <f>12 / 86400</f>
        <v>1.3888888888888889E-4</v>
      </c>
    </row>
    <row r="361" spans="1:12" x14ac:dyDescent="0.25">
      <c r="A361" s="3">
        <v>45708.589583333334</v>
      </c>
      <c r="B361" t="s">
        <v>306</v>
      </c>
      <c r="C361" s="3">
        <v>45708.59611111111</v>
      </c>
      <c r="D361" t="s">
        <v>307</v>
      </c>
      <c r="E361" s="4">
        <v>2.2499475852847097</v>
      </c>
      <c r="F361" s="4">
        <v>349378.83345961262</v>
      </c>
      <c r="G361" s="4">
        <v>349381.0834071979</v>
      </c>
      <c r="H361" s="5">
        <f t="shared" si="5"/>
        <v>0</v>
      </c>
      <c r="I361" t="s">
        <v>140</v>
      </c>
      <c r="J361" t="s">
        <v>58</v>
      </c>
      <c r="K361" s="5">
        <f>564 / 86400</f>
        <v>6.5277777777777782E-3</v>
      </c>
      <c r="L361" s="5">
        <f>60 / 86400</f>
        <v>6.9444444444444447E-4</v>
      </c>
    </row>
    <row r="362" spans="1:12" x14ac:dyDescent="0.25">
      <c r="A362" s="3">
        <v>45708.596805555557</v>
      </c>
      <c r="B362" t="s">
        <v>307</v>
      </c>
      <c r="C362" s="3">
        <v>45708.597037037034</v>
      </c>
      <c r="D362" t="s">
        <v>307</v>
      </c>
      <c r="E362" s="4">
        <v>5.2623382210731503E-3</v>
      </c>
      <c r="F362" s="4">
        <v>349381.11026007566</v>
      </c>
      <c r="G362" s="4">
        <v>349381.11552241386</v>
      </c>
      <c r="H362" s="5">
        <f t="shared" si="5"/>
        <v>0</v>
      </c>
      <c r="I362" t="s">
        <v>55</v>
      </c>
      <c r="J362" t="s">
        <v>145</v>
      </c>
      <c r="K362" s="5">
        <f>20 / 86400</f>
        <v>2.3148148148148149E-4</v>
      </c>
      <c r="L362" s="5">
        <f>20 / 86400</f>
        <v>2.3148148148148149E-4</v>
      </c>
    </row>
    <row r="363" spans="1:12" x14ac:dyDescent="0.25">
      <c r="A363" s="3">
        <v>45708.597268518519</v>
      </c>
      <c r="B363" t="s">
        <v>308</v>
      </c>
      <c r="C363" s="3">
        <v>45708.597731481481</v>
      </c>
      <c r="D363" t="s">
        <v>309</v>
      </c>
      <c r="E363" s="4">
        <v>8.0189654827117915E-2</v>
      </c>
      <c r="F363" s="4">
        <v>349381.14966614451</v>
      </c>
      <c r="G363" s="4">
        <v>349381.22985579929</v>
      </c>
      <c r="H363" s="5">
        <f t="shared" si="5"/>
        <v>0</v>
      </c>
      <c r="I363" t="s">
        <v>136</v>
      </c>
      <c r="J363" t="s">
        <v>26</v>
      </c>
      <c r="K363" s="5">
        <f>40 / 86400</f>
        <v>4.6296296296296298E-4</v>
      </c>
      <c r="L363" s="5">
        <f>80 / 86400</f>
        <v>9.2592592592592596E-4</v>
      </c>
    </row>
    <row r="364" spans="1:12" x14ac:dyDescent="0.25">
      <c r="A364" s="3">
        <v>45708.598657407405</v>
      </c>
      <c r="B364" t="s">
        <v>310</v>
      </c>
      <c r="C364" s="3">
        <v>45708.599745370375</v>
      </c>
      <c r="D364" t="s">
        <v>311</v>
      </c>
      <c r="E364" s="4">
        <v>7.2455807328224181E-2</v>
      </c>
      <c r="F364" s="4">
        <v>349381.24186351628</v>
      </c>
      <c r="G364" s="4">
        <v>349381.31431932357</v>
      </c>
      <c r="H364" s="5">
        <f t="shared" si="5"/>
        <v>0</v>
      </c>
      <c r="I364" t="s">
        <v>86</v>
      </c>
      <c r="J364" t="s">
        <v>135</v>
      </c>
      <c r="K364" s="5">
        <f>94 / 86400</f>
        <v>1.0879629629629629E-3</v>
      </c>
      <c r="L364" s="5">
        <f>104 / 86400</f>
        <v>1.2037037037037038E-3</v>
      </c>
    </row>
    <row r="365" spans="1:12" x14ac:dyDescent="0.25">
      <c r="A365" s="3">
        <v>45708.600949074069</v>
      </c>
      <c r="B365" t="s">
        <v>311</v>
      </c>
      <c r="C365" s="3">
        <v>45708.601412037038</v>
      </c>
      <c r="D365" t="s">
        <v>312</v>
      </c>
      <c r="E365" s="4">
        <v>2.6186622023582459E-2</v>
      </c>
      <c r="F365" s="4">
        <v>349381.33374598552</v>
      </c>
      <c r="G365" s="4">
        <v>349381.35993260751</v>
      </c>
      <c r="H365" s="5">
        <f t="shared" si="5"/>
        <v>0</v>
      </c>
      <c r="I365" t="s">
        <v>55</v>
      </c>
      <c r="J365" t="s">
        <v>136</v>
      </c>
      <c r="K365" s="5">
        <f>40 / 86400</f>
        <v>4.6296296296296298E-4</v>
      </c>
      <c r="L365" s="5">
        <f>7 / 86400</f>
        <v>8.1018518518518516E-5</v>
      </c>
    </row>
    <row r="366" spans="1:12" x14ac:dyDescent="0.25">
      <c r="A366" s="3">
        <v>45708.601493055554</v>
      </c>
      <c r="B366" t="s">
        <v>312</v>
      </c>
      <c r="C366" s="3">
        <v>45708.601724537039</v>
      </c>
      <c r="D366" t="s">
        <v>312</v>
      </c>
      <c r="E366" s="4">
        <v>2.2265162825584411E-2</v>
      </c>
      <c r="F366" s="4">
        <v>349381.3624094628</v>
      </c>
      <c r="G366" s="4">
        <v>349381.38467462565</v>
      </c>
      <c r="H366" s="5">
        <f t="shared" si="5"/>
        <v>0</v>
      </c>
      <c r="I366" t="s">
        <v>55</v>
      </c>
      <c r="J366" t="s">
        <v>143</v>
      </c>
      <c r="K366" s="5">
        <f>20 / 86400</f>
        <v>2.3148148148148149E-4</v>
      </c>
      <c r="L366" s="5">
        <f>80 / 86400</f>
        <v>9.2592592592592596E-4</v>
      </c>
    </row>
    <row r="367" spans="1:12" x14ac:dyDescent="0.25">
      <c r="A367" s="3">
        <v>45708.602650462963</v>
      </c>
      <c r="B367" t="s">
        <v>312</v>
      </c>
      <c r="C367" s="3">
        <v>45708.602881944447</v>
      </c>
      <c r="D367" t="s">
        <v>312</v>
      </c>
      <c r="E367" s="4">
        <v>2.0384081006050111E-3</v>
      </c>
      <c r="F367" s="4">
        <v>349381.40210452687</v>
      </c>
      <c r="G367" s="4">
        <v>349381.404142935</v>
      </c>
      <c r="H367" s="5">
        <f t="shared" si="5"/>
        <v>0</v>
      </c>
      <c r="I367" t="s">
        <v>145</v>
      </c>
      <c r="J367" t="s">
        <v>22</v>
      </c>
      <c r="K367" s="5">
        <f>20 / 86400</f>
        <v>2.3148148148148149E-4</v>
      </c>
      <c r="L367" s="5">
        <f>25 / 86400</f>
        <v>2.8935185185185184E-4</v>
      </c>
    </row>
    <row r="368" spans="1:12" x14ac:dyDescent="0.25">
      <c r="A368" s="3">
        <v>45708.603171296301</v>
      </c>
      <c r="B368" t="s">
        <v>313</v>
      </c>
      <c r="C368" s="3">
        <v>45708.603865740741</v>
      </c>
      <c r="D368" t="s">
        <v>314</v>
      </c>
      <c r="E368" s="4">
        <v>3.208563768863678E-2</v>
      </c>
      <c r="F368" s="4">
        <v>349381.41476690216</v>
      </c>
      <c r="G368" s="4">
        <v>349381.44685253984</v>
      </c>
      <c r="H368" s="5">
        <f t="shared" si="5"/>
        <v>0</v>
      </c>
      <c r="I368" t="s">
        <v>26</v>
      </c>
      <c r="J368" t="s">
        <v>136</v>
      </c>
      <c r="K368" s="5">
        <f>60 / 86400</f>
        <v>6.9444444444444447E-4</v>
      </c>
      <c r="L368" s="5">
        <f>20 / 86400</f>
        <v>2.3148148148148149E-4</v>
      </c>
    </row>
    <row r="369" spans="1:12" x14ac:dyDescent="0.25">
      <c r="A369" s="3">
        <v>45708.604097222225</v>
      </c>
      <c r="B369" t="s">
        <v>314</v>
      </c>
      <c r="C369" s="3">
        <v>45708.604791666672</v>
      </c>
      <c r="D369" t="s">
        <v>314</v>
      </c>
      <c r="E369" s="4">
        <v>3.9030985713005069E-2</v>
      </c>
      <c r="F369" s="4">
        <v>349381.45254384412</v>
      </c>
      <c r="G369" s="4">
        <v>349381.49157482979</v>
      </c>
      <c r="H369" s="5">
        <f t="shared" si="5"/>
        <v>0</v>
      </c>
      <c r="I369" t="s">
        <v>145</v>
      </c>
      <c r="J369" t="s">
        <v>136</v>
      </c>
      <c r="K369" s="5">
        <f>60 / 86400</f>
        <v>6.9444444444444447E-4</v>
      </c>
      <c r="L369" s="5">
        <f>20 / 86400</f>
        <v>2.3148148148148149E-4</v>
      </c>
    </row>
    <row r="370" spans="1:12" x14ac:dyDescent="0.25">
      <c r="A370" s="3">
        <v>45708.605023148149</v>
      </c>
      <c r="B370" t="s">
        <v>314</v>
      </c>
      <c r="C370" s="3">
        <v>45708.605613425927</v>
      </c>
      <c r="D370" t="s">
        <v>315</v>
      </c>
      <c r="E370" s="4">
        <v>3.1375902295112612E-2</v>
      </c>
      <c r="F370" s="4">
        <v>349381.5131779791</v>
      </c>
      <c r="G370" s="4">
        <v>349381.54455388139</v>
      </c>
      <c r="H370" s="5">
        <f t="shared" si="5"/>
        <v>0</v>
      </c>
      <c r="I370" t="s">
        <v>32</v>
      </c>
      <c r="J370" t="s">
        <v>136</v>
      </c>
      <c r="K370" s="5">
        <f>51 / 86400</f>
        <v>5.9027777777777778E-4</v>
      </c>
      <c r="L370" s="5">
        <f>20 / 86400</f>
        <v>2.3148148148148149E-4</v>
      </c>
    </row>
    <row r="371" spans="1:12" x14ac:dyDescent="0.25">
      <c r="A371" s="3">
        <v>45708.605844907404</v>
      </c>
      <c r="B371" t="s">
        <v>315</v>
      </c>
      <c r="C371" s="3">
        <v>45708.606307870374</v>
      </c>
      <c r="D371" t="s">
        <v>316</v>
      </c>
      <c r="E371" s="4">
        <v>0.22140582346916199</v>
      </c>
      <c r="F371" s="4">
        <v>349381.55254727346</v>
      </c>
      <c r="G371" s="4">
        <v>349381.77395309694</v>
      </c>
      <c r="H371" s="5">
        <f t="shared" si="5"/>
        <v>0</v>
      </c>
      <c r="I371" t="s">
        <v>178</v>
      </c>
      <c r="J371" t="s">
        <v>131</v>
      </c>
      <c r="K371" s="5">
        <f>40 / 86400</f>
        <v>4.6296296296296298E-4</v>
      </c>
      <c r="L371" s="5">
        <f>10 / 86400</f>
        <v>1.1574074074074075E-4</v>
      </c>
    </row>
    <row r="372" spans="1:12" x14ac:dyDescent="0.25">
      <c r="A372" s="3">
        <v>45708.606423611112</v>
      </c>
      <c r="B372" t="s">
        <v>316</v>
      </c>
      <c r="C372" s="3">
        <v>45708.607210648144</v>
      </c>
      <c r="D372" t="s">
        <v>317</v>
      </c>
      <c r="E372" s="4">
        <v>0.30423002958297729</v>
      </c>
      <c r="F372" s="4">
        <v>349381.77925444097</v>
      </c>
      <c r="G372" s="4">
        <v>349382.08348447055</v>
      </c>
      <c r="H372" s="5">
        <f t="shared" si="5"/>
        <v>0</v>
      </c>
      <c r="I372" t="s">
        <v>217</v>
      </c>
      <c r="J372" t="s">
        <v>49</v>
      </c>
      <c r="K372" s="5">
        <f>68 / 86400</f>
        <v>7.8703703703703705E-4</v>
      </c>
      <c r="L372" s="5">
        <f>98 / 86400</f>
        <v>1.1342592592592593E-3</v>
      </c>
    </row>
    <row r="373" spans="1:12" x14ac:dyDescent="0.25">
      <c r="A373" s="3">
        <v>45708.608344907407</v>
      </c>
      <c r="B373" t="s">
        <v>317</v>
      </c>
      <c r="C373" s="3">
        <v>45708.61005787037</v>
      </c>
      <c r="D373" t="s">
        <v>318</v>
      </c>
      <c r="E373" s="4">
        <v>1.4318915519714355</v>
      </c>
      <c r="F373" s="4">
        <v>349382.09818205144</v>
      </c>
      <c r="G373" s="4">
        <v>349383.53007360338</v>
      </c>
      <c r="H373" s="5">
        <f t="shared" si="5"/>
        <v>0</v>
      </c>
      <c r="I373" t="s">
        <v>287</v>
      </c>
      <c r="J373" t="s">
        <v>178</v>
      </c>
      <c r="K373" s="5">
        <f>148 / 86400</f>
        <v>1.712962962962963E-3</v>
      </c>
      <c r="L373" s="5">
        <f>20 / 86400</f>
        <v>2.3148148148148149E-4</v>
      </c>
    </row>
    <row r="374" spans="1:12" x14ac:dyDescent="0.25">
      <c r="A374" s="3">
        <v>45708.610289351855</v>
      </c>
      <c r="B374" t="s">
        <v>319</v>
      </c>
      <c r="C374" s="3">
        <v>45708.611319444448</v>
      </c>
      <c r="D374" t="s">
        <v>320</v>
      </c>
      <c r="E374" s="4">
        <v>0.52343055760860446</v>
      </c>
      <c r="F374" s="4">
        <v>349383.53306421719</v>
      </c>
      <c r="G374" s="4">
        <v>349384.05649477482</v>
      </c>
      <c r="H374" s="5">
        <f t="shared" si="5"/>
        <v>0</v>
      </c>
      <c r="I374" t="s">
        <v>96</v>
      </c>
      <c r="J374" t="s">
        <v>38</v>
      </c>
      <c r="K374" s="5">
        <f>89 / 86400</f>
        <v>1.0300925925925926E-3</v>
      </c>
      <c r="L374" s="5">
        <f>41 / 86400</f>
        <v>4.7453703703703704E-4</v>
      </c>
    </row>
    <row r="375" spans="1:12" x14ac:dyDescent="0.25">
      <c r="A375" s="3">
        <v>45708.611793981487</v>
      </c>
      <c r="B375" t="s">
        <v>320</v>
      </c>
      <c r="C375" s="3">
        <v>45708.614108796297</v>
      </c>
      <c r="D375" t="s">
        <v>219</v>
      </c>
      <c r="E375" s="4">
        <v>1.0121389646530152</v>
      </c>
      <c r="F375" s="4">
        <v>349384.05649477482</v>
      </c>
      <c r="G375" s="4">
        <v>349385.06863373949</v>
      </c>
      <c r="H375" s="5">
        <f t="shared" si="5"/>
        <v>0</v>
      </c>
      <c r="I375" t="s">
        <v>178</v>
      </c>
      <c r="J375" t="s">
        <v>34</v>
      </c>
      <c r="K375" s="5">
        <f>200 / 86400</f>
        <v>2.3148148148148147E-3</v>
      </c>
      <c r="L375" s="5">
        <f>20 / 86400</f>
        <v>2.3148148148148149E-4</v>
      </c>
    </row>
    <row r="376" spans="1:12" x14ac:dyDescent="0.25">
      <c r="A376" s="3">
        <v>45708.614340277782</v>
      </c>
      <c r="B376" t="s">
        <v>321</v>
      </c>
      <c r="C376" s="3">
        <v>45708.614571759259</v>
      </c>
      <c r="D376" t="s">
        <v>321</v>
      </c>
      <c r="E376" s="4">
        <v>3.6255975961685181E-3</v>
      </c>
      <c r="F376" s="4">
        <v>349385.09175110655</v>
      </c>
      <c r="G376" s="4">
        <v>349385.09537670418</v>
      </c>
      <c r="H376" s="5">
        <f t="shared" si="5"/>
        <v>0</v>
      </c>
      <c r="I376" t="s">
        <v>32</v>
      </c>
      <c r="J376" t="s">
        <v>145</v>
      </c>
      <c r="K376" s="5">
        <f>20 / 86400</f>
        <v>2.3148148148148149E-4</v>
      </c>
      <c r="L376" s="5">
        <f>13 / 86400</f>
        <v>1.5046296296296297E-4</v>
      </c>
    </row>
    <row r="377" spans="1:12" x14ac:dyDescent="0.25">
      <c r="A377" s="3">
        <v>45708.614722222221</v>
      </c>
      <c r="B377" t="s">
        <v>321</v>
      </c>
      <c r="C377" s="3">
        <v>45708.615497685183</v>
      </c>
      <c r="D377" t="s">
        <v>322</v>
      </c>
      <c r="E377" s="4">
        <v>0.27237237483263016</v>
      </c>
      <c r="F377" s="4">
        <v>349385.10213734303</v>
      </c>
      <c r="G377" s="4">
        <v>349385.37450971786</v>
      </c>
      <c r="H377" s="5">
        <f t="shared" si="5"/>
        <v>0</v>
      </c>
      <c r="I377" t="s">
        <v>134</v>
      </c>
      <c r="J377" t="s">
        <v>44</v>
      </c>
      <c r="K377" s="5">
        <f>67 / 86400</f>
        <v>7.7546296296296293E-4</v>
      </c>
      <c r="L377" s="5">
        <f>10 / 86400</f>
        <v>1.1574074074074075E-4</v>
      </c>
    </row>
    <row r="378" spans="1:12" x14ac:dyDescent="0.25">
      <c r="A378" s="3">
        <v>45708.615613425922</v>
      </c>
      <c r="B378" t="s">
        <v>322</v>
      </c>
      <c r="C378" s="3">
        <v>45708.616435185184</v>
      </c>
      <c r="D378" t="s">
        <v>323</v>
      </c>
      <c r="E378" s="4">
        <v>0.50820706582069397</v>
      </c>
      <c r="F378" s="4">
        <v>349385.37911017006</v>
      </c>
      <c r="G378" s="4">
        <v>349385.88731723587</v>
      </c>
      <c r="H378" s="5">
        <f t="shared" si="5"/>
        <v>0</v>
      </c>
      <c r="I378" t="s">
        <v>203</v>
      </c>
      <c r="J378" t="s">
        <v>189</v>
      </c>
      <c r="K378" s="5">
        <f>71 / 86400</f>
        <v>8.2175925925925927E-4</v>
      </c>
      <c r="L378" s="5">
        <f>14 / 86400</f>
        <v>1.6203703703703703E-4</v>
      </c>
    </row>
    <row r="379" spans="1:12" x14ac:dyDescent="0.25">
      <c r="A379" s="3">
        <v>45708.616597222222</v>
      </c>
      <c r="B379" t="s">
        <v>323</v>
      </c>
      <c r="C379" s="3">
        <v>45708.617245370369</v>
      </c>
      <c r="D379" t="s">
        <v>221</v>
      </c>
      <c r="E379" s="4">
        <v>0.15829521238803865</v>
      </c>
      <c r="F379" s="4">
        <v>349385.89272708964</v>
      </c>
      <c r="G379" s="4">
        <v>349386.05102230201</v>
      </c>
      <c r="H379" s="5">
        <f t="shared" si="5"/>
        <v>0</v>
      </c>
      <c r="I379" t="s">
        <v>137</v>
      </c>
      <c r="J379" t="s">
        <v>97</v>
      </c>
      <c r="K379" s="5">
        <f>56 / 86400</f>
        <v>6.4814814814814813E-4</v>
      </c>
      <c r="L379" s="5">
        <f>20 / 86400</f>
        <v>2.3148148148148149E-4</v>
      </c>
    </row>
    <row r="380" spans="1:12" x14ac:dyDescent="0.25">
      <c r="A380" s="3">
        <v>45708.617476851854</v>
      </c>
      <c r="B380" t="s">
        <v>221</v>
      </c>
      <c r="C380" s="3">
        <v>45708.61854166667</v>
      </c>
      <c r="D380" t="s">
        <v>230</v>
      </c>
      <c r="E380" s="4">
        <v>0.48493426150083541</v>
      </c>
      <c r="F380" s="4">
        <v>349386.07634206564</v>
      </c>
      <c r="G380" s="4">
        <v>349386.56127632712</v>
      </c>
      <c r="H380" s="5">
        <f t="shared" si="5"/>
        <v>0</v>
      </c>
      <c r="I380" t="s">
        <v>164</v>
      </c>
      <c r="J380" t="s">
        <v>68</v>
      </c>
      <c r="K380" s="5">
        <f>92 / 86400</f>
        <v>1.0648148148148149E-3</v>
      </c>
      <c r="L380" s="5">
        <f>20 / 86400</f>
        <v>2.3148148148148149E-4</v>
      </c>
    </row>
    <row r="381" spans="1:12" x14ac:dyDescent="0.25">
      <c r="A381" s="3">
        <v>45708.618773148148</v>
      </c>
      <c r="B381" t="s">
        <v>324</v>
      </c>
      <c r="C381" s="3">
        <v>45708.61923611111</v>
      </c>
      <c r="D381" t="s">
        <v>324</v>
      </c>
      <c r="E381" s="4">
        <v>0.10898448103666306</v>
      </c>
      <c r="F381" s="4">
        <v>349386.63227130659</v>
      </c>
      <c r="G381" s="4">
        <v>349386.74125578761</v>
      </c>
      <c r="H381" s="5">
        <f t="shared" si="5"/>
        <v>0</v>
      </c>
      <c r="I381" t="s">
        <v>217</v>
      </c>
      <c r="J381" t="s">
        <v>97</v>
      </c>
      <c r="K381" s="5">
        <f>40 / 86400</f>
        <v>4.6296296296296298E-4</v>
      </c>
      <c r="L381" s="5">
        <f>20 / 86400</f>
        <v>2.3148148148148149E-4</v>
      </c>
    </row>
    <row r="382" spans="1:12" x14ac:dyDescent="0.25">
      <c r="A382" s="3">
        <v>45708.619467592594</v>
      </c>
      <c r="B382" t="s">
        <v>324</v>
      </c>
      <c r="C382" s="3">
        <v>45708.620162037041</v>
      </c>
      <c r="D382" t="s">
        <v>223</v>
      </c>
      <c r="E382" s="4">
        <v>0.29605280143022539</v>
      </c>
      <c r="F382" s="4">
        <v>349386.7628332614</v>
      </c>
      <c r="G382" s="4">
        <v>349387.05888606282</v>
      </c>
      <c r="H382" s="5">
        <f t="shared" si="5"/>
        <v>0</v>
      </c>
      <c r="I382" t="s">
        <v>164</v>
      </c>
      <c r="J382" t="s">
        <v>34</v>
      </c>
      <c r="K382" s="5">
        <f>60 / 86400</f>
        <v>6.9444444444444447E-4</v>
      </c>
      <c r="L382" s="5">
        <f>20 / 86400</f>
        <v>2.3148148148148149E-4</v>
      </c>
    </row>
    <row r="383" spans="1:12" x14ac:dyDescent="0.25">
      <c r="A383" s="3">
        <v>45708.620393518519</v>
      </c>
      <c r="B383" t="s">
        <v>223</v>
      </c>
      <c r="C383" s="3">
        <v>45708.621620370366</v>
      </c>
      <c r="D383" t="s">
        <v>21</v>
      </c>
      <c r="E383" s="4">
        <v>0.2685947357416153</v>
      </c>
      <c r="F383" s="4">
        <v>349387.0675707956</v>
      </c>
      <c r="G383" s="4">
        <v>349387.33616553136</v>
      </c>
      <c r="H383" s="5">
        <f t="shared" si="5"/>
        <v>0</v>
      </c>
      <c r="I383" t="s">
        <v>150</v>
      </c>
      <c r="J383" t="s">
        <v>137</v>
      </c>
      <c r="K383" s="5">
        <f>106 / 86400</f>
        <v>1.2268518518518518E-3</v>
      </c>
      <c r="L383" s="5">
        <f>24 / 86400</f>
        <v>2.7777777777777778E-4</v>
      </c>
    </row>
    <row r="384" spans="1:12" x14ac:dyDescent="0.25">
      <c r="A384" s="3">
        <v>45708.621898148151</v>
      </c>
      <c r="B384" t="s">
        <v>21</v>
      </c>
      <c r="C384" s="3">
        <v>45708.622581018513</v>
      </c>
      <c r="D384" t="s">
        <v>224</v>
      </c>
      <c r="E384" s="4">
        <v>0.11983715718984604</v>
      </c>
      <c r="F384" s="4">
        <v>349387.34237163555</v>
      </c>
      <c r="G384" s="4">
        <v>349387.46220879274</v>
      </c>
      <c r="H384" s="5">
        <f t="shared" si="5"/>
        <v>0</v>
      </c>
      <c r="I384" t="s">
        <v>49</v>
      </c>
      <c r="J384" t="s">
        <v>26</v>
      </c>
      <c r="K384" s="5">
        <f>59 / 86400</f>
        <v>6.8287037037037036E-4</v>
      </c>
      <c r="L384" s="5">
        <f>120 / 86400</f>
        <v>1.3888888888888889E-3</v>
      </c>
    </row>
    <row r="385" spans="1:12" x14ac:dyDescent="0.25">
      <c r="A385" s="3">
        <v>45708.623969907407</v>
      </c>
      <c r="B385" t="s">
        <v>225</v>
      </c>
      <c r="C385" s="3">
        <v>45708.624432870369</v>
      </c>
      <c r="D385" t="s">
        <v>225</v>
      </c>
      <c r="E385" s="4">
        <v>3.9469602108001709E-3</v>
      </c>
      <c r="F385" s="4">
        <v>349387.48328935564</v>
      </c>
      <c r="G385" s="4">
        <v>349387.48723631585</v>
      </c>
      <c r="H385" s="5">
        <f t="shared" si="5"/>
        <v>0</v>
      </c>
      <c r="I385" t="s">
        <v>136</v>
      </c>
      <c r="J385" t="s">
        <v>22</v>
      </c>
      <c r="K385" s="5">
        <f>40 / 86400</f>
        <v>4.6296296296296298E-4</v>
      </c>
      <c r="L385" s="5">
        <f>160 / 86400</f>
        <v>1.8518518518518519E-3</v>
      </c>
    </row>
    <row r="386" spans="1:12" x14ac:dyDescent="0.25">
      <c r="A386" s="3">
        <v>45708.626284722224</v>
      </c>
      <c r="B386" t="s">
        <v>325</v>
      </c>
      <c r="C386" s="3">
        <v>45708.626516203702</v>
      </c>
      <c r="D386" t="s">
        <v>325</v>
      </c>
      <c r="E386" s="4">
        <v>7.0014439225196835E-3</v>
      </c>
      <c r="F386" s="4">
        <v>349387.51413595851</v>
      </c>
      <c r="G386" s="4">
        <v>349387.52113740239</v>
      </c>
      <c r="H386" s="5">
        <f t="shared" si="5"/>
        <v>0</v>
      </c>
      <c r="I386" t="s">
        <v>145</v>
      </c>
      <c r="J386" t="s">
        <v>145</v>
      </c>
      <c r="K386" s="5">
        <f>20 / 86400</f>
        <v>2.3148148148148149E-4</v>
      </c>
      <c r="L386" s="5">
        <f>40 / 86400</f>
        <v>4.6296296296296298E-4</v>
      </c>
    </row>
    <row r="387" spans="1:12" x14ac:dyDescent="0.25">
      <c r="A387" s="3">
        <v>45708.626979166671</v>
      </c>
      <c r="B387" t="s">
        <v>325</v>
      </c>
      <c r="C387" s="3">
        <v>45708.627210648148</v>
      </c>
      <c r="D387" t="s">
        <v>226</v>
      </c>
      <c r="E387" s="4">
        <v>7.2516753673553466E-3</v>
      </c>
      <c r="F387" s="4">
        <v>349387.52862755058</v>
      </c>
      <c r="G387" s="4">
        <v>349387.53587922599</v>
      </c>
      <c r="H387" s="5">
        <f t="shared" si="5"/>
        <v>0</v>
      </c>
      <c r="I387" t="s">
        <v>136</v>
      </c>
      <c r="J387" t="s">
        <v>145</v>
      </c>
      <c r="K387" s="5">
        <f>20 / 86400</f>
        <v>2.3148148148148149E-4</v>
      </c>
      <c r="L387" s="5">
        <f>20 / 86400</f>
        <v>2.3148148148148149E-4</v>
      </c>
    </row>
    <row r="388" spans="1:12" x14ac:dyDescent="0.25">
      <c r="A388" s="3">
        <v>45708.627442129626</v>
      </c>
      <c r="B388" t="s">
        <v>225</v>
      </c>
      <c r="C388" s="3">
        <v>45708.627905092595</v>
      </c>
      <c r="D388" t="s">
        <v>225</v>
      </c>
      <c r="E388" s="4">
        <v>1.1979967176914215E-2</v>
      </c>
      <c r="F388" s="4">
        <v>349387.54495058447</v>
      </c>
      <c r="G388" s="4">
        <v>349387.55693055165</v>
      </c>
      <c r="H388" s="5">
        <f t="shared" si="5"/>
        <v>0</v>
      </c>
      <c r="I388" t="s">
        <v>145</v>
      </c>
      <c r="J388" t="s">
        <v>145</v>
      </c>
      <c r="K388" s="5">
        <f>40 / 86400</f>
        <v>4.6296296296296298E-4</v>
      </c>
      <c r="L388" s="5">
        <f>20 / 86400</f>
        <v>2.3148148148148149E-4</v>
      </c>
    </row>
    <row r="389" spans="1:12" x14ac:dyDescent="0.25">
      <c r="A389" s="3">
        <v>45708.628136574072</v>
      </c>
      <c r="B389" t="s">
        <v>325</v>
      </c>
      <c r="C389" s="3">
        <v>45708.628368055557</v>
      </c>
      <c r="D389" t="s">
        <v>225</v>
      </c>
      <c r="E389" s="4">
        <v>4.4324540495872498E-3</v>
      </c>
      <c r="F389" s="4">
        <v>349387.56154351647</v>
      </c>
      <c r="G389" s="4">
        <v>349387.56597597053</v>
      </c>
      <c r="H389" s="5">
        <f t="shared" si="5"/>
        <v>0</v>
      </c>
      <c r="I389" t="s">
        <v>145</v>
      </c>
      <c r="J389" t="s">
        <v>145</v>
      </c>
      <c r="K389" s="5">
        <f>20 / 86400</f>
        <v>2.3148148148148149E-4</v>
      </c>
      <c r="L389" s="5">
        <f>20 / 86400</f>
        <v>2.3148148148148149E-4</v>
      </c>
    </row>
    <row r="390" spans="1:12" x14ac:dyDescent="0.25">
      <c r="A390" s="3">
        <v>45708.628599537042</v>
      </c>
      <c r="B390" t="s">
        <v>325</v>
      </c>
      <c r="C390" s="3">
        <v>45708.628831018519</v>
      </c>
      <c r="D390" t="s">
        <v>325</v>
      </c>
      <c r="E390" s="4">
        <v>3.0607571601867674E-3</v>
      </c>
      <c r="F390" s="4">
        <v>349387.56836541987</v>
      </c>
      <c r="G390" s="4">
        <v>349387.57142617705</v>
      </c>
      <c r="H390" s="5">
        <f t="shared" si="5"/>
        <v>0</v>
      </c>
      <c r="I390" t="s">
        <v>136</v>
      </c>
      <c r="J390" t="s">
        <v>145</v>
      </c>
      <c r="K390" s="5">
        <f>20 / 86400</f>
        <v>2.3148148148148149E-4</v>
      </c>
      <c r="L390" s="5">
        <f>40 / 86400</f>
        <v>4.6296296296296298E-4</v>
      </c>
    </row>
    <row r="391" spans="1:12" x14ac:dyDescent="0.25">
      <c r="A391" s="3">
        <v>45708.629293981481</v>
      </c>
      <c r="B391" t="s">
        <v>325</v>
      </c>
      <c r="C391" s="3">
        <v>45708.629525462966</v>
      </c>
      <c r="D391" t="s">
        <v>325</v>
      </c>
      <c r="E391" s="4">
        <v>9.8618686199188239E-3</v>
      </c>
      <c r="F391" s="4">
        <v>349387.59854941838</v>
      </c>
      <c r="G391" s="4">
        <v>349387.60841128702</v>
      </c>
      <c r="H391" s="5">
        <f t="shared" si="5"/>
        <v>0</v>
      </c>
      <c r="I391" t="s">
        <v>145</v>
      </c>
      <c r="J391" t="s">
        <v>136</v>
      </c>
      <c r="K391" s="5">
        <f>20 / 86400</f>
        <v>2.3148148148148149E-4</v>
      </c>
      <c r="L391" s="5">
        <f>20 / 86400</f>
        <v>2.3148148148148149E-4</v>
      </c>
    </row>
    <row r="392" spans="1:12" x14ac:dyDescent="0.25">
      <c r="A392" s="3">
        <v>45708.629756944443</v>
      </c>
      <c r="B392" t="s">
        <v>225</v>
      </c>
      <c r="C392" s="3">
        <v>45708.631736111114</v>
      </c>
      <c r="D392" t="s">
        <v>326</v>
      </c>
      <c r="E392" s="4">
        <v>0.4854254224896431</v>
      </c>
      <c r="F392" s="4">
        <v>349387.62862030877</v>
      </c>
      <c r="G392" s="4">
        <v>349388.11404573126</v>
      </c>
      <c r="H392" s="5">
        <f t="shared" si="5"/>
        <v>0</v>
      </c>
      <c r="I392" t="s">
        <v>189</v>
      </c>
      <c r="J392" t="s">
        <v>97</v>
      </c>
      <c r="K392" s="5">
        <f>171 / 86400</f>
        <v>1.9791666666666668E-3</v>
      </c>
      <c r="L392" s="5">
        <f>2 / 86400</f>
        <v>2.3148148148148147E-5</v>
      </c>
    </row>
    <row r="393" spans="1:12" x14ac:dyDescent="0.25">
      <c r="A393" s="3">
        <v>45708.63175925926</v>
      </c>
      <c r="B393" t="s">
        <v>327</v>
      </c>
      <c r="C393" s="3">
        <v>45708.632685185185</v>
      </c>
      <c r="D393" t="s">
        <v>223</v>
      </c>
      <c r="E393" s="4">
        <v>0.2277214047908783</v>
      </c>
      <c r="F393" s="4">
        <v>349388.1441462572</v>
      </c>
      <c r="G393" s="4">
        <v>349388.371867662</v>
      </c>
      <c r="H393" s="5">
        <f t="shared" si="5"/>
        <v>0</v>
      </c>
      <c r="I393" t="s">
        <v>20</v>
      </c>
      <c r="J393" t="s">
        <v>97</v>
      </c>
      <c r="K393" s="5">
        <f>80 / 86400</f>
        <v>9.2592592592592596E-4</v>
      </c>
      <c r="L393" s="5">
        <f>20 / 86400</f>
        <v>2.3148148148148149E-4</v>
      </c>
    </row>
    <row r="394" spans="1:12" x14ac:dyDescent="0.25">
      <c r="A394" s="3">
        <v>45708.632916666669</v>
      </c>
      <c r="B394" t="s">
        <v>223</v>
      </c>
      <c r="C394" s="3">
        <v>45708.633553240739</v>
      </c>
      <c r="D394" t="s">
        <v>328</v>
      </c>
      <c r="E394" s="4">
        <v>0.11108828943967819</v>
      </c>
      <c r="F394" s="4">
        <v>349388.3796134633</v>
      </c>
      <c r="G394" s="4">
        <v>349388.49070175271</v>
      </c>
      <c r="H394" s="5">
        <f t="shared" si="5"/>
        <v>0</v>
      </c>
      <c r="I394" t="s">
        <v>68</v>
      </c>
      <c r="J394" t="s">
        <v>26</v>
      </c>
      <c r="K394" s="5">
        <f>55 / 86400</f>
        <v>6.3657407407407413E-4</v>
      </c>
      <c r="L394" s="5">
        <f>20 / 86400</f>
        <v>2.3148148148148149E-4</v>
      </c>
    </row>
    <row r="395" spans="1:12" x14ac:dyDescent="0.25">
      <c r="A395" s="3">
        <v>45708.633784722224</v>
      </c>
      <c r="B395" t="s">
        <v>329</v>
      </c>
      <c r="C395" s="3">
        <v>45708.635405092587</v>
      </c>
      <c r="D395" t="s">
        <v>330</v>
      </c>
      <c r="E395" s="4">
        <v>0.39470235830545425</v>
      </c>
      <c r="F395" s="4">
        <v>349388.531176964</v>
      </c>
      <c r="G395" s="4">
        <v>349388.92587932228</v>
      </c>
      <c r="H395" s="5">
        <f t="shared" si="5"/>
        <v>0</v>
      </c>
      <c r="I395" t="s">
        <v>142</v>
      </c>
      <c r="J395" t="s">
        <v>97</v>
      </c>
      <c r="K395" s="5">
        <f>140 / 86400</f>
        <v>1.6203703703703703E-3</v>
      </c>
      <c r="L395" s="5">
        <f>36 / 86400</f>
        <v>4.1666666666666669E-4</v>
      </c>
    </row>
    <row r="396" spans="1:12" x14ac:dyDescent="0.25">
      <c r="A396" s="3">
        <v>45708.635821759264</v>
      </c>
      <c r="B396" t="s">
        <v>222</v>
      </c>
      <c r="C396" s="3">
        <v>45708.636481481481</v>
      </c>
      <c r="D396" t="s">
        <v>323</v>
      </c>
      <c r="E396" s="4">
        <v>0.2306311286687851</v>
      </c>
      <c r="F396" s="4">
        <v>349388.98615079786</v>
      </c>
      <c r="G396" s="4">
        <v>349389.21678192652</v>
      </c>
      <c r="H396" s="5">
        <f t="shared" si="5"/>
        <v>0</v>
      </c>
      <c r="I396" t="s">
        <v>68</v>
      </c>
      <c r="J396" t="s">
        <v>44</v>
      </c>
      <c r="K396" s="5">
        <f>57 / 86400</f>
        <v>6.5972222222222224E-4</v>
      </c>
      <c r="L396" s="5">
        <f>5 / 86400</f>
        <v>5.7870370370370373E-5</v>
      </c>
    </row>
    <row r="397" spans="1:12" x14ac:dyDescent="0.25">
      <c r="A397" s="3">
        <v>45708.63653935185</v>
      </c>
      <c r="B397" t="s">
        <v>232</v>
      </c>
      <c r="C397" s="3">
        <v>45708.637164351851</v>
      </c>
      <c r="D397" t="s">
        <v>331</v>
      </c>
      <c r="E397" s="4">
        <v>0.17943239796161653</v>
      </c>
      <c r="F397" s="4">
        <v>349389.22085451352</v>
      </c>
      <c r="G397" s="4">
        <v>349389.40028691146</v>
      </c>
      <c r="H397" s="5">
        <f t="shared" si="5"/>
        <v>0</v>
      </c>
      <c r="I397" t="s">
        <v>162</v>
      </c>
      <c r="J397" t="s">
        <v>65</v>
      </c>
      <c r="K397" s="5">
        <f>54 / 86400</f>
        <v>6.2500000000000001E-4</v>
      </c>
      <c r="L397" s="5">
        <f>20 / 86400</f>
        <v>2.3148148148148149E-4</v>
      </c>
    </row>
    <row r="398" spans="1:12" x14ac:dyDescent="0.25">
      <c r="A398" s="3">
        <v>45708.637395833328</v>
      </c>
      <c r="B398" t="s">
        <v>331</v>
      </c>
      <c r="C398" s="3">
        <v>45708.638599537036</v>
      </c>
      <c r="D398" t="s">
        <v>238</v>
      </c>
      <c r="E398" s="4">
        <v>0.43750713717937467</v>
      </c>
      <c r="F398" s="4">
        <v>349389.40684970364</v>
      </c>
      <c r="G398" s="4">
        <v>349389.84435684077</v>
      </c>
      <c r="H398" s="5">
        <f t="shared" si="5"/>
        <v>0</v>
      </c>
      <c r="I398" t="s">
        <v>31</v>
      </c>
      <c r="J398" t="s">
        <v>44</v>
      </c>
      <c r="K398" s="5">
        <f>104 / 86400</f>
        <v>1.2037037037037038E-3</v>
      </c>
      <c r="L398" s="5">
        <f>63 / 86400</f>
        <v>7.291666666666667E-4</v>
      </c>
    </row>
    <row r="399" spans="1:12" x14ac:dyDescent="0.25">
      <c r="A399" s="3">
        <v>45708.639328703706</v>
      </c>
      <c r="B399" t="s">
        <v>238</v>
      </c>
      <c r="C399" s="3">
        <v>45708.640381944446</v>
      </c>
      <c r="D399" t="s">
        <v>332</v>
      </c>
      <c r="E399" s="4">
        <v>0.23604621869325637</v>
      </c>
      <c r="F399" s="4">
        <v>349389.8548028075</v>
      </c>
      <c r="G399" s="4">
        <v>349390.09084902622</v>
      </c>
      <c r="H399" s="5">
        <f t="shared" si="5"/>
        <v>0</v>
      </c>
      <c r="I399" t="s">
        <v>68</v>
      </c>
      <c r="J399" t="s">
        <v>137</v>
      </c>
      <c r="K399" s="5">
        <f>91 / 86400</f>
        <v>1.0532407407407407E-3</v>
      </c>
      <c r="L399" s="5">
        <f>60 / 86400</f>
        <v>6.9444444444444447E-4</v>
      </c>
    </row>
    <row r="400" spans="1:12" x14ac:dyDescent="0.25">
      <c r="A400" s="3">
        <v>45708.641076388885</v>
      </c>
      <c r="B400" t="s">
        <v>333</v>
      </c>
      <c r="C400" s="3">
        <v>45708.64130787037</v>
      </c>
      <c r="D400" t="s">
        <v>334</v>
      </c>
      <c r="E400" s="4">
        <v>4.4208693444728851E-2</v>
      </c>
      <c r="F400" s="4">
        <v>349390.14719295577</v>
      </c>
      <c r="G400" s="4">
        <v>349390.19140164921</v>
      </c>
      <c r="H400" s="5">
        <f t="shared" si="5"/>
        <v>0</v>
      </c>
      <c r="I400" t="s">
        <v>135</v>
      </c>
      <c r="J400" t="s">
        <v>168</v>
      </c>
      <c r="K400" s="5">
        <f>20 / 86400</f>
        <v>2.3148148148148149E-4</v>
      </c>
      <c r="L400" s="5">
        <f>20 / 86400</f>
        <v>2.3148148148148149E-4</v>
      </c>
    </row>
    <row r="401" spans="1:12" x14ac:dyDescent="0.25">
      <c r="A401" s="3">
        <v>45708.641539351855</v>
      </c>
      <c r="B401" t="s">
        <v>239</v>
      </c>
      <c r="C401" s="3">
        <v>45708.641770833332</v>
      </c>
      <c r="D401" t="s">
        <v>239</v>
      </c>
      <c r="E401" s="4">
        <v>3.9352156221866608E-2</v>
      </c>
      <c r="F401" s="4">
        <v>349390.25586069946</v>
      </c>
      <c r="G401" s="4">
        <v>349390.29521285568</v>
      </c>
      <c r="H401" s="5">
        <f t="shared" si="5"/>
        <v>0</v>
      </c>
      <c r="I401" t="s">
        <v>44</v>
      </c>
      <c r="J401" t="s">
        <v>26</v>
      </c>
      <c r="K401" s="5">
        <f>20 / 86400</f>
        <v>2.3148148148148149E-4</v>
      </c>
      <c r="L401" s="5">
        <f>60 / 86400</f>
        <v>6.9444444444444447E-4</v>
      </c>
    </row>
    <row r="402" spans="1:12" x14ac:dyDescent="0.25">
      <c r="A402" s="3">
        <v>45708.642465277779</v>
      </c>
      <c r="B402" t="s">
        <v>239</v>
      </c>
      <c r="C402" s="3">
        <v>45708.642847222218</v>
      </c>
      <c r="D402" t="s">
        <v>239</v>
      </c>
      <c r="E402" s="4">
        <v>0.10704817587137222</v>
      </c>
      <c r="F402" s="4">
        <v>349390.30033351399</v>
      </c>
      <c r="G402" s="4">
        <v>349390.40738168987</v>
      </c>
      <c r="H402" s="5">
        <f t="shared" si="5"/>
        <v>0</v>
      </c>
      <c r="I402" t="s">
        <v>49</v>
      </c>
      <c r="J402" t="s">
        <v>65</v>
      </c>
      <c r="K402" s="5">
        <f>33 / 86400</f>
        <v>3.8194444444444446E-4</v>
      </c>
      <c r="L402" s="5">
        <f>13 / 86400</f>
        <v>1.5046296296296297E-4</v>
      </c>
    </row>
    <row r="403" spans="1:12" x14ac:dyDescent="0.25">
      <c r="A403" s="3">
        <v>45708.642997685187</v>
      </c>
      <c r="B403" t="s">
        <v>239</v>
      </c>
      <c r="C403" s="3">
        <v>45708.64371527778</v>
      </c>
      <c r="D403" t="s">
        <v>335</v>
      </c>
      <c r="E403" s="4">
        <v>0.12379847091436386</v>
      </c>
      <c r="F403" s="4">
        <v>349390.41738978191</v>
      </c>
      <c r="G403" s="4">
        <v>349390.5411882528</v>
      </c>
      <c r="H403" s="5">
        <f t="shared" si="5"/>
        <v>0</v>
      </c>
      <c r="I403" t="s">
        <v>168</v>
      </c>
      <c r="J403" t="s">
        <v>26</v>
      </c>
      <c r="K403" s="5">
        <f>62 / 86400</f>
        <v>7.1759259259259259E-4</v>
      </c>
      <c r="L403" s="5">
        <f>20 / 86400</f>
        <v>2.3148148148148149E-4</v>
      </c>
    </row>
    <row r="404" spans="1:12" x14ac:dyDescent="0.25">
      <c r="A404" s="3">
        <v>45708.643946759257</v>
      </c>
      <c r="B404" t="s">
        <v>335</v>
      </c>
      <c r="C404" s="3">
        <v>45708.645069444443</v>
      </c>
      <c r="D404" t="s">
        <v>216</v>
      </c>
      <c r="E404" s="4">
        <v>0.11293942302465439</v>
      </c>
      <c r="F404" s="4">
        <v>349390.56231681036</v>
      </c>
      <c r="G404" s="4">
        <v>349390.67525623337</v>
      </c>
      <c r="H404" s="5">
        <f t="shared" si="5"/>
        <v>0</v>
      </c>
      <c r="I404" t="s">
        <v>86</v>
      </c>
      <c r="J404" t="s">
        <v>143</v>
      </c>
      <c r="K404" s="5">
        <f>97 / 86400</f>
        <v>1.1226851851851851E-3</v>
      </c>
      <c r="L404" s="5">
        <f>4 / 86400</f>
        <v>4.6296296296296294E-5</v>
      </c>
    </row>
    <row r="405" spans="1:12" x14ac:dyDescent="0.25">
      <c r="A405" s="3">
        <v>45708.645115740743</v>
      </c>
      <c r="B405" t="s">
        <v>216</v>
      </c>
      <c r="C405" s="3">
        <v>45708.64675925926</v>
      </c>
      <c r="D405" t="s">
        <v>242</v>
      </c>
      <c r="E405" s="4">
        <v>0.90490704959630963</v>
      </c>
      <c r="F405" s="4">
        <v>349390.68235013547</v>
      </c>
      <c r="G405" s="4">
        <v>349391.58725718502</v>
      </c>
      <c r="H405" s="5">
        <f t="shared" si="5"/>
        <v>0</v>
      </c>
      <c r="I405" t="s">
        <v>290</v>
      </c>
      <c r="J405" t="s">
        <v>144</v>
      </c>
      <c r="K405" s="5">
        <f>142 / 86400</f>
        <v>1.6435185185185185E-3</v>
      </c>
      <c r="L405" s="5">
        <f>18 / 86400</f>
        <v>2.0833333333333335E-4</v>
      </c>
    </row>
    <row r="406" spans="1:12" x14ac:dyDescent="0.25">
      <c r="A406" s="3">
        <v>45708.646967592591</v>
      </c>
      <c r="B406" t="s">
        <v>240</v>
      </c>
      <c r="C406" s="3">
        <v>45708.648379629631</v>
      </c>
      <c r="D406" t="s">
        <v>336</v>
      </c>
      <c r="E406" s="4">
        <v>0.80999421966075902</v>
      </c>
      <c r="F406" s="4">
        <v>349391.61561923492</v>
      </c>
      <c r="G406" s="4">
        <v>349392.4256134546</v>
      </c>
      <c r="H406" s="5">
        <f t="shared" si="5"/>
        <v>0</v>
      </c>
      <c r="I406" t="s">
        <v>96</v>
      </c>
      <c r="J406" t="s">
        <v>157</v>
      </c>
      <c r="K406" s="5">
        <f>122 / 86400</f>
        <v>1.4120370370370369E-3</v>
      </c>
      <c r="L406" s="5">
        <f>60 / 86400</f>
        <v>6.9444444444444447E-4</v>
      </c>
    </row>
    <row r="407" spans="1:12" x14ac:dyDescent="0.25">
      <c r="A407" s="3">
        <v>45708.64907407407</v>
      </c>
      <c r="B407" t="s">
        <v>337</v>
      </c>
      <c r="C407" s="3">
        <v>45708.650787037041</v>
      </c>
      <c r="D407" t="s">
        <v>315</v>
      </c>
      <c r="E407" s="4">
        <v>0.8893838568925857</v>
      </c>
      <c r="F407" s="4">
        <v>349392.48565812514</v>
      </c>
      <c r="G407" s="4">
        <v>349393.37504198204</v>
      </c>
      <c r="H407" s="5">
        <f t="shared" si="5"/>
        <v>0</v>
      </c>
      <c r="I407" t="s">
        <v>171</v>
      </c>
      <c r="J407" t="s">
        <v>148</v>
      </c>
      <c r="K407" s="5">
        <f>148 / 86400</f>
        <v>1.712962962962963E-3</v>
      </c>
      <c r="L407" s="5">
        <f>120 / 86400</f>
        <v>1.3888888888888889E-3</v>
      </c>
    </row>
    <row r="408" spans="1:12" x14ac:dyDescent="0.25">
      <c r="A408" s="3">
        <v>45708.652175925927</v>
      </c>
      <c r="B408" t="s">
        <v>315</v>
      </c>
      <c r="C408" s="3">
        <v>45708.652638888889</v>
      </c>
      <c r="D408" t="s">
        <v>246</v>
      </c>
      <c r="E408" s="4">
        <v>0.17311026030778884</v>
      </c>
      <c r="F408" s="4">
        <v>349393.41557930823</v>
      </c>
      <c r="G408" s="4">
        <v>349393.58868956851</v>
      </c>
      <c r="H408" s="5">
        <f t="shared" si="5"/>
        <v>0</v>
      </c>
      <c r="I408" t="s">
        <v>131</v>
      </c>
      <c r="J408" t="s">
        <v>49</v>
      </c>
      <c r="K408" s="5">
        <f>40 / 86400</f>
        <v>4.6296296296296298E-4</v>
      </c>
      <c r="L408" s="5">
        <f>20 / 86400</f>
        <v>2.3148148148148149E-4</v>
      </c>
    </row>
    <row r="409" spans="1:12" x14ac:dyDescent="0.25">
      <c r="A409" s="3">
        <v>45708.652870370366</v>
      </c>
      <c r="B409" t="s">
        <v>246</v>
      </c>
      <c r="C409" s="3">
        <v>45708.653495370367</v>
      </c>
      <c r="D409" t="s">
        <v>247</v>
      </c>
      <c r="E409" s="4">
        <v>0.11894998323917388</v>
      </c>
      <c r="F409" s="4">
        <v>349393.5932505689</v>
      </c>
      <c r="G409" s="4">
        <v>349393.71220055217</v>
      </c>
      <c r="H409" s="5">
        <f t="shared" si="5"/>
        <v>0</v>
      </c>
      <c r="I409" t="s">
        <v>65</v>
      </c>
      <c r="J409" t="s">
        <v>168</v>
      </c>
      <c r="K409" s="5">
        <f>54 / 86400</f>
        <v>6.2500000000000001E-4</v>
      </c>
      <c r="L409" s="5">
        <f>16 / 86400</f>
        <v>1.8518518518518518E-4</v>
      </c>
    </row>
    <row r="410" spans="1:12" x14ac:dyDescent="0.25">
      <c r="A410" s="3">
        <v>45708.653680555552</v>
      </c>
      <c r="B410" t="s">
        <v>247</v>
      </c>
      <c r="C410" s="3">
        <v>45708.653912037036</v>
      </c>
      <c r="D410" t="s">
        <v>247</v>
      </c>
      <c r="E410" s="4">
        <v>2.1012217402458191E-2</v>
      </c>
      <c r="F410" s="4">
        <v>349393.71903589729</v>
      </c>
      <c r="G410" s="4">
        <v>349393.74004811473</v>
      </c>
      <c r="H410" s="5">
        <f t="shared" si="5"/>
        <v>0</v>
      </c>
      <c r="I410" t="s">
        <v>32</v>
      </c>
      <c r="J410" t="s">
        <v>143</v>
      </c>
      <c r="K410" s="5">
        <f>20 / 86400</f>
        <v>2.3148148148148149E-4</v>
      </c>
      <c r="L410" s="5">
        <f>12 / 86400</f>
        <v>1.3888888888888889E-4</v>
      </c>
    </row>
    <row r="411" spans="1:12" x14ac:dyDescent="0.25">
      <c r="A411" s="3">
        <v>45708.654050925921</v>
      </c>
      <c r="B411" t="s">
        <v>247</v>
      </c>
      <c r="C411" s="3">
        <v>45708.656631944439</v>
      </c>
      <c r="D411" t="s">
        <v>338</v>
      </c>
      <c r="E411" s="4">
        <v>0.63910011655092236</v>
      </c>
      <c r="F411" s="4">
        <v>349393.74873737048</v>
      </c>
      <c r="G411" s="4">
        <v>349394.38783748704</v>
      </c>
      <c r="H411" s="5">
        <f t="shared" si="5"/>
        <v>0</v>
      </c>
      <c r="I411" t="s">
        <v>157</v>
      </c>
      <c r="J411" t="s">
        <v>97</v>
      </c>
      <c r="K411" s="5">
        <f>223 / 86400</f>
        <v>2.5810185185185185E-3</v>
      </c>
      <c r="L411" s="5">
        <f>240 / 86400</f>
        <v>2.7777777777777779E-3</v>
      </c>
    </row>
    <row r="412" spans="1:12" x14ac:dyDescent="0.25">
      <c r="A412" s="3">
        <v>45708.659409722226</v>
      </c>
      <c r="B412" t="s">
        <v>338</v>
      </c>
      <c r="C412" s="3">
        <v>45708.659641203703</v>
      </c>
      <c r="D412" t="s">
        <v>338</v>
      </c>
      <c r="E412" s="4">
        <v>1.8461083173751832E-3</v>
      </c>
      <c r="F412" s="4">
        <v>349394.41220835992</v>
      </c>
      <c r="G412" s="4">
        <v>349394.41405446822</v>
      </c>
      <c r="H412" s="5">
        <f t="shared" si="5"/>
        <v>0</v>
      </c>
      <c r="I412" t="s">
        <v>145</v>
      </c>
      <c r="J412" t="s">
        <v>22</v>
      </c>
      <c r="K412" s="5">
        <f>20 / 86400</f>
        <v>2.3148148148148149E-4</v>
      </c>
      <c r="L412" s="5">
        <f>60 / 86400</f>
        <v>6.9444444444444447E-4</v>
      </c>
    </row>
    <row r="413" spans="1:12" x14ac:dyDescent="0.25">
      <c r="A413" s="3">
        <v>45708.66033564815</v>
      </c>
      <c r="B413" t="s">
        <v>339</v>
      </c>
      <c r="C413" s="3">
        <v>45708.661840277782</v>
      </c>
      <c r="D413" t="s">
        <v>248</v>
      </c>
      <c r="E413" s="4">
        <v>0.23377977442741393</v>
      </c>
      <c r="F413" s="4">
        <v>349394.42286363611</v>
      </c>
      <c r="G413" s="4">
        <v>349394.65664341056</v>
      </c>
      <c r="H413" s="5">
        <f t="shared" si="5"/>
        <v>0</v>
      </c>
      <c r="I413" t="s">
        <v>86</v>
      </c>
      <c r="J413" t="s">
        <v>32</v>
      </c>
      <c r="K413" s="5">
        <f>130 / 86400</f>
        <v>1.5046296296296296E-3</v>
      </c>
      <c r="L413" s="5">
        <f>20 / 86400</f>
        <v>2.3148148148148149E-4</v>
      </c>
    </row>
    <row r="414" spans="1:12" x14ac:dyDescent="0.25">
      <c r="A414" s="3">
        <v>45708.66207175926</v>
      </c>
      <c r="B414" t="s">
        <v>248</v>
      </c>
      <c r="C414" s="3">
        <v>45708.662303240737</v>
      </c>
      <c r="D414" t="s">
        <v>248</v>
      </c>
      <c r="E414" s="4">
        <v>5.7595920562744142E-4</v>
      </c>
      <c r="F414" s="4">
        <v>349394.66051180864</v>
      </c>
      <c r="G414" s="4">
        <v>349394.66108776786</v>
      </c>
      <c r="H414" s="5">
        <f t="shared" ref="H414:H477" si="6">0 / 86400</f>
        <v>0</v>
      </c>
      <c r="I414" t="s">
        <v>136</v>
      </c>
      <c r="J414" t="s">
        <v>22</v>
      </c>
      <c r="K414" s="5">
        <f>20 / 86400</f>
        <v>2.3148148148148149E-4</v>
      </c>
      <c r="L414" s="5">
        <f>2 / 86400</f>
        <v>2.3148148148148147E-5</v>
      </c>
    </row>
    <row r="415" spans="1:12" x14ac:dyDescent="0.25">
      <c r="A415" s="3">
        <v>45708.662326388891</v>
      </c>
      <c r="B415" t="s">
        <v>248</v>
      </c>
      <c r="C415" s="3">
        <v>45708.662557870368</v>
      </c>
      <c r="D415" t="s">
        <v>248</v>
      </c>
      <c r="E415" s="4">
        <v>3.3826786279678345E-3</v>
      </c>
      <c r="F415" s="4">
        <v>349394.66252310557</v>
      </c>
      <c r="G415" s="4">
        <v>349394.66590578418</v>
      </c>
      <c r="H415" s="5">
        <f t="shared" si="6"/>
        <v>0</v>
      </c>
      <c r="I415" t="s">
        <v>55</v>
      </c>
      <c r="J415" t="s">
        <v>145</v>
      </c>
      <c r="K415" s="5">
        <f>20 / 86400</f>
        <v>2.3148148148148149E-4</v>
      </c>
      <c r="L415" s="5">
        <f>20 / 86400</f>
        <v>2.3148148148148149E-4</v>
      </c>
    </row>
    <row r="416" spans="1:12" x14ac:dyDescent="0.25">
      <c r="A416" s="3">
        <v>45708.662789351853</v>
      </c>
      <c r="B416" t="s">
        <v>248</v>
      </c>
      <c r="C416" s="3">
        <v>45708.666574074072</v>
      </c>
      <c r="D416" t="s">
        <v>340</v>
      </c>
      <c r="E416" s="4">
        <v>0.94022001123428345</v>
      </c>
      <c r="F416" s="4">
        <v>349394.70122298633</v>
      </c>
      <c r="G416" s="4">
        <v>349395.64144299756</v>
      </c>
      <c r="H416" s="5">
        <f t="shared" si="6"/>
        <v>0</v>
      </c>
      <c r="I416" t="s">
        <v>38</v>
      </c>
      <c r="J416" t="s">
        <v>97</v>
      </c>
      <c r="K416" s="5">
        <f>327 / 86400</f>
        <v>3.7847222222222223E-3</v>
      </c>
      <c r="L416" s="5">
        <f>20 / 86400</f>
        <v>2.3148148148148149E-4</v>
      </c>
    </row>
    <row r="417" spans="1:12" x14ac:dyDescent="0.25">
      <c r="A417" s="3">
        <v>45708.666805555556</v>
      </c>
      <c r="B417" t="s">
        <v>340</v>
      </c>
      <c r="C417" s="3">
        <v>45708.667847222227</v>
      </c>
      <c r="D417" t="s">
        <v>341</v>
      </c>
      <c r="E417" s="4">
        <v>0.42995936560630799</v>
      </c>
      <c r="F417" s="4">
        <v>349395.68392183387</v>
      </c>
      <c r="G417" s="4">
        <v>349396.1138811995</v>
      </c>
      <c r="H417" s="5">
        <f t="shared" si="6"/>
        <v>0</v>
      </c>
      <c r="I417" t="s">
        <v>139</v>
      </c>
      <c r="J417" t="s">
        <v>20</v>
      </c>
      <c r="K417" s="5">
        <f>90 / 86400</f>
        <v>1.0416666666666667E-3</v>
      </c>
      <c r="L417" s="5">
        <f>73 / 86400</f>
        <v>8.4490740740740739E-4</v>
      </c>
    </row>
    <row r="418" spans="1:12" x14ac:dyDescent="0.25">
      <c r="A418" s="3">
        <v>45708.668692129635</v>
      </c>
      <c r="B418" t="s">
        <v>341</v>
      </c>
      <c r="C418" s="3">
        <v>45708.670300925922</v>
      </c>
      <c r="D418" t="s">
        <v>252</v>
      </c>
      <c r="E418" s="4">
        <v>1.187892758667469</v>
      </c>
      <c r="F418" s="4">
        <v>349396.14443757187</v>
      </c>
      <c r="G418" s="4">
        <v>349397.33233033057</v>
      </c>
      <c r="H418" s="5">
        <f t="shared" si="6"/>
        <v>0</v>
      </c>
      <c r="I418" t="s">
        <v>40</v>
      </c>
      <c r="J418" t="s">
        <v>134</v>
      </c>
      <c r="K418" s="5">
        <f>139 / 86400</f>
        <v>1.6087962962962963E-3</v>
      </c>
      <c r="L418" s="5">
        <f>26 / 86400</f>
        <v>3.0092592592592595E-4</v>
      </c>
    </row>
    <row r="419" spans="1:12" x14ac:dyDescent="0.25">
      <c r="A419" s="3">
        <v>45708.670601851853</v>
      </c>
      <c r="B419" t="s">
        <v>252</v>
      </c>
      <c r="C419" s="3">
        <v>45708.671712962961</v>
      </c>
      <c r="D419" t="s">
        <v>70</v>
      </c>
      <c r="E419" s="4">
        <v>0.8243438985943794</v>
      </c>
      <c r="F419" s="4">
        <v>349397.34480046708</v>
      </c>
      <c r="G419" s="4">
        <v>349398.16914436565</v>
      </c>
      <c r="H419" s="5">
        <f t="shared" si="6"/>
        <v>0</v>
      </c>
      <c r="I419" t="s">
        <v>207</v>
      </c>
      <c r="J419" t="s">
        <v>134</v>
      </c>
      <c r="K419" s="5">
        <f>96 / 86400</f>
        <v>1.1111111111111111E-3</v>
      </c>
      <c r="L419" s="5">
        <f>39 / 86400</f>
        <v>4.5138888888888887E-4</v>
      </c>
    </row>
    <row r="420" spans="1:12" x14ac:dyDescent="0.25">
      <c r="A420" s="3">
        <v>45708.672164351854</v>
      </c>
      <c r="B420" t="s">
        <v>342</v>
      </c>
      <c r="C420" s="3">
        <v>45708.675636574073</v>
      </c>
      <c r="D420" t="s">
        <v>343</v>
      </c>
      <c r="E420" s="4">
        <v>1.7126513730287551</v>
      </c>
      <c r="F420" s="4">
        <v>349398.18120664021</v>
      </c>
      <c r="G420" s="4">
        <v>349399.89385801321</v>
      </c>
      <c r="H420" s="5">
        <f t="shared" si="6"/>
        <v>0</v>
      </c>
      <c r="I420" t="s">
        <v>140</v>
      </c>
      <c r="J420" t="s">
        <v>38</v>
      </c>
      <c r="K420" s="5">
        <f>300 / 86400</f>
        <v>3.472222222222222E-3</v>
      </c>
      <c r="L420" s="5">
        <f>20 / 86400</f>
        <v>2.3148148148148149E-4</v>
      </c>
    </row>
    <row r="421" spans="1:12" x14ac:dyDescent="0.25">
      <c r="A421" s="3">
        <v>45708.67586805555</v>
      </c>
      <c r="B421" t="s">
        <v>343</v>
      </c>
      <c r="C421" s="3">
        <v>45708.676099537042</v>
      </c>
      <c r="D421" t="s">
        <v>343</v>
      </c>
      <c r="E421" s="4">
        <v>2.818640649318695E-3</v>
      </c>
      <c r="F421" s="4">
        <v>349399.90717049479</v>
      </c>
      <c r="G421" s="4">
        <v>349399.90998913546</v>
      </c>
      <c r="H421" s="5">
        <f t="shared" si="6"/>
        <v>0</v>
      </c>
      <c r="I421" t="s">
        <v>136</v>
      </c>
      <c r="J421" t="s">
        <v>145</v>
      </c>
      <c r="K421" s="5">
        <f>20 / 86400</f>
        <v>2.3148148148148149E-4</v>
      </c>
      <c r="L421" s="5">
        <f>18 / 86400</f>
        <v>2.0833333333333335E-4</v>
      </c>
    </row>
    <row r="422" spans="1:12" x14ac:dyDescent="0.25">
      <c r="A422" s="3">
        <v>45708.676307870366</v>
      </c>
      <c r="B422" t="s">
        <v>343</v>
      </c>
      <c r="C422" s="3">
        <v>45708.676770833335</v>
      </c>
      <c r="D422" t="s">
        <v>343</v>
      </c>
      <c r="E422" s="4">
        <v>2.6930601835250853E-2</v>
      </c>
      <c r="F422" s="4">
        <v>349399.92133222468</v>
      </c>
      <c r="G422" s="4">
        <v>349399.94826282648</v>
      </c>
      <c r="H422" s="5">
        <f t="shared" si="6"/>
        <v>0</v>
      </c>
      <c r="I422" t="s">
        <v>55</v>
      </c>
      <c r="J422" t="s">
        <v>136</v>
      </c>
      <c r="K422" s="5">
        <f>40 / 86400</f>
        <v>4.6296296296296298E-4</v>
      </c>
      <c r="L422" s="5">
        <f>20 / 86400</f>
        <v>2.3148148148148149E-4</v>
      </c>
    </row>
    <row r="423" spans="1:12" x14ac:dyDescent="0.25">
      <c r="A423" s="3">
        <v>45708.677002314813</v>
      </c>
      <c r="B423" t="s">
        <v>343</v>
      </c>
      <c r="C423" s="3">
        <v>45708.677233796298</v>
      </c>
      <c r="D423" t="s">
        <v>343</v>
      </c>
      <c r="E423" s="4">
        <v>5.6261674165725712E-3</v>
      </c>
      <c r="F423" s="4">
        <v>349399.9583236344</v>
      </c>
      <c r="G423" s="4">
        <v>349399.96394980181</v>
      </c>
      <c r="H423" s="5">
        <f t="shared" si="6"/>
        <v>0</v>
      </c>
      <c r="I423" t="s">
        <v>145</v>
      </c>
      <c r="J423" t="s">
        <v>145</v>
      </c>
      <c r="K423" s="5">
        <f>20 / 86400</f>
        <v>2.3148148148148149E-4</v>
      </c>
      <c r="L423" s="5">
        <f>40 / 86400</f>
        <v>4.6296296296296298E-4</v>
      </c>
    </row>
    <row r="424" spans="1:12" x14ac:dyDescent="0.25">
      <c r="A424" s="3">
        <v>45708.67769675926</v>
      </c>
      <c r="B424" t="s">
        <v>343</v>
      </c>
      <c r="C424" s="3">
        <v>45708.677928240737</v>
      </c>
      <c r="D424" t="s">
        <v>343</v>
      </c>
      <c r="E424" s="4">
        <v>1.2941687762737275E-2</v>
      </c>
      <c r="F424" s="4">
        <v>349399.98206427414</v>
      </c>
      <c r="G424" s="4">
        <v>349399.99500596192</v>
      </c>
      <c r="H424" s="5">
        <f t="shared" si="6"/>
        <v>0</v>
      </c>
      <c r="I424" t="s">
        <v>55</v>
      </c>
      <c r="J424" t="s">
        <v>136</v>
      </c>
      <c r="K424" s="5">
        <f>20 / 86400</f>
        <v>2.3148148148148149E-4</v>
      </c>
      <c r="L424" s="5">
        <f>127 / 86400</f>
        <v>1.4699074074074074E-3</v>
      </c>
    </row>
    <row r="425" spans="1:12" x14ac:dyDescent="0.25">
      <c r="A425" s="3">
        <v>45708.679398148146</v>
      </c>
      <c r="B425" t="s">
        <v>36</v>
      </c>
      <c r="C425" s="3">
        <v>45708.679629629631</v>
      </c>
      <c r="D425" t="s">
        <v>36</v>
      </c>
      <c r="E425" s="4">
        <v>1.4241647005081176E-2</v>
      </c>
      <c r="F425" s="4">
        <v>349400.0673097744</v>
      </c>
      <c r="G425" s="4">
        <v>349400.08155142138</v>
      </c>
      <c r="H425" s="5">
        <f t="shared" si="6"/>
        <v>0</v>
      </c>
      <c r="I425" t="s">
        <v>55</v>
      </c>
      <c r="J425" t="s">
        <v>135</v>
      </c>
      <c r="K425" s="5">
        <f>20 / 86400</f>
        <v>2.3148148148148149E-4</v>
      </c>
      <c r="L425" s="5">
        <f>20 / 86400</f>
        <v>2.3148148148148149E-4</v>
      </c>
    </row>
    <row r="426" spans="1:12" x14ac:dyDescent="0.25">
      <c r="A426" s="3">
        <v>45708.679861111115</v>
      </c>
      <c r="B426" t="s">
        <v>36</v>
      </c>
      <c r="C426" s="3">
        <v>45708.68032407407</v>
      </c>
      <c r="D426" t="s">
        <v>36</v>
      </c>
      <c r="E426" s="4">
        <v>2.1986319959163666E-2</v>
      </c>
      <c r="F426" s="4">
        <v>349400.09907361836</v>
      </c>
      <c r="G426" s="4">
        <v>349400.12105993833</v>
      </c>
      <c r="H426" s="5">
        <f t="shared" si="6"/>
        <v>0</v>
      </c>
      <c r="I426" t="s">
        <v>26</v>
      </c>
      <c r="J426" t="s">
        <v>136</v>
      </c>
      <c r="K426" s="5">
        <f>40 / 86400</f>
        <v>4.6296296296296298E-4</v>
      </c>
      <c r="L426" s="5">
        <f>20 / 86400</f>
        <v>2.3148148148148149E-4</v>
      </c>
    </row>
    <row r="427" spans="1:12" x14ac:dyDescent="0.25">
      <c r="A427" s="3">
        <v>45708.680555555555</v>
      </c>
      <c r="B427" t="s">
        <v>36</v>
      </c>
      <c r="C427" s="3">
        <v>45708.680787037039</v>
      </c>
      <c r="D427" t="s">
        <v>36</v>
      </c>
      <c r="E427" s="4">
        <v>9.7198452949523919E-3</v>
      </c>
      <c r="F427" s="4">
        <v>349400.13281144813</v>
      </c>
      <c r="G427" s="4">
        <v>349400.14253129344</v>
      </c>
      <c r="H427" s="5">
        <f t="shared" si="6"/>
        <v>0</v>
      </c>
      <c r="I427" t="s">
        <v>55</v>
      </c>
      <c r="J427" t="s">
        <v>136</v>
      </c>
      <c r="K427" s="5">
        <f>20 / 86400</f>
        <v>2.3148148148148149E-4</v>
      </c>
      <c r="L427" s="5">
        <f>20 / 86400</f>
        <v>2.3148148148148149E-4</v>
      </c>
    </row>
    <row r="428" spans="1:12" x14ac:dyDescent="0.25">
      <c r="A428" s="3">
        <v>45708.681018518517</v>
      </c>
      <c r="B428" t="s">
        <v>36</v>
      </c>
      <c r="C428" s="3">
        <v>45708.68178240741</v>
      </c>
      <c r="D428" t="s">
        <v>344</v>
      </c>
      <c r="E428" s="4">
        <v>3.6398154258728027E-2</v>
      </c>
      <c r="F428" s="4">
        <v>349400.14753536496</v>
      </c>
      <c r="G428" s="4">
        <v>349400.18393351923</v>
      </c>
      <c r="H428" s="5">
        <f t="shared" si="6"/>
        <v>0</v>
      </c>
      <c r="I428" t="s">
        <v>32</v>
      </c>
      <c r="J428" t="s">
        <v>136</v>
      </c>
      <c r="K428" s="5">
        <f>66 / 86400</f>
        <v>7.6388888888888893E-4</v>
      </c>
      <c r="L428" s="5">
        <f>58 / 86400</f>
        <v>6.7129629629629625E-4</v>
      </c>
    </row>
    <row r="429" spans="1:12" x14ac:dyDescent="0.25">
      <c r="A429" s="3">
        <v>45708.682453703703</v>
      </c>
      <c r="B429" t="s">
        <v>36</v>
      </c>
      <c r="C429" s="3">
        <v>45708.685034722221</v>
      </c>
      <c r="D429" t="s">
        <v>256</v>
      </c>
      <c r="E429" s="4">
        <v>0.4719265296459198</v>
      </c>
      <c r="F429" s="4">
        <v>349400.24070341157</v>
      </c>
      <c r="G429" s="4">
        <v>349400.71262994123</v>
      </c>
      <c r="H429" s="5">
        <f t="shared" si="6"/>
        <v>0</v>
      </c>
      <c r="I429" t="s">
        <v>217</v>
      </c>
      <c r="J429" t="s">
        <v>168</v>
      </c>
      <c r="K429" s="5">
        <f>223 / 86400</f>
        <v>2.5810185185185185E-3</v>
      </c>
      <c r="L429" s="5">
        <f>41 / 86400</f>
        <v>4.7453703703703704E-4</v>
      </c>
    </row>
    <row r="430" spans="1:12" x14ac:dyDescent="0.25">
      <c r="A430" s="3">
        <v>45708.68550925926</v>
      </c>
      <c r="B430" t="s">
        <v>256</v>
      </c>
      <c r="C430" s="3">
        <v>45708.685972222222</v>
      </c>
      <c r="D430" t="s">
        <v>259</v>
      </c>
      <c r="E430" s="4">
        <v>0.18225686162710189</v>
      </c>
      <c r="F430" s="4">
        <v>349400.71262994123</v>
      </c>
      <c r="G430" s="4">
        <v>349400.89488680282</v>
      </c>
      <c r="H430" s="5">
        <f t="shared" si="6"/>
        <v>0</v>
      </c>
      <c r="I430" t="s">
        <v>20</v>
      </c>
      <c r="J430" t="s">
        <v>49</v>
      </c>
      <c r="K430" s="5">
        <f>40 / 86400</f>
        <v>4.6296296296296298E-4</v>
      </c>
      <c r="L430" s="5">
        <f>20 / 86400</f>
        <v>2.3148148148148149E-4</v>
      </c>
    </row>
    <row r="431" spans="1:12" x14ac:dyDescent="0.25">
      <c r="A431" s="3">
        <v>45708.686203703706</v>
      </c>
      <c r="B431" t="s">
        <v>259</v>
      </c>
      <c r="C431" s="3">
        <v>45708.686435185184</v>
      </c>
      <c r="D431" t="s">
        <v>345</v>
      </c>
      <c r="E431" s="4">
        <v>0.14657332134246825</v>
      </c>
      <c r="F431" s="4">
        <v>349401.07814924244</v>
      </c>
      <c r="G431" s="4">
        <v>349401.22472256381</v>
      </c>
      <c r="H431" s="5">
        <f t="shared" si="6"/>
        <v>0</v>
      </c>
      <c r="I431" t="s">
        <v>169</v>
      </c>
      <c r="J431" t="s">
        <v>189</v>
      </c>
      <c r="K431" s="5">
        <f>20 / 86400</f>
        <v>2.3148148148148149E-4</v>
      </c>
      <c r="L431" s="5">
        <f>20 / 86400</f>
        <v>2.3148148148148149E-4</v>
      </c>
    </row>
    <row r="432" spans="1:12" x14ac:dyDescent="0.25">
      <c r="A432" s="3">
        <v>45708.686666666668</v>
      </c>
      <c r="B432" t="s">
        <v>345</v>
      </c>
      <c r="C432" s="3">
        <v>45708.686956018515</v>
      </c>
      <c r="D432" t="s">
        <v>259</v>
      </c>
      <c r="E432" s="4">
        <v>5.4255485236644745E-2</v>
      </c>
      <c r="F432" s="4">
        <v>349401.22803547699</v>
      </c>
      <c r="G432" s="4">
        <v>349401.28229096223</v>
      </c>
      <c r="H432" s="5">
        <f t="shared" si="6"/>
        <v>0</v>
      </c>
      <c r="I432" t="s">
        <v>55</v>
      </c>
      <c r="J432" t="s">
        <v>168</v>
      </c>
      <c r="K432" s="5">
        <f>25 / 86400</f>
        <v>2.8935185185185184E-4</v>
      </c>
      <c r="L432" s="5">
        <f>40 / 86400</f>
        <v>4.6296296296296298E-4</v>
      </c>
    </row>
    <row r="433" spans="1:12" x14ac:dyDescent="0.25">
      <c r="A433" s="3">
        <v>45708.687418981484</v>
      </c>
      <c r="B433" t="s">
        <v>259</v>
      </c>
      <c r="C433" s="3">
        <v>45708.687650462962</v>
      </c>
      <c r="D433" t="s">
        <v>199</v>
      </c>
      <c r="E433" s="4">
        <v>1.168432593345642E-2</v>
      </c>
      <c r="F433" s="4">
        <v>349401.30223681679</v>
      </c>
      <c r="G433" s="4">
        <v>349401.31392114272</v>
      </c>
      <c r="H433" s="5">
        <f t="shared" si="6"/>
        <v>0</v>
      </c>
      <c r="I433" t="s">
        <v>136</v>
      </c>
      <c r="J433" t="s">
        <v>136</v>
      </c>
      <c r="K433" s="5">
        <f>20 / 86400</f>
        <v>2.3148148148148149E-4</v>
      </c>
      <c r="L433" s="5">
        <f>53 / 86400</f>
        <v>6.134259259259259E-4</v>
      </c>
    </row>
    <row r="434" spans="1:12" x14ac:dyDescent="0.25">
      <c r="A434" s="3">
        <v>45708.688263888893</v>
      </c>
      <c r="B434" t="s">
        <v>259</v>
      </c>
      <c r="C434" s="3">
        <v>45708.69358796296</v>
      </c>
      <c r="D434" t="s">
        <v>261</v>
      </c>
      <c r="E434" s="4">
        <v>2.3777155663967133</v>
      </c>
      <c r="F434" s="4">
        <v>349401.3399536552</v>
      </c>
      <c r="G434" s="4">
        <v>349403.71766922157</v>
      </c>
      <c r="H434" s="5">
        <f t="shared" si="6"/>
        <v>0</v>
      </c>
      <c r="I434" t="s">
        <v>250</v>
      </c>
      <c r="J434" t="s">
        <v>68</v>
      </c>
      <c r="K434" s="5">
        <f>460 / 86400</f>
        <v>5.324074074074074E-3</v>
      </c>
      <c r="L434" s="5">
        <f>11 / 86400</f>
        <v>1.273148148148148E-4</v>
      </c>
    </row>
    <row r="435" spans="1:12" x14ac:dyDescent="0.25">
      <c r="A435" s="3">
        <v>45708.693715277783</v>
      </c>
      <c r="B435" t="s">
        <v>261</v>
      </c>
      <c r="C435" s="3">
        <v>45708.69394675926</v>
      </c>
      <c r="D435" t="s">
        <v>261</v>
      </c>
      <c r="E435" s="4">
        <v>1.007240754365921E-2</v>
      </c>
      <c r="F435" s="4">
        <v>349403.72598225909</v>
      </c>
      <c r="G435" s="4">
        <v>349403.73605466663</v>
      </c>
      <c r="H435" s="5">
        <f t="shared" si="6"/>
        <v>0</v>
      </c>
      <c r="I435" t="s">
        <v>55</v>
      </c>
      <c r="J435" t="s">
        <v>136</v>
      </c>
      <c r="K435" s="5">
        <f>20 / 86400</f>
        <v>2.3148148148148149E-4</v>
      </c>
      <c r="L435" s="5">
        <f>20 / 86400</f>
        <v>2.3148148148148149E-4</v>
      </c>
    </row>
    <row r="436" spans="1:12" x14ac:dyDescent="0.25">
      <c r="A436" s="3">
        <v>45708.694178240738</v>
      </c>
      <c r="B436" t="s">
        <v>261</v>
      </c>
      <c r="C436" s="3">
        <v>45708.697789351849</v>
      </c>
      <c r="D436" t="s">
        <v>262</v>
      </c>
      <c r="E436" s="4">
        <v>1.7167444188594818</v>
      </c>
      <c r="F436" s="4">
        <v>349403.73892981454</v>
      </c>
      <c r="G436" s="4">
        <v>349405.45567423338</v>
      </c>
      <c r="H436" s="5">
        <f t="shared" si="6"/>
        <v>0</v>
      </c>
      <c r="I436" t="s">
        <v>187</v>
      </c>
      <c r="J436" t="s">
        <v>131</v>
      </c>
      <c r="K436" s="5">
        <f>312 / 86400</f>
        <v>3.6111111111111109E-3</v>
      </c>
      <c r="L436" s="5">
        <f>20 / 86400</f>
        <v>2.3148148148148149E-4</v>
      </c>
    </row>
    <row r="437" spans="1:12" x14ac:dyDescent="0.25">
      <c r="A437" s="3">
        <v>45708.698020833333</v>
      </c>
      <c r="B437" t="s">
        <v>262</v>
      </c>
      <c r="C437" s="3">
        <v>45708.698483796295</v>
      </c>
      <c r="D437" t="s">
        <v>198</v>
      </c>
      <c r="E437" s="4">
        <v>6.9600407481193546E-2</v>
      </c>
      <c r="F437" s="4">
        <v>349405.45942951221</v>
      </c>
      <c r="G437" s="4">
        <v>349405.52902991971</v>
      </c>
      <c r="H437" s="5">
        <f t="shared" si="6"/>
        <v>0</v>
      </c>
      <c r="I437" t="s">
        <v>26</v>
      </c>
      <c r="J437" t="s">
        <v>32</v>
      </c>
      <c r="K437" s="5">
        <f>40 / 86400</f>
        <v>4.6296296296296298E-4</v>
      </c>
      <c r="L437" s="5">
        <f>60 / 86400</f>
        <v>6.9444444444444447E-4</v>
      </c>
    </row>
    <row r="438" spans="1:12" x14ac:dyDescent="0.25">
      <c r="A438" s="3">
        <v>45708.699178240742</v>
      </c>
      <c r="B438" t="s">
        <v>262</v>
      </c>
      <c r="C438" s="3">
        <v>45708.700196759259</v>
      </c>
      <c r="D438" t="s">
        <v>262</v>
      </c>
      <c r="E438" s="4">
        <v>0.35368379467725752</v>
      </c>
      <c r="F438" s="4">
        <v>349405.5803292254</v>
      </c>
      <c r="G438" s="4">
        <v>349405.93401302007</v>
      </c>
      <c r="H438" s="5">
        <f t="shared" si="6"/>
        <v>0</v>
      </c>
      <c r="I438" t="s">
        <v>139</v>
      </c>
      <c r="J438" t="s">
        <v>58</v>
      </c>
      <c r="K438" s="5">
        <f>88 / 86400</f>
        <v>1.0185185185185184E-3</v>
      </c>
      <c r="L438" s="5">
        <f>5 / 86400</f>
        <v>5.7870370370370373E-5</v>
      </c>
    </row>
    <row r="439" spans="1:12" x14ac:dyDescent="0.25">
      <c r="A439" s="3">
        <v>45708.700254629628</v>
      </c>
      <c r="B439" t="s">
        <v>262</v>
      </c>
      <c r="C439" s="3">
        <v>45708.700486111113</v>
      </c>
      <c r="D439" t="s">
        <v>262</v>
      </c>
      <c r="E439" s="4">
        <v>0</v>
      </c>
      <c r="F439" s="4">
        <v>349406.11573668325</v>
      </c>
      <c r="G439" s="4">
        <v>349406.11573668325</v>
      </c>
      <c r="H439" s="5">
        <f t="shared" si="6"/>
        <v>0</v>
      </c>
      <c r="I439" t="s">
        <v>55</v>
      </c>
      <c r="J439" t="s">
        <v>22</v>
      </c>
      <c r="K439" s="5">
        <f>20 / 86400</f>
        <v>2.3148148148148149E-4</v>
      </c>
      <c r="L439" s="5">
        <f>40 / 86400</f>
        <v>4.6296296296296298E-4</v>
      </c>
    </row>
    <row r="440" spans="1:12" x14ac:dyDescent="0.25">
      <c r="A440" s="3">
        <v>45708.700949074075</v>
      </c>
      <c r="B440" t="s">
        <v>346</v>
      </c>
      <c r="C440" s="3">
        <v>45708.701180555552</v>
      </c>
      <c r="D440" t="s">
        <v>262</v>
      </c>
      <c r="E440" s="4">
        <v>7.9141729116439824E-2</v>
      </c>
      <c r="F440" s="4">
        <v>349406.82402174274</v>
      </c>
      <c r="G440" s="4">
        <v>349406.9031634719</v>
      </c>
      <c r="H440" s="5">
        <f t="shared" si="6"/>
        <v>0</v>
      </c>
      <c r="I440" t="s">
        <v>34</v>
      </c>
      <c r="J440" t="s">
        <v>58</v>
      </c>
      <c r="K440" s="5">
        <f>20 / 86400</f>
        <v>2.3148148148148149E-4</v>
      </c>
      <c r="L440" s="5">
        <f>32 / 86400</f>
        <v>3.7037037037037035E-4</v>
      </c>
    </row>
    <row r="441" spans="1:12" x14ac:dyDescent="0.25">
      <c r="A441" s="3">
        <v>45708.701550925922</v>
      </c>
      <c r="B441" t="s">
        <v>262</v>
      </c>
      <c r="C441" s="3">
        <v>45708.702939814815</v>
      </c>
      <c r="D441" t="s">
        <v>195</v>
      </c>
      <c r="E441" s="4">
        <v>0.36886425185203553</v>
      </c>
      <c r="F441" s="4">
        <v>349406.92913416098</v>
      </c>
      <c r="G441" s="4">
        <v>349407.29799841286</v>
      </c>
      <c r="H441" s="5">
        <f t="shared" si="6"/>
        <v>0</v>
      </c>
      <c r="I441" t="s">
        <v>38</v>
      </c>
      <c r="J441" t="s">
        <v>86</v>
      </c>
      <c r="K441" s="5">
        <f>120 / 86400</f>
        <v>1.3888888888888889E-3</v>
      </c>
      <c r="L441" s="5">
        <f>20 / 86400</f>
        <v>2.3148148148148149E-4</v>
      </c>
    </row>
    <row r="442" spans="1:12" x14ac:dyDescent="0.25">
      <c r="A442" s="3">
        <v>45708.703171296293</v>
      </c>
      <c r="B442" t="s">
        <v>165</v>
      </c>
      <c r="C442" s="3">
        <v>45708.703634259262</v>
      </c>
      <c r="D442" t="s">
        <v>347</v>
      </c>
      <c r="E442" s="4">
        <v>7.7764990389347075E-2</v>
      </c>
      <c r="F442" s="4">
        <v>349407.32450578071</v>
      </c>
      <c r="G442" s="4">
        <v>349407.4022707711</v>
      </c>
      <c r="H442" s="5">
        <f t="shared" si="6"/>
        <v>0</v>
      </c>
      <c r="I442" t="s">
        <v>29</v>
      </c>
      <c r="J442" t="s">
        <v>26</v>
      </c>
      <c r="K442" s="5">
        <f>40 / 86400</f>
        <v>4.6296296296296298E-4</v>
      </c>
      <c r="L442" s="5">
        <f>18 / 86400</f>
        <v>2.0833333333333335E-4</v>
      </c>
    </row>
    <row r="443" spans="1:12" x14ac:dyDescent="0.25">
      <c r="A443" s="3">
        <v>45708.703842592593</v>
      </c>
      <c r="B443" t="s">
        <v>347</v>
      </c>
      <c r="C443" s="3">
        <v>45708.704537037032</v>
      </c>
      <c r="D443" t="s">
        <v>265</v>
      </c>
      <c r="E443" s="4">
        <v>9.4795082151889795E-2</v>
      </c>
      <c r="F443" s="4">
        <v>349407.40584267257</v>
      </c>
      <c r="G443" s="4">
        <v>349407.50063775474</v>
      </c>
      <c r="H443" s="5">
        <f t="shared" si="6"/>
        <v>0</v>
      </c>
      <c r="I443" t="s">
        <v>26</v>
      </c>
      <c r="J443" t="s">
        <v>32</v>
      </c>
      <c r="K443" s="5">
        <f>60 / 86400</f>
        <v>6.9444444444444447E-4</v>
      </c>
      <c r="L443" s="5">
        <f>20 / 86400</f>
        <v>2.3148148148148149E-4</v>
      </c>
    </row>
    <row r="444" spans="1:12" x14ac:dyDescent="0.25">
      <c r="A444" s="3">
        <v>45708.704768518517</v>
      </c>
      <c r="B444" t="s">
        <v>265</v>
      </c>
      <c r="C444" s="3">
        <v>45708.706157407403</v>
      </c>
      <c r="D444" t="s">
        <v>348</v>
      </c>
      <c r="E444" s="4">
        <v>0.57590481752157208</v>
      </c>
      <c r="F444" s="4">
        <v>349407.50502842077</v>
      </c>
      <c r="G444" s="4">
        <v>349408.08093323826</v>
      </c>
      <c r="H444" s="5">
        <f t="shared" si="6"/>
        <v>0</v>
      </c>
      <c r="I444" t="s">
        <v>144</v>
      </c>
      <c r="J444" t="s">
        <v>20</v>
      </c>
      <c r="K444" s="5">
        <f>120 / 86400</f>
        <v>1.3888888888888889E-3</v>
      </c>
      <c r="L444" s="5">
        <f>20 / 86400</f>
        <v>2.3148148148148149E-4</v>
      </c>
    </row>
    <row r="445" spans="1:12" x14ac:dyDescent="0.25">
      <c r="A445" s="3">
        <v>45708.706388888888</v>
      </c>
      <c r="B445" t="s">
        <v>349</v>
      </c>
      <c r="C445" s="3">
        <v>45708.708240740743</v>
      </c>
      <c r="D445" t="s">
        <v>98</v>
      </c>
      <c r="E445" s="4">
        <v>0.54382377147674565</v>
      </c>
      <c r="F445" s="4">
        <v>349408.1587602424</v>
      </c>
      <c r="G445" s="4">
        <v>349408.70258401387</v>
      </c>
      <c r="H445" s="5">
        <f t="shared" si="6"/>
        <v>0</v>
      </c>
      <c r="I445" t="s">
        <v>25</v>
      </c>
      <c r="J445" t="s">
        <v>65</v>
      </c>
      <c r="K445" s="5">
        <f>160 / 86400</f>
        <v>1.8518518518518519E-3</v>
      </c>
      <c r="L445" s="5">
        <f>21 / 86400</f>
        <v>2.4305555555555555E-4</v>
      </c>
    </row>
    <row r="446" spans="1:12" x14ac:dyDescent="0.25">
      <c r="A446" s="3">
        <v>45708.708483796298</v>
      </c>
      <c r="B446" t="s">
        <v>98</v>
      </c>
      <c r="C446" s="3">
        <v>45708.70893518519</v>
      </c>
      <c r="D446" t="s">
        <v>98</v>
      </c>
      <c r="E446" s="4">
        <v>0.12864672034978866</v>
      </c>
      <c r="F446" s="4">
        <v>349408.72557025059</v>
      </c>
      <c r="G446" s="4">
        <v>349408.85421697091</v>
      </c>
      <c r="H446" s="5">
        <f t="shared" si="6"/>
        <v>0</v>
      </c>
      <c r="I446" t="s">
        <v>68</v>
      </c>
      <c r="J446" t="s">
        <v>65</v>
      </c>
      <c r="K446" s="5">
        <f>39 / 86400</f>
        <v>4.5138888888888887E-4</v>
      </c>
      <c r="L446" s="5">
        <f>20 / 86400</f>
        <v>2.3148148148148149E-4</v>
      </c>
    </row>
    <row r="447" spans="1:12" x14ac:dyDescent="0.25">
      <c r="A447" s="3">
        <v>45708.709166666667</v>
      </c>
      <c r="B447" t="s">
        <v>98</v>
      </c>
      <c r="C447" s="3">
        <v>45708.71125</v>
      </c>
      <c r="D447" t="s">
        <v>98</v>
      </c>
      <c r="E447" s="4">
        <v>0.84193261575698852</v>
      </c>
      <c r="F447" s="4">
        <v>349408.87066750025</v>
      </c>
      <c r="G447" s="4">
        <v>349409.71260011604</v>
      </c>
      <c r="H447" s="5">
        <f t="shared" si="6"/>
        <v>0</v>
      </c>
      <c r="I447" t="s">
        <v>290</v>
      </c>
      <c r="J447" t="s">
        <v>20</v>
      </c>
      <c r="K447" s="5">
        <f>180 / 86400</f>
        <v>2.0833333333333333E-3</v>
      </c>
      <c r="L447" s="5">
        <f>7 / 86400</f>
        <v>8.1018518518518516E-5</v>
      </c>
    </row>
    <row r="448" spans="1:12" x14ac:dyDescent="0.25">
      <c r="A448" s="3">
        <v>45708.711331018523</v>
      </c>
      <c r="B448" t="s">
        <v>98</v>
      </c>
      <c r="C448" s="3">
        <v>45708.712951388894</v>
      </c>
      <c r="D448" t="s">
        <v>78</v>
      </c>
      <c r="E448" s="4">
        <v>1.2070384718775748</v>
      </c>
      <c r="F448" s="4">
        <v>349409.72277976602</v>
      </c>
      <c r="G448" s="4">
        <v>349410.9298182379</v>
      </c>
      <c r="H448" s="5">
        <f t="shared" si="6"/>
        <v>0</v>
      </c>
      <c r="I448" t="s">
        <v>177</v>
      </c>
      <c r="J448" t="s">
        <v>134</v>
      </c>
      <c r="K448" s="5">
        <f>140 / 86400</f>
        <v>1.6203703703703703E-3</v>
      </c>
      <c r="L448" s="5">
        <f>20 / 86400</f>
        <v>2.3148148148148149E-4</v>
      </c>
    </row>
    <row r="449" spans="1:12" x14ac:dyDescent="0.25">
      <c r="A449" s="3">
        <v>45708.713182870371</v>
      </c>
      <c r="B449" t="s">
        <v>78</v>
      </c>
      <c r="C449" s="3">
        <v>45708.714108796295</v>
      </c>
      <c r="D449" t="s">
        <v>350</v>
      </c>
      <c r="E449" s="4">
        <v>0.29443079310655595</v>
      </c>
      <c r="F449" s="4">
        <v>349410.99115653447</v>
      </c>
      <c r="G449" s="4">
        <v>349411.28558732761</v>
      </c>
      <c r="H449" s="5">
        <f t="shared" si="6"/>
        <v>0</v>
      </c>
      <c r="I449" t="s">
        <v>144</v>
      </c>
      <c r="J449" t="s">
        <v>29</v>
      </c>
      <c r="K449" s="5">
        <f>80 / 86400</f>
        <v>9.2592592592592596E-4</v>
      </c>
      <c r="L449" s="5">
        <f>20 / 86400</f>
        <v>2.3148148148148149E-4</v>
      </c>
    </row>
    <row r="450" spans="1:12" x14ac:dyDescent="0.25">
      <c r="A450" s="3">
        <v>45708.714340277773</v>
      </c>
      <c r="B450" t="s">
        <v>78</v>
      </c>
      <c r="C450" s="3">
        <v>45708.714861111112</v>
      </c>
      <c r="D450" t="s">
        <v>78</v>
      </c>
      <c r="E450" s="4">
        <v>0.15972246336936952</v>
      </c>
      <c r="F450" s="4">
        <v>349411.29088339058</v>
      </c>
      <c r="G450" s="4">
        <v>349411.45060585398</v>
      </c>
      <c r="H450" s="5">
        <f t="shared" si="6"/>
        <v>0</v>
      </c>
      <c r="I450" t="s">
        <v>168</v>
      </c>
      <c r="J450" t="s">
        <v>29</v>
      </c>
      <c r="K450" s="5">
        <f>45 / 86400</f>
        <v>5.2083333333333333E-4</v>
      </c>
      <c r="L450" s="5">
        <f>20 / 86400</f>
        <v>2.3148148148148149E-4</v>
      </c>
    </row>
    <row r="451" spans="1:12" x14ac:dyDescent="0.25">
      <c r="A451" s="3">
        <v>45708.715092592596</v>
      </c>
      <c r="B451" t="s">
        <v>78</v>
      </c>
      <c r="C451" s="3">
        <v>45708.715324074074</v>
      </c>
      <c r="D451" t="s">
        <v>78</v>
      </c>
      <c r="E451" s="4">
        <v>5.6401143670082093E-3</v>
      </c>
      <c r="F451" s="4">
        <v>349411.4546968615</v>
      </c>
      <c r="G451" s="4">
        <v>349411.46033697587</v>
      </c>
      <c r="H451" s="5">
        <f t="shared" si="6"/>
        <v>0</v>
      </c>
      <c r="I451" t="s">
        <v>136</v>
      </c>
      <c r="J451" t="s">
        <v>145</v>
      </c>
      <c r="K451" s="5">
        <f>20 / 86400</f>
        <v>2.3148148148148149E-4</v>
      </c>
      <c r="L451" s="5">
        <f>60 / 86400</f>
        <v>6.9444444444444447E-4</v>
      </c>
    </row>
    <row r="452" spans="1:12" x14ac:dyDescent="0.25">
      <c r="A452" s="3">
        <v>45708.71601851852</v>
      </c>
      <c r="B452" t="s">
        <v>78</v>
      </c>
      <c r="C452" s="3">
        <v>45708.716481481482</v>
      </c>
      <c r="D452" t="s">
        <v>78</v>
      </c>
      <c r="E452" s="4">
        <v>1.8091526269912721E-2</v>
      </c>
      <c r="F452" s="4">
        <v>349411.48090111325</v>
      </c>
      <c r="G452" s="4">
        <v>349411.49899263954</v>
      </c>
      <c r="H452" s="5">
        <f t="shared" si="6"/>
        <v>0</v>
      </c>
      <c r="I452" t="s">
        <v>136</v>
      </c>
      <c r="J452" t="s">
        <v>136</v>
      </c>
      <c r="K452" s="5">
        <f>40 / 86400</f>
        <v>4.6296296296296298E-4</v>
      </c>
      <c r="L452" s="5">
        <f>80 / 86400</f>
        <v>9.2592592592592596E-4</v>
      </c>
    </row>
    <row r="453" spans="1:12" x14ac:dyDescent="0.25">
      <c r="A453" s="3">
        <v>45708.717407407406</v>
      </c>
      <c r="B453" t="s">
        <v>78</v>
      </c>
      <c r="C453" s="3">
        <v>45708.723194444443</v>
      </c>
      <c r="D453" t="s">
        <v>78</v>
      </c>
      <c r="E453" s="4">
        <v>3.5658530036807061</v>
      </c>
      <c r="F453" s="4">
        <v>349411.51086053706</v>
      </c>
      <c r="G453" s="4">
        <v>349415.07671354071</v>
      </c>
      <c r="H453" s="5">
        <f t="shared" si="6"/>
        <v>0</v>
      </c>
      <c r="I453" t="s">
        <v>290</v>
      </c>
      <c r="J453" t="s">
        <v>189</v>
      </c>
      <c r="K453" s="5">
        <f>500 / 86400</f>
        <v>5.7870370370370367E-3</v>
      </c>
      <c r="L453" s="5">
        <f>28 / 86400</f>
        <v>3.2407407407407406E-4</v>
      </c>
    </row>
    <row r="454" spans="1:12" x14ac:dyDescent="0.25">
      <c r="A454" s="3">
        <v>45708.72351851852</v>
      </c>
      <c r="B454" t="s">
        <v>78</v>
      </c>
      <c r="C454" s="3">
        <v>45708.725601851853</v>
      </c>
      <c r="D454" t="s">
        <v>268</v>
      </c>
      <c r="E454" s="4">
        <v>0.99480427533388138</v>
      </c>
      <c r="F454" s="4">
        <v>349415.08182471554</v>
      </c>
      <c r="G454" s="4">
        <v>349416.07662899088</v>
      </c>
      <c r="H454" s="5">
        <f t="shared" si="6"/>
        <v>0</v>
      </c>
      <c r="I454" t="s">
        <v>217</v>
      </c>
      <c r="J454" t="s">
        <v>131</v>
      </c>
      <c r="K454" s="5">
        <f>180 / 86400</f>
        <v>2.0833333333333333E-3</v>
      </c>
      <c r="L454" s="5">
        <f>20 / 86400</f>
        <v>2.3148148148148149E-4</v>
      </c>
    </row>
    <row r="455" spans="1:12" x14ac:dyDescent="0.25">
      <c r="A455" s="3">
        <v>45708.72583333333</v>
      </c>
      <c r="B455" t="s">
        <v>176</v>
      </c>
      <c r="C455" s="3">
        <v>45708.726759259254</v>
      </c>
      <c r="D455" t="s">
        <v>191</v>
      </c>
      <c r="E455" s="4">
        <v>0.73406373304128647</v>
      </c>
      <c r="F455" s="4">
        <v>349416.11997516156</v>
      </c>
      <c r="G455" s="4">
        <v>349416.85403889458</v>
      </c>
      <c r="H455" s="5">
        <f t="shared" si="6"/>
        <v>0</v>
      </c>
      <c r="I455" t="s">
        <v>207</v>
      </c>
      <c r="J455" t="s">
        <v>31</v>
      </c>
      <c r="K455" s="5">
        <f>80 / 86400</f>
        <v>9.2592592592592596E-4</v>
      </c>
      <c r="L455" s="5">
        <f>25 / 86400</f>
        <v>2.8935185185185184E-4</v>
      </c>
    </row>
    <row r="456" spans="1:12" x14ac:dyDescent="0.25">
      <c r="A456" s="3">
        <v>45708.727048611108</v>
      </c>
      <c r="B456" t="s">
        <v>84</v>
      </c>
      <c r="C456" s="3">
        <v>45708.728391203702</v>
      </c>
      <c r="D456" t="s">
        <v>191</v>
      </c>
      <c r="E456" s="4">
        <v>0.35460263109207152</v>
      </c>
      <c r="F456" s="4">
        <v>349416.86004131881</v>
      </c>
      <c r="G456" s="4">
        <v>349417.21464394993</v>
      </c>
      <c r="H456" s="5">
        <f t="shared" si="6"/>
        <v>0</v>
      </c>
      <c r="I456" t="s">
        <v>250</v>
      </c>
      <c r="J456" t="s">
        <v>86</v>
      </c>
      <c r="K456" s="5">
        <f>116 / 86400</f>
        <v>1.3425925925925925E-3</v>
      </c>
      <c r="L456" s="5">
        <f>20 / 86400</f>
        <v>2.3148148148148149E-4</v>
      </c>
    </row>
    <row r="457" spans="1:12" x14ac:dyDescent="0.25">
      <c r="A457" s="3">
        <v>45708.728622685187</v>
      </c>
      <c r="B457" t="s">
        <v>191</v>
      </c>
      <c r="C457" s="3">
        <v>45708.728854166664</v>
      </c>
      <c r="D457" t="s">
        <v>351</v>
      </c>
      <c r="E457" s="4">
        <v>8.3345915555953984E-2</v>
      </c>
      <c r="F457" s="4">
        <v>349417.3524373566</v>
      </c>
      <c r="G457" s="4">
        <v>349417.43578327214</v>
      </c>
      <c r="H457" s="5">
        <f t="shared" si="6"/>
        <v>0</v>
      </c>
      <c r="I457" t="s">
        <v>162</v>
      </c>
      <c r="J457" t="s">
        <v>44</v>
      </c>
      <c r="K457" s="5">
        <f>20 / 86400</f>
        <v>2.3148148148148149E-4</v>
      </c>
      <c r="L457" s="5">
        <f>20 / 86400</f>
        <v>2.3148148148148149E-4</v>
      </c>
    </row>
    <row r="458" spans="1:12" x14ac:dyDescent="0.25">
      <c r="A458" s="3">
        <v>45708.729085648149</v>
      </c>
      <c r="B458" t="s">
        <v>191</v>
      </c>
      <c r="C458" s="3">
        <v>45708.731863425928</v>
      </c>
      <c r="D458" t="s">
        <v>186</v>
      </c>
      <c r="E458" s="4">
        <v>1.8447924962043762</v>
      </c>
      <c r="F458" s="4">
        <v>349417.49540656374</v>
      </c>
      <c r="G458" s="4">
        <v>349419.34019905998</v>
      </c>
      <c r="H458" s="5">
        <f t="shared" si="6"/>
        <v>0</v>
      </c>
      <c r="I458" t="s">
        <v>290</v>
      </c>
      <c r="J458" t="s">
        <v>162</v>
      </c>
      <c r="K458" s="5">
        <f>240 / 86400</f>
        <v>2.7777777777777779E-3</v>
      </c>
      <c r="L458" s="5">
        <f>20 / 86400</f>
        <v>2.3148148148148149E-4</v>
      </c>
    </row>
    <row r="459" spans="1:12" x14ac:dyDescent="0.25">
      <c r="A459" s="3">
        <v>45708.732094907406</v>
      </c>
      <c r="B459" t="s">
        <v>186</v>
      </c>
      <c r="C459" s="3">
        <v>45708.732557870375</v>
      </c>
      <c r="D459" t="s">
        <v>186</v>
      </c>
      <c r="E459" s="4">
        <v>1.1568065404891968E-2</v>
      </c>
      <c r="F459" s="4">
        <v>349419.36805966042</v>
      </c>
      <c r="G459" s="4">
        <v>349419.37962772587</v>
      </c>
      <c r="H459" s="5">
        <f t="shared" si="6"/>
        <v>0</v>
      </c>
      <c r="I459" t="s">
        <v>145</v>
      </c>
      <c r="J459" t="s">
        <v>145</v>
      </c>
      <c r="K459" s="5">
        <f>40 / 86400</f>
        <v>4.6296296296296298E-4</v>
      </c>
      <c r="L459" s="5">
        <f>3 / 86400</f>
        <v>3.4722222222222222E-5</v>
      </c>
    </row>
    <row r="460" spans="1:12" x14ac:dyDescent="0.25">
      <c r="A460" s="3">
        <v>45708.732592592598</v>
      </c>
      <c r="B460" t="s">
        <v>188</v>
      </c>
      <c r="C460" s="3">
        <v>45708.732824074075</v>
      </c>
      <c r="D460" t="s">
        <v>188</v>
      </c>
      <c r="E460" s="4">
        <v>3.1903856217861175E-2</v>
      </c>
      <c r="F460" s="4">
        <v>349419.3842893251</v>
      </c>
      <c r="G460" s="4">
        <v>349419.41619318136</v>
      </c>
      <c r="H460" s="5">
        <f t="shared" si="6"/>
        <v>0</v>
      </c>
      <c r="I460" t="s">
        <v>55</v>
      </c>
      <c r="J460" t="s">
        <v>32</v>
      </c>
      <c r="K460" s="5">
        <f>20 / 86400</f>
        <v>2.3148148148148149E-4</v>
      </c>
      <c r="L460" s="5">
        <f>23 / 86400</f>
        <v>2.6620370370370372E-4</v>
      </c>
    </row>
    <row r="461" spans="1:12" x14ac:dyDescent="0.25">
      <c r="A461" s="3">
        <v>45708.733090277776</v>
      </c>
      <c r="B461" t="s">
        <v>188</v>
      </c>
      <c r="C461" s="3">
        <v>45708.738657407404</v>
      </c>
      <c r="D461" t="s">
        <v>182</v>
      </c>
      <c r="E461" s="4">
        <v>4.6174848998188969</v>
      </c>
      <c r="F461" s="4">
        <v>349419.42661044287</v>
      </c>
      <c r="G461" s="4">
        <v>349424.04409534269</v>
      </c>
      <c r="H461" s="5">
        <f t="shared" si="6"/>
        <v>0</v>
      </c>
      <c r="I461" t="s">
        <v>287</v>
      </c>
      <c r="J461" t="s">
        <v>178</v>
      </c>
      <c r="K461" s="5">
        <f>481 / 86400</f>
        <v>5.5671296296296293E-3</v>
      </c>
      <c r="L461" s="5">
        <f>19 / 86400</f>
        <v>2.199074074074074E-4</v>
      </c>
    </row>
    <row r="462" spans="1:12" x14ac:dyDescent="0.25">
      <c r="A462" s="3">
        <v>45708.738877314812</v>
      </c>
      <c r="B462" t="s">
        <v>182</v>
      </c>
      <c r="C462" s="3">
        <v>45708.740532407406</v>
      </c>
      <c r="D462" t="s">
        <v>184</v>
      </c>
      <c r="E462" s="4">
        <v>1.1602961767315865</v>
      </c>
      <c r="F462" s="4">
        <v>349424.04552393639</v>
      </c>
      <c r="G462" s="4">
        <v>349425.20582011313</v>
      </c>
      <c r="H462" s="5">
        <f t="shared" si="6"/>
        <v>0</v>
      </c>
      <c r="I462" t="s">
        <v>185</v>
      </c>
      <c r="J462" t="s">
        <v>217</v>
      </c>
      <c r="K462" s="5">
        <f>143 / 86400</f>
        <v>1.6550925925925926E-3</v>
      </c>
      <c r="L462" s="5">
        <f>20 / 86400</f>
        <v>2.3148148148148149E-4</v>
      </c>
    </row>
    <row r="463" spans="1:12" x14ac:dyDescent="0.25">
      <c r="A463" s="3">
        <v>45708.740763888884</v>
      </c>
      <c r="B463" t="s">
        <v>184</v>
      </c>
      <c r="C463" s="3">
        <v>45708.742847222224</v>
      </c>
      <c r="D463" t="s">
        <v>39</v>
      </c>
      <c r="E463" s="4">
        <v>2.5678870750665665</v>
      </c>
      <c r="F463" s="4">
        <v>349425.26596314728</v>
      </c>
      <c r="G463" s="4">
        <v>349427.83385022235</v>
      </c>
      <c r="H463" s="5">
        <f t="shared" si="6"/>
        <v>0</v>
      </c>
      <c r="I463" t="s">
        <v>120</v>
      </c>
      <c r="J463" t="s">
        <v>169</v>
      </c>
      <c r="K463" s="5">
        <f>180 / 86400</f>
        <v>2.0833333333333333E-3</v>
      </c>
      <c r="L463" s="5">
        <f>20 / 86400</f>
        <v>2.3148148148148149E-4</v>
      </c>
    </row>
    <row r="464" spans="1:12" x14ac:dyDescent="0.25">
      <c r="A464" s="3">
        <v>45708.743078703701</v>
      </c>
      <c r="B464" t="s">
        <v>39</v>
      </c>
      <c r="C464" s="3">
        <v>45708.745659722219</v>
      </c>
      <c r="D464" t="s">
        <v>352</v>
      </c>
      <c r="E464" s="4">
        <v>1.2359912955164909</v>
      </c>
      <c r="F464" s="4">
        <v>349427.92442157248</v>
      </c>
      <c r="G464" s="4">
        <v>349429.16041286796</v>
      </c>
      <c r="H464" s="5">
        <f t="shared" si="6"/>
        <v>0</v>
      </c>
      <c r="I464" t="s">
        <v>171</v>
      </c>
      <c r="J464" t="s">
        <v>131</v>
      </c>
      <c r="K464" s="5">
        <f>223 / 86400</f>
        <v>2.5810185185185185E-3</v>
      </c>
      <c r="L464" s="5">
        <f>3 / 86400</f>
        <v>3.4722222222222222E-5</v>
      </c>
    </row>
    <row r="465" spans="1:12" x14ac:dyDescent="0.25">
      <c r="A465" s="3">
        <v>45708.745694444442</v>
      </c>
      <c r="B465" t="s">
        <v>352</v>
      </c>
      <c r="C465" s="3">
        <v>45708.749328703707</v>
      </c>
      <c r="D465" t="s">
        <v>191</v>
      </c>
      <c r="E465" s="4">
        <v>3.2433964433073998</v>
      </c>
      <c r="F465" s="4">
        <v>349429.16188696085</v>
      </c>
      <c r="G465" s="4">
        <v>349432.40528340416</v>
      </c>
      <c r="H465" s="5">
        <f t="shared" si="6"/>
        <v>0</v>
      </c>
      <c r="I465" t="s">
        <v>187</v>
      </c>
      <c r="J465" t="s">
        <v>192</v>
      </c>
      <c r="K465" s="5">
        <f>314 / 86400</f>
        <v>3.6342592592592594E-3</v>
      </c>
      <c r="L465" s="5">
        <f>20 / 86400</f>
        <v>2.3148148148148149E-4</v>
      </c>
    </row>
    <row r="466" spans="1:12" x14ac:dyDescent="0.25">
      <c r="A466" s="3">
        <v>45708.749560185184</v>
      </c>
      <c r="B466" t="s">
        <v>191</v>
      </c>
      <c r="C466" s="3">
        <v>45708.750023148154</v>
      </c>
      <c r="D466" t="s">
        <v>191</v>
      </c>
      <c r="E466" s="4">
        <v>4.9883993208408355E-2</v>
      </c>
      <c r="F466" s="4">
        <v>349432.40701958589</v>
      </c>
      <c r="G466" s="4">
        <v>349432.45690357912</v>
      </c>
      <c r="H466" s="5">
        <f t="shared" si="6"/>
        <v>0</v>
      </c>
      <c r="I466" t="s">
        <v>135</v>
      </c>
      <c r="J466" t="s">
        <v>143</v>
      </c>
      <c r="K466" s="5">
        <f>40 / 86400</f>
        <v>4.6296296296296298E-4</v>
      </c>
      <c r="L466" s="5">
        <f>60 / 86400</f>
        <v>6.9444444444444447E-4</v>
      </c>
    </row>
    <row r="467" spans="1:12" x14ac:dyDescent="0.25">
      <c r="A467" s="3">
        <v>45708.750717592593</v>
      </c>
      <c r="B467" t="s">
        <v>191</v>
      </c>
      <c r="C467" s="3">
        <v>45708.751412037032</v>
      </c>
      <c r="D467" t="s">
        <v>191</v>
      </c>
      <c r="E467" s="4">
        <v>6.1094929337501526E-2</v>
      </c>
      <c r="F467" s="4">
        <v>349432.46901162283</v>
      </c>
      <c r="G467" s="4">
        <v>349432.53010655218</v>
      </c>
      <c r="H467" s="5">
        <f t="shared" si="6"/>
        <v>0</v>
      </c>
      <c r="I467" t="s">
        <v>145</v>
      </c>
      <c r="J467" t="s">
        <v>143</v>
      </c>
      <c r="K467" s="5">
        <f>60 / 86400</f>
        <v>6.9444444444444447E-4</v>
      </c>
      <c r="L467" s="5">
        <f>27 / 86400</f>
        <v>3.1250000000000001E-4</v>
      </c>
    </row>
    <row r="468" spans="1:12" x14ac:dyDescent="0.25">
      <c r="A468" s="3">
        <v>45708.75172453704</v>
      </c>
      <c r="B468" t="s">
        <v>191</v>
      </c>
      <c r="C468" s="3">
        <v>45708.752129629633</v>
      </c>
      <c r="D468" t="s">
        <v>191</v>
      </c>
      <c r="E468" s="4">
        <v>0.2898809948563576</v>
      </c>
      <c r="F468" s="4">
        <v>349432.53376280982</v>
      </c>
      <c r="G468" s="4">
        <v>349432.82364380464</v>
      </c>
      <c r="H468" s="5">
        <f t="shared" si="6"/>
        <v>0</v>
      </c>
      <c r="I468" t="s">
        <v>161</v>
      </c>
      <c r="J468" t="s">
        <v>54</v>
      </c>
      <c r="K468" s="5">
        <f>35 / 86400</f>
        <v>4.0509259259259258E-4</v>
      </c>
      <c r="L468" s="5">
        <f>50 / 86400</f>
        <v>5.7870370370370367E-4</v>
      </c>
    </row>
    <row r="469" spans="1:12" x14ac:dyDescent="0.25">
      <c r="A469" s="3">
        <v>45708.752708333333</v>
      </c>
      <c r="B469" t="s">
        <v>191</v>
      </c>
      <c r="C469" s="3">
        <v>45708.75403935185</v>
      </c>
      <c r="D469" t="s">
        <v>175</v>
      </c>
      <c r="E469" s="4">
        <v>0.68914344668388372</v>
      </c>
      <c r="F469" s="4">
        <v>349432.87219815626</v>
      </c>
      <c r="G469" s="4">
        <v>349433.56134160294</v>
      </c>
      <c r="H469" s="5">
        <f t="shared" si="6"/>
        <v>0</v>
      </c>
      <c r="I469" t="s">
        <v>96</v>
      </c>
      <c r="J469" t="s">
        <v>148</v>
      </c>
      <c r="K469" s="5">
        <f>115 / 86400</f>
        <v>1.3310185185185185E-3</v>
      </c>
      <c r="L469" s="5">
        <f>814 / 86400</f>
        <v>9.4212962962962957E-3</v>
      </c>
    </row>
    <row r="470" spans="1:12" x14ac:dyDescent="0.25">
      <c r="A470" s="3">
        <v>45708.763460648144</v>
      </c>
      <c r="B470" t="s">
        <v>175</v>
      </c>
      <c r="C470" s="3">
        <v>45708.765034722222</v>
      </c>
      <c r="D470" t="s">
        <v>353</v>
      </c>
      <c r="E470" s="4">
        <v>0.76150675940513612</v>
      </c>
      <c r="F470" s="4">
        <v>349433.58228689304</v>
      </c>
      <c r="G470" s="4">
        <v>349434.34379365249</v>
      </c>
      <c r="H470" s="5">
        <f t="shared" si="6"/>
        <v>0</v>
      </c>
      <c r="I470" t="s">
        <v>104</v>
      </c>
      <c r="J470" t="s">
        <v>131</v>
      </c>
      <c r="K470" s="5">
        <f>136 / 86400</f>
        <v>1.5740740740740741E-3</v>
      </c>
      <c r="L470" s="5">
        <f>20 / 86400</f>
        <v>2.3148148148148149E-4</v>
      </c>
    </row>
    <row r="471" spans="1:12" x14ac:dyDescent="0.25">
      <c r="A471" s="3">
        <v>45708.7652662037</v>
      </c>
      <c r="B471" t="s">
        <v>353</v>
      </c>
      <c r="C471" s="3">
        <v>45708.765960648147</v>
      </c>
      <c r="D471" t="s">
        <v>354</v>
      </c>
      <c r="E471" s="4">
        <v>8.6751955687999732E-2</v>
      </c>
      <c r="F471" s="4">
        <v>349434.34494221443</v>
      </c>
      <c r="G471" s="4">
        <v>349434.43169417011</v>
      </c>
      <c r="H471" s="5">
        <f t="shared" si="6"/>
        <v>0</v>
      </c>
      <c r="I471" t="s">
        <v>137</v>
      </c>
      <c r="J471" t="s">
        <v>55</v>
      </c>
      <c r="K471" s="5">
        <f>60 / 86400</f>
        <v>6.9444444444444447E-4</v>
      </c>
      <c r="L471" s="5">
        <f>40 / 86400</f>
        <v>4.6296296296296298E-4</v>
      </c>
    </row>
    <row r="472" spans="1:12" x14ac:dyDescent="0.25">
      <c r="A472" s="3">
        <v>45708.766423611116</v>
      </c>
      <c r="B472" t="s">
        <v>268</v>
      </c>
      <c r="C472" s="3">
        <v>45708.771423611106</v>
      </c>
      <c r="D472" t="s">
        <v>24</v>
      </c>
      <c r="E472" s="4">
        <v>2.432247659265995</v>
      </c>
      <c r="F472" s="4">
        <v>349434.47973837872</v>
      </c>
      <c r="G472" s="4">
        <v>349436.91198603797</v>
      </c>
      <c r="H472" s="5">
        <f t="shared" si="6"/>
        <v>0</v>
      </c>
      <c r="I472" t="s">
        <v>300</v>
      </c>
      <c r="J472" t="s">
        <v>131</v>
      </c>
      <c r="K472" s="5">
        <f>432 / 86400</f>
        <v>5.0000000000000001E-3</v>
      </c>
      <c r="L472" s="5">
        <f>20 / 86400</f>
        <v>2.3148148148148149E-4</v>
      </c>
    </row>
    <row r="473" spans="1:12" x14ac:dyDescent="0.25">
      <c r="A473" s="3">
        <v>45708.771655092598</v>
      </c>
      <c r="B473" t="s">
        <v>24</v>
      </c>
      <c r="C473" s="3">
        <v>45708.773599537039</v>
      </c>
      <c r="D473" t="s">
        <v>141</v>
      </c>
      <c r="E473" s="4">
        <v>0.91776669162511826</v>
      </c>
      <c r="F473" s="4">
        <v>349436.93002611847</v>
      </c>
      <c r="G473" s="4">
        <v>349437.84779281006</v>
      </c>
      <c r="H473" s="5">
        <f t="shared" si="6"/>
        <v>0</v>
      </c>
      <c r="I473" t="s">
        <v>140</v>
      </c>
      <c r="J473" t="s">
        <v>131</v>
      </c>
      <c r="K473" s="5">
        <f>168 / 86400</f>
        <v>1.9444444444444444E-3</v>
      </c>
      <c r="L473" s="5">
        <f>40 / 86400</f>
        <v>4.6296296296296298E-4</v>
      </c>
    </row>
    <row r="474" spans="1:12" x14ac:dyDescent="0.25">
      <c r="A474" s="3">
        <v>45708.774062500001</v>
      </c>
      <c r="B474" t="s">
        <v>355</v>
      </c>
      <c r="C474" s="3">
        <v>45708.775914351849</v>
      </c>
      <c r="D474" t="s">
        <v>141</v>
      </c>
      <c r="E474" s="4">
        <v>0.8226509323120117</v>
      </c>
      <c r="F474" s="4">
        <v>349437.86396408977</v>
      </c>
      <c r="G474" s="4">
        <v>349438.68661502207</v>
      </c>
      <c r="H474" s="5">
        <f t="shared" si="6"/>
        <v>0</v>
      </c>
      <c r="I474" t="s">
        <v>164</v>
      </c>
      <c r="J474" t="s">
        <v>68</v>
      </c>
      <c r="K474" s="5">
        <f>160 / 86400</f>
        <v>1.8518518518518519E-3</v>
      </c>
      <c r="L474" s="5">
        <f>16 / 86400</f>
        <v>1.8518518518518518E-4</v>
      </c>
    </row>
    <row r="475" spans="1:12" x14ac:dyDescent="0.25">
      <c r="A475" s="3">
        <v>45708.776099537034</v>
      </c>
      <c r="B475" t="s">
        <v>141</v>
      </c>
      <c r="C475" s="3">
        <v>45708.777719907404</v>
      </c>
      <c r="D475" t="s">
        <v>141</v>
      </c>
      <c r="E475" s="4">
        <v>0.68448423820734028</v>
      </c>
      <c r="F475" s="4">
        <v>349438.69432235765</v>
      </c>
      <c r="G475" s="4">
        <v>349439.37880659587</v>
      </c>
      <c r="H475" s="5">
        <f t="shared" si="6"/>
        <v>0</v>
      </c>
      <c r="I475" t="s">
        <v>54</v>
      </c>
      <c r="J475" t="s">
        <v>34</v>
      </c>
      <c r="K475" s="5">
        <f>140 / 86400</f>
        <v>1.6203703703703703E-3</v>
      </c>
      <c r="L475" s="5">
        <f>80 / 86400</f>
        <v>9.2592592592592596E-4</v>
      </c>
    </row>
    <row r="476" spans="1:12" x14ac:dyDescent="0.25">
      <c r="A476" s="3">
        <v>45708.778645833328</v>
      </c>
      <c r="B476" t="s">
        <v>355</v>
      </c>
      <c r="C476" s="3">
        <v>45708.778877314813</v>
      </c>
      <c r="D476" t="s">
        <v>141</v>
      </c>
      <c r="E476" s="4">
        <v>4.2926822304725644E-2</v>
      </c>
      <c r="F476" s="4">
        <v>349439.38999664824</v>
      </c>
      <c r="G476" s="4">
        <v>349439.43292347057</v>
      </c>
      <c r="H476" s="5">
        <f t="shared" si="6"/>
        <v>0</v>
      </c>
      <c r="I476" t="s">
        <v>145</v>
      </c>
      <c r="J476" t="s">
        <v>168</v>
      </c>
      <c r="K476" s="5">
        <f>20 / 86400</f>
        <v>2.3148148148148149E-4</v>
      </c>
      <c r="L476" s="5">
        <f>20 / 86400</f>
        <v>2.3148148148148149E-4</v>
      </c>
    </row>
    <row r="477" spans="1:12" x14ac:dyDescent="0.25">
      <c r="A477" s="3">
        <v>45708.779108796298</v>
      </c>
      <c r="B477" t="s">
        <v>141</v>
      </c>
      <c r="C477" s="3">
        <v>45708.780729166669</v>
      </c>
      <c r="D477" t="s">
        <v>141</v>
      </c>
      <c r="E477" s="4">
        <v>0.85136946153640747</v>
      </c>
      <c r="F477" s="4">
        <v>349439.47180383315</v>
      </c>
      <c r="G477" s="4">
        <v>349440.32317329466</v>
      </c>
      <c r="H477" s="5">
        <f t="shared" si="6"/>
        <v>0</v>
      </c>
      <c r="I477" t="s">
        <v>300</v>
      </c>
      <c r="J477" t="s">
        <v>148</v>
      </c>
      <c r="K477" s="5">
        <f>140 / 86400</f>
        <v>1.6203703703703703E-3</v>
      </c>
      <c r="L477" s="5">
        <f>56 / 86400</f>
        <v>6.4814814814814813E-4</v>
      </c>
    </row>
    <row r="478" spans="1:12" x14ac:dyDescent="0.25">
      <c r="A478" s="3">
        <v>45708.781377314815</v>
      </c>
      <c r="B478" t="s">
        <v>141</v>
      </c>
      <c r="C478" s="3">
        <v>45708.78396990741</v>
      </c>
      <c r="D478" t="s">
        <v>138</v>
      </c>
      <c r="E478" s="4">
        <v>0.74631120628118519</v>
      </c>
      <c r="F478" s="4">
        <v>349440.37009153509</v>
      </c>
      <c r="G478" s="4">
        <v>349441.11640274135</v>
      </c>
      <c r="H478" s="5">
        <f t="shared" ref="H478:H541" si="7">0 / 86400</f>
        <v>0</v>
      </c>
      <c r="I478" t="s">
        <v>142</v>
      </c>
      <c r="J478" t="s">
        <v>65</v>
      </c>
      <c r="K478" s="5">
        <f>224 / 86400</f>
        <v>2.5925925925925925E-3</v>
      </c>
      <c r="L478" s="5">
        <f>20 / 86400</f>
        <v>2.3148148148148149E-4</v>
      </c>
    </row>
    <row r="479" spans="1:12" x14ac:dyDescent="0.25">
      <c r="A479" s="3">
        <v>45708.784201388888</v>
      </c>
      <c r="B479" t="s">
        <v>138</v>
      </c>
      <c r="C479" s="3">
        <v>45708.785277777773</v>
      </c>
      <c r="D479" t="s">
        <v>93</v>
      </c>
      <c r="E479" s="4">
        <v>0.47933950918912888</v>
      </c>
      <c r="F479" s="4">
        <v>349441.19722074975</v>
      </c>
      <c r="G479" s="4">
        <v>349441.6765602589</v>
      </c>
      <c r="H479" s="5">
        <f t="shared" si="7"/>
        <v>0</v>
      </c>
      <c r="I479" t="s">
        <v>54</v>
      </c>
      <c r="J479" t="s">
        <v>68</v>
      </c>
      <c r="K479" s="5">
        <f>93 / 86400</f>
        <v>1.0763888888888889E-3</v>
      </c>
      <c r="L479" s="5">
        <f>20 / 86400</f>
        <v>2.3148148148148149E-4</v>
      </c>
    </row>
    <row r="480" spans="1:12" x14ac:dyDescent="0.25">
      <c r="A480" s="3">
        <v>45708.785509259258</v>
      </c>
      <c r="B480" t="s">
        <v>356</v>
      </c>
      <c r="C480" s="3">
        <v>45708.78597222222</v>
      </c>
      <c r="D480" t="s">
        <v>270</v>
      </c>
      <c r="E480" s="4">
        <v>0.23598963004350662</v>
      </c>
      <c r="F480" s="4">
        <v>349441.76023090607</v>
      </c>
      <c r="G480" s="4">
        <v>349441.99622053612</v>
      </c>
      <c r="H480" s="5">
        <f t="shared" si="7"/>
        <v>0</v>
      </c>
      <c r="I480" t="s">
        <v>164</v>
      </c>
      <c r="J480" t="s">
        <v>38</v>
      </c>
      <c r="K480" s="5">
        <f>40 / 86400</f>
        <v>4.6296296296296298E-4</v>
      </c>
      <c r="L480" s="5">
        <f>80 / 86400</f>
        <v>9.2592592592592596E-4</v>
      </c>
    </row>
    <row r="481" spans="1:12" x14ac:dyDescent="0.25">
      <c r="A481" s="3">
        <v>45708.786898148144</v>
      </c>
      <c r="B481" t="s">
        <v>270</v>
      </c>
      <c r="C481" s="3">
        <v>45708.789456018523</v>
      </c>
      <c r="D481" t="s">
        <v>191</v>
      </c>
      <c r="E481" s="4">
        <v>0.80156784677505488</v>
      </c>
      <c r="F481" s="4">
        <v>349442.00986285566</v>
      </c>
      <c r="G481" s="4">
        <v>349442.81143070245</v>
      </c>
      <c r="H481" s="5">
        <f t="shared" si="7"/>
        <v>0</v>
      </c>
      <c r="I481" t="s">
        <v>104</v>
      </c>
      <c r="J481" t="s">
        <v>29</v>
      </c>
      <c r="K481" s="5">
        <f>221 / 86400</f>
        <v>2.5578703703703705E-3</v>
      </c>
      <c r="L481" s="5">
        <f>67 / 86400</f>
        <v>7.7546296296296293E-4</v>
      </c>
    </row>
    <row r="482" spans="1:12" x14ac:dyDescent="0.25">
      <c r="A482" s="3">
        <v>45708.790231481486</v>
      </c>
      <c r="B482" t="s">
        <v>191</v>
      </c>
      <c r="C482" s="3">
        <v>45708.791388888887</v>
      </c>
      <c r="D482" t="s">
        <v>191</v>
      </c>
      <c r="E482" s="4">
        <v>0.95099552851915359</v>
      </c>
      <c r="F482" s="4">
        <v>349442.82750223635</v>
      </c>
      <c r="G482" s="4">
        <v>349443.7784977649</v>
      </c>
      <c r="H482" s="5">
        <f t="shared" si="7"/>
        <v>0</v>
      </c>
      <c r="I482" t="s">
        <v>147</v>
      </c>
      <c r="J482" t="s">
        <v>160</v>
      </c>
      <c r="K482" s="5">
        <f>100 / 86400</f>
        <v>1.1574074074074073E-3</v>
      </c>
      <c r="L482" s="5">
        <f>26 / 86400</f>
        <v>3.0092592592592595E-4</v>
      </c>
    </row>
    <row r="483" spans="1:12" x14ac:dyDescent="0.25">
      <c r="A483" s="3">
        <v>45708.791689814811</v>
      </c>
      <c r="B483" t="s">
        <v>191</v>
      </c>
      <c r="C483" s="3">
        <v>45708.793773148151</v>
      </c>
      <c r="D483" t="s">
        <v>78</v>
      </c>
      <c r="E483" s="4">
        <v>1.2462364566922188</v>
      </c>
      <c r="F483" s="4">
        <v>349443.78396787442</v>
      </c>
      <c r="G483" s="4">
        <v>349445.03020433109</v>
      </c>
      <c r="H483" s="5">
        <f t="shared" si="7"/>
        <v>0</v>
      </c>
      <c r="I483" t="s">
        <v>96</v>
      </c>
      <c r="J483" t="s">
        <v>142</v>
      </c>
      <c r="K483" s="5">
        <f>180 / 86400</f>
        <v>2.0833333333333333E-3</v>
      </c>
      <c r="L483" s="5">
        <f>20 / 86400</f>
        <v>2.3148148148148149E-4</v>
      </c>
    </row>
    <row r="484" spans="1:12" x14ac:dyDescent="0.25">
      <c r="A484" s="3">
        <v>45708.794004629628</v>
      </c>
      <c r="B484" t="s">
        <v>170</v>
      </c>
      <c r="C484" s="3">
        <v>45708.796319444446</v>
      </c>
      <c r="D484" t="s">
        <v>78</v>
      </c>
      <c r="E484" s="4">
        <v>1.3782389200329781</v>
      </c>
      <c r="F484" s="4">
        <v>349445.05769850744</v>
      </c>
      <c r="G484" s="4">
        <v>349446.43593742745</v>
      </c>
      <c r="H484" s="5">
        <f t="shared" si="7"/>
        <v>0</v>
      </c>
      <c r="I484" t="s">
        <v>187</v>
      </c>
      <c r="J484" t="s">
        <v>142</v>
      </c>
      <c r="K484" s="5">
        <f>200 / 86400</f>
        <v>2.3148148148148147E-3</v>
      </c>
      <c r="L484" s="5">
        <f>40 / 86400</f>
        <v>4.6296296296296298E-4</v>
      </c>
    </row>
    <row r="485" spans="1:12" x14ac:dyDescent="0.25">
      <c r="A485" s="3">
        <v>45708.796782407408</v>
      </c>
      <c r="B485" t="s">
        <v>78</v>
      </c>
      <c r="C485" s="3">
        <v>45708.798634259263</v>
      </c>
      <c r="D485" t="s">
        <v>78</v>
      </c>
      <c r="E485" s="4">
        <v>0.99035034179687498</v>
      </c>
      <c r="F485" s="4">
        <v>349446.43876271887</v>
      </c>
      <c r="G485" s="4">
        <v>349447.42911306064</v>
      </c>
      <c r="H485" s="5">
        <f t="shared" si="7"/>
        <v>0</v>
      </c>
      <c r="I485" t="s">
        <v>190</v>
      </c>
      <c r="J485" t="s">
        <v>148</v>
      </c>
      <c r="K485" s="5">
        <f>160 / 86400</f>
        <v>1.8518518518518519E-3</v>
      </c>
      <c r="L485" s="5">
        <f>13 / 86400</f>
        <v>1.5046296296296297E-4</v>
      </c>
    </row>
    <row r="486" spans="1:12" x14ac:dyDescent="0.25">
      <c r="A486" s="3">
        <v>45708.798784722225</v>
      </c>
      <c r="B486" t="s">
        <v>78</v>
      </c>
      <c r="C486" s="3">
        <v>45708.799479166672</v>
      </c>
      <c r="D486" t="s">
        <v>78</v>
      </c>
      <c r="E486" s="4">
        <v>0.4779159002304077</v>
      </c>
      <c r="F486" s="4">
        <v>349447.43242766405</v>
      </c>
      <c r="G486" s="4">
        <v>349447.91034356429</v>
      </c>
      <c r="H486" s="5">
        <f t="shared" si="7"/>
        <v>0</v>
      </c>
      <c r="I486" t="s">
        <v>96</v>
      </c>
      <c r="J486" t="s">
        <v>217</v>
      </c>
      <c r="K486" s="5">
        <f>60 / 86400</f>
        <v>6.9444444444444447E-4</v>
      </c>
      <c r="L486" s="5">
        <f>20 / 86400</f>
        <v>2.3148148148148149E-4</v>
      </c>
    </row>
    <row r="487" spans="1:12" x14ac:dyDescent="0.25">
      <c r="A487" s="3">
        <v>45708.799710648149</v>
      </c>
      <c r="B487" t="s">
        <v>78</v>
      </c>
      <c r="C487" s="3">
        <v>45708.802488425921</v>
      </c>
      <c r="D487" t="s">
        <v>98</v>
      </c>
      <c r="E487" s="4">
        <v>2.1712774688601493</v>
      </c>
      <c r="F487" s="4">
        <v>349448.01571638649</v>
      </c>
      <c r="G487" s="4">
        <v>349450.18699385534</v>
      </c>
      <c r="H487" s="5">
        <f t="shared" si="7"/>
        <v>0</v>
      </c>
      <c r="I487" t="s">
        <v>147</v>
      </c>
      <c r="J487" t="s">
        <v>31</v>
      </c>
      <c r="K487" s="5">
        <f>240 / 86400</f>
        <v>2.7777777777777779E-3</v>
      </c>
      <c r="L487" s="5">
        <f>29 / 86400</f>
        <v>3.3564814814814812E-4</v>
      </c>
    </row>
    <row r="488" spans="1:12" x14ac:dyDescent="0.25">
      <c r="A488" s="3">
        <v>45708.802824074075</v>
      </c>
      <c r="B488" t="s">
        <v>98</v>
      </c>
      <c r="C488" s="3">
        <v>45708.803287037037</v>
      </c>
      <c r="D488" t="s">
        <v>98</v>
      </c>
      <c r="E488" s="4">
        <v>0.15919188559055328</v>
      </c>
      <c r="F488" s="4">
        <v>349450.19500063307</v>
      </c>
      <c r="G488" s="4">
        <v>349450.35419251863</v>
      </c>
      <c r="H488" s="5">
        <f t="shared" si="7"/>
        <v>0</v>
      </c>
      <c r="I488" t="s">
        <v>32</v>
      </c>
      <c r="J488" t="s">
        <v>58</v>
      </c>
      <c r="K488" s="5">
        <f>40 / 86400</f>
        <v>4.6296296296296298E-4</v>
      </c>
      <c r="L488" s="5">
        <f>7 / 86400</f>
        <v>8.1018518518518516E-5</v>
      </c>
    </row>
    <row r="489" spans="1:12" x14ac:dyDescent="0.25">
      <c r="A489" s="3">
        <v>45708.803368055553</v>
      </c>
      <c r="B489" t="s">
        <v>98</v>
      </c>
      <c r="C489" s="3">
        <v>45708.805138888885</v>
      </c>
      <c r="D489" t="s">
        <v>166</v>
      </c>
      <c r="E489" s="4">
        <v>0.91919673061370855</v>
      </c>
      <c r="F489" s="4">
        <v>349450.35794908489</v>
      </c>
      <c r="G489" s="4">
        <v>349451.27714581549</v>
      </c>
      <c r="H489" s="5">
        <f t="shared" si="7"/>
        <v>0</v>
      </c>
      <c r="I489" t="s">
        <v>250</v>
      </c>
      <c r="J489" t="s">
        <v>148</v>
      </c>
      <c r="K489" s="5">
        <f>153 / 86400</f>
        <v>1.7708333333333332E-3</v>
      </c>
      <c r="L489" s="5">
        <f>20 / 86400</f>
        <v>2.3148148148148149E-4</v>
      </c>
    </row>
    <row r="490" spans="1:12" x14ac:dyDescent="0.25">
      <c r="A490" s="3">
        <v>45708.80537037037</v>
      </c>
      <c r="B490" t="s">
        <v>166</v>
      </c>
      <c r="C490" s="3">
        <v>45708.808321759258</v>
      </c>
      <c r="D490" t="s">
        <v>167</v>
      </c>
      <c r="E490" s="4">
        <v>0.98047327983379362</v>
      </c>
      <c r="F490" s="4">
        <v>349451.28631330188</v>
      </c>
      <c r="G490" s="4">
        <v>349452.26678658172</v>
      </c>
      <c r="H490" s="5">
        <f t="shared" si="7"/>
        <v>0</v>
      </c>
      <c r="I490" t="s">
        <v>161</v>
      </c>
      <c r="J490" t="s">
        <v>58</v>
      </c>
      <c r="K490" s="5">
        <f>255 / 86400</f>
        <v>2.9513888888888888E-3</v>
      </c>
      <c r="L490" s="5">
        <f>20 / 86400</f>
        <v>2.3148148148148149E-4</v>
      </c>
    </row>
    <row r="491" spans="1:12" x14ac:dyDescent="0.25">
      <c r="A491" s="3">
        <v>45708.808553240742</v>
      </c>
      <c r="B491" t="s">
        <v>167</v>
      </c>
      <c r="C491" s="3">
        <v>45708.809710648144</v>
      </c>
      <c r="D491" t="s">
        <v>167</v>
      </c>
      <c r="E491" s="4">
        <v>0.4751391682624817</v>
      </c>
      <c r="F491" s="4">
        <v>349452.76815497119</v>
      </c>
      <c r="G491" s="4">
        <v>349453.24329413945</v>
      </c>
      <c r="H491" s="5">
        <f t="shared" si="7"/>
        <v>0</v>
      </c>
      <c r="I491" t="s">
        <v>164</v>
      </c>
      <c r="J491" t="s">
        <v>20</v>
      </c>
      <c r="K491" s="5">
        <f>100 / 86400</f>
        <v>1.1574074074074073E-3</v>
      </c>
      <c r="L491" s="5">
        <f>40 / 86400</f>
        <v>4.6296296296296298E-4</v>
      </c>
    </row>
    <row r="492" spans="1:12" x14ac:dyDescent="0.25">
      <c r="A492" s="3">
        <v>45708.810173611113</v>
      </c>
      <c r="B492" t="s">
        <v>167</v>
      </c>
      <c r="C492" s="3">
        <v>45708.81040509259</v>
      </c>
      <c r="D492" t="s">
        <v>167</v>
      </c>
      <c r="E492" s="4">
        <v>1.0740113496780395E-2</v>
      </c>
      <c r="F492" s="4">
        <v>349453.24654522224</v>
      </c>
      <c r="G492" s="4">
        <v>349453.25728533574</v>
      </c>
      <c r="H492" s="5">
        <f t="shared" si="7"/>
        <v>0</v>
      </c>
      <c r="I492" t="s">
        <v>145</v>
      </c>
      <c r="J492" t="s">
        <v>136</v>
      </c>
      <c r="K492" s="5">
        <f>20 / 86400</f>
        <v>2.3148148148148149E-4</v>
      </c>
      <c r="L492" s="5">
        <f>20 / 86400</f>
        <v>2.3148148148148149E-4</v>
      </c>
    </row>
    <row r="493" spans="1:12" x14ac:dyDescent="0.25">
      <c r="A493" s="3">
        <v>45708.810636574075</v>
      </c>
      <c r="B493" t="s">
        <v>295</v>
      </c>
      <c r="C493" s="3">
        <v>45708.811562499999</v>
      </c>
      <c r="D493" t="s">
        <v>295</v>
      </c>
      <c r="E493" s="4">
        <v>0.50540371078252788</v>
      </c>
      <c r="F493" s="4">
        <v>349453.30293373484</v>
      </c>
      <c r="G493" s="4">
        <v>349453.8083374456</v>
      </c>
      <c r="H493" s="5">
        <f t="shared" si="7"/>
        <v>0</v>
      </c>
      <c r="I493" t="s">
        <v>178</v>
      </c>
      <c r="J493" t="s">
        <v>144</v>
      </c>
      <c r="K493" s="5">
        <f>80 / 86400</f>
        <v>9.2592592592592596E-4</v>
      </c>
      <c r="L493" s="5">
        <f>20 / 86400</f>
        <v>2.3148148148148149E-4</v>
      </c>
    </row>
    <row r="494" spans="1:12" x14ac:dyDescent="0.25">
      <c r="A494" s="3">
        <v>45708.811793981484</v>
      </c>
      <c r="B494" t="s">
        <v>167</v>
      </c>
      <c r="C494" s="3">
        <v>45708.813877314809</v>
      </c>
      <c r="D494" t="s">
        <v>297</v>
      </c>
      <c r="E494" s="4">
        <v>1.0808721206188201</v>
      </c>
      <c r="F494" s="4">
        <v>349453.87533322017</v>
      </c>
      <c r="G494" s="4">
        <v>349454.9562053408</v>
      </c>
      <c r="H494" s="5">
        <f t="shared" si="7"/>
        <v>0</v>
      </c>
      <c r="I494" t="s">
        <v>300</v>
      </c>
      <c r="J494" t="s">
        <v>148</v>
      </c>
      <c r="K494" s="5">
        <f>180 / 86400</f>
        <v>2.0833333333333333E-3</v>
      </c>
      <c r="L494" s="5">
        <f>20 / 86400</f>
        <v>2.3148148148148149E-4</v>
      </c>
    </row>
    <row r="495" spans="1:12" x14ac:dyDescent="0.25">
      <c r="A495" s="3">
        <v>45708.814108796301</v>
      </c>
      <c r="B495" t="s">
        <v>297</v>
      </c>
      <c r="C495" s="3">
        <v>45708.81549768518</v>
      </c>
      <c r="D495" t="s">
        <v>299</v>
      </c>
      <c r="E495" s="4">
        <v>0.84204123193025593</v>
      </c>
      <c r="F495" s="4">
        <v>349454.96706866013</v>
      </c>
      <c r="G495" s="4">
        <v>349455.80910989206</v>
      </c>
      <c r="H495" s="5">
        <f t="shared" si="7"/>
        <v>0</v>
      </c>
      <c r="I495" t="s">
        <v>25</v>
      </c>
      <c r="J495" t="s">
        <v>142</v>
      </c>
      <c r="K495" s="5">
        <f>120 / 86400</f>
        <v>1.3888888888888889E-3</v>
      </c>
      <c r="L495" s="5">
        <f>20 / 86400</f>
        <v>2.3148148148148149E-4</v>
      </c>
    </row>
    <row r="496" spans="1:12" x14ac:dyDescent="0.25">
      <c r="A496" s="3">
        <v>45708.815729166672</v>
      </c>
      <c r="B496" t="s">
        <v>299</v>
      </c>
      <c r="C496" s="3">
        <v>45708.817349537036</v>
      </c>
      <c r="D496" t="s">
        <v>199</v>
      </c>
      <c r="E496" s="4">
        <v>1.0145724676251411</v>
      </c>
      <c r="F496" s="4">
        <v>349455.82054556772</v>
      </c>
      <c r="G496" s="4">
        <v>349456.83511803538</v>
      </c>
      <c r="H496" s="5">
        <f t="shared" si="7"/>
        <v>0</v>
      </c>
      <c r="I496" t="s">
        <v>180</v>
      </c>
      <c r="J496" t="s">
        <v>189</v>
      </c>
      <c r="K496" s="5">
        <f>140 / 86400</f>
        <v>1.6203703703703703E-3</v>
      </c>
      <c r="L496" s="5">
        <f>20 / 86400</f>
        <v>2.3148148148148149E-4</v>
      </c>
    </row>
    <row r="497" spans="1:12" x14ac:dyDescent="0.25">
      <c r="A497" s="3">
        <v>45708.81758101852</v>
      </c>
      <c r="B497" t="s">
        <v>199</v>
      </c>
      <c r="C497" s="3">
        <v>45708.818761574075</v>
      </c>
      <c r="D497" t="s">
        <v>200</v>
      </c>
      <c r="E497" s="4">
        <v>0.43755040293931963</v>
      </c>
      <c r="F497" s="4">
        <v>349456.89684610208</v>
      </c>
      <c r="G497" s="4">
        <v>349457.33439650497</v>
      </c>
      <c r="H497" s="5">
        <f t="shared" si="7"/>
        <v>0</v>
      </c>
      <c r="I497" t="s">
        <v>250</v>
      </c>
      <c r="J497" t="s">
        <v>44</v>
      </c>
      <c r="K497" s="5">
        <f>102 / 86400</f>
        <v>1.1805555555555556E-3</v>
      </c>
      <c r="L497" s="5">
        <f>11 / 86400</f>
        <v>1.273148148148148E-4</v>
      </c>
    </row>
    <row r="498" spans="1:12" x14ac:dyDescent="0.25">
      <c r="A498" s="3">
        <v>45708.818888888884</v>
      </c>
      <c r="B498" t="s">
        <v>259</v>
      </c>
      <c r="C498" s="3">
        <v>45708.820023148146</v>
      </c>
      <c r="D498" t="s">
        <v>301</v>
      </c>
      <c r="E498" s="4">
        <v>7.4358375191688544E-2</v>
      </c>
      <c r="F498" s="4">
        <v>349457.36487634509</v>
      </c>
      <c r="G498" s="4">
        <v>349457.43923472031</v>
      </c>
      <c r="H498" s="5">
        <f t="shared" si="7"/>
        <v>0</v>
      </c>
      <c r="I498" t="s">
        <v>55</v>
      </c>
      <c r="J498" t="s">
        <v>135</v>
      </c>
      <c r="K498" s="5">
        <f>98 / 86400</f>
        <v>1.1342592592592593E-3</v>
      </c>
      <c r="L498" s="5">
        <f>20 / 86400</f>
        <v>2.3148148148148149E-4</v>
      </c>
    </row>
    <row r="499" spans="1:12" x14ac:dyDescent="0.25">
      <c r="A499" s="3">
        <v>45708.820254629631</v>
      </c>
      <c r="B499" t="s">
        <v>259</v>
      </c>
      <c r="C499" s="3">
        <v>45708.820486111115</v>
      </c>
      <c r="D499" t="s">
        <v>200</v>
      </c>
      <c r="E499" s="4">
        <v>3.3950853824615476E-2</v>
      </c>
      <c r="F499" s="4">
        <v>349457.45103576465</v>
      </c>
      <c r="G499" s="4">
        <v>349457.48498661845</v>
      </c>
      <c r="H499" s="5">
        <f t="shared" si="7"/>
        <v>0</v>
      </c>
      <c r="I499" t="s">
        <v>143</v>
      </c>
      <c r="J499" t="s">
        <v>32</v>
      </c>
      <c r="K499" s="5">
        <f>20 / 86400</f>
        <v>2.3148148148148149E-4</v>
      </c>
      <c r="L499" s="5">
        <f>80 / 86400</f>
        <v>9.2592592592592596E-4</v>
      </c>
    </row>
    <row r="500" spans="1:12" x14ac:dyDescent="0.25">
      <c r="A500" s="3">
        <v>45708.821412037039</v>
      </c>
      <c r="B500" t="s">
        <v>200</v>
      </c>
      <c r="C500" s="3">
        <v>45708.821643518517</v>
      </c>
      <c r="D500" t="s">
        <v>200</v>
      </c>
      <c r="E500" s="4">
        <v>2.7291572093963622E-2</v>
      </c>
      <c r="F500" s="4">
        <v>349457.51197260543</v>
      </c>
      <c r="G500" s="4">
        <v>349457.5392641775</v>
      </c>
      <c r="H500" s="5">
        <f t="shared" si="7"/>
        <v>0</v>
      </c>
      <c r="I500" t="s">
        <v>145</v>
      </c>
      <c r="J500" t="s">
        <v>55</v>
      </c>
      <c r="K500" s="5">
        <f>20 / 86400</f>
        <v>2.3148148148148149E-4</v>
      </c>
      <c r="L500" s="5">
        <f>131 / 86400</f>
        <v>1.5162037037037036E-3</v>
      </c>
    </row>
    <row r="501" spans="1:12" x14ac:dyDescent="0.25">
      <c r="A501" s="3">
        <v>45708.823159722218</v>
      </c>
      <c r="B501" t="s">
        <v>200</v>
      </c>
      <c r="C501" s="3">
        <v>45708.823877314819</v>
      </c>
      <c r="D501" t="s">
        <v>357</v>
      </c>
      <c r="E501" s="4">
        <v>4.9766889452934268E-2</v>
      </c>
      <c r="F501" s="4">
        <v>349457.59577589191</v>
      </c>
      <c r="G501" s="4">
        <v>349457.64554278133</v>
      </c>
      <c r="H501" s="5">
        <f t="shared" si="7"/>
        <v>0</v>
      </c>
      <c r="I501" t="s">
        <v>97</v>
      </c>
      <c r="J501" t="s">
        <v>135</v>
      </c>
      <c r="K501" s="5">
        <f>62 / 86400</f>
        <v>7.1759259259259259E-4</v>
      </c>
      <c r="L501" s="5">
        <f>18 / 86400</f>
        <v>2.0833333333333335E-4</v>
      </c>
    </row>
    <row r="502" spans="1:12" x14ac:dyDescent="0.25">
      <c r="A502" s="3">
        <v>45708.82408564815</v>
      </c>
      <c r="B502" t="s">
        <v>200</v>
      </c>
      <c r="C502" s="3">
        <v>45708.824317129634</v>
      </c>
      <c r="D502" t="s">
        <v>200</v>
      </c>
      <c r="E502" s="4">
        <v>6.3840731382369996E-3</v>
      </c>
      <c r="F502" s="4">
        <v>349457.68783990847</v>
      </c>
      <c r="G502" s="4">
        <v>349457.69422398164</v>
      </c>
      <c r="H502" s="5">
        <f t="shared" si="7"/>
        <v>0</v>
      </c>
      <c r="I502" t="s">
        <v>55</v>
      </c>
      <c r="J502" t="s">
        <v>145</v>
      </c>
      <c r="K502" s="5">
        <f>20 / 86400</f>
        <v>2.3148148148148149E-4</v>
      </c>
      <c r="L502" s="5">
        <f>19 / 86400</f>
        <v>2.199074074074074E-4</v>
      </c>
    </row>
    <row r="503" spans="1:12" x14ac:dyDescent="0.25">
      <c r="A503" s="3">
        <v>45708.824537037042</v>
      </c>
      <c r="B503" t="s">
        <v>259</v>
      </c>
      <c r="C503" s="3">
        <v>45708.826516203699</v>
      </c>
      <c r="D503" t="s">
        <v>259</v>
      </c>
      <c r="E503" s="4">
        <v>0.72085382789373398</v>
      </c>
      <c r="F503" s="4">
        <v>349457.72068111016</v>
      </c>
      <c r="G503" s="4">
        <v>349458.44153493806</v>
      </c>
      <c r="H503" s="5">
        <f t="shared" si="7"/>
        <v>0</v>
      </c>
      <c r="I503" t="s">
        <v>161</v>
      </c>
      <c r="J503" t="s">
        <v>44</v>
      </c>
      <c r="K503" s="5">
        <f>171 / 86400</f>
        <v>1.9791666666666668E-3</v>
      </c>
      <c r="L503" s="5">
        <f>14 / 86400</f>
        <v>1.6203703703703703E-4</v>
      </c>
    </row>
    <row r="504" spans="1:12" x14ac:dyDescent="0.25">
      <c r="A504" s="3">
        <v>45708.826678240745</v>
      </c>
      <c r="B504" t="s">
        <v>358</v>
      </c>
      <c r="C504" s="3">
        <v>45708.827372685184</v>
      </c>
      <c r="D504" t="s">
        <v>359</v>
      </c>
      <c r="E504" s="4">
        <v>0.11794567155838012</v>
      </c>
      <c r="F504" s="4">
        <v>349458.46819185308</v>
      </c>
      <c r="G504" s="4">
        <v>349458.58613752469</v>
      </c>
      <c r="H504" s="5">
        <f t="shared" si="7"/>
        <v>0</v>
      </c>
      <c r="I504" t="s">
        <v>55</v>
      </c>
      <c r="J504" t="s">
        <v>26</v>
      </c>
      <c r="K504" s="5">
        <f>60 / 86400</f>
        <v>6.9444444444444447E-4</v>
      </c>
      <c r="L504" s="5">
        <f>20 / 86400</f>
        <v>2.3148148148148149E-4</v>
      </c>
    </row>
    <row r="505" spans="1:12" x14ac:dyDescent="0.25">
      <c r="A505" s="3">
        <v>45708.827604166669</v>
      </c>
      <c r="B505" t="s">
        <v>202</v>
      </c>
      <c r="C505" s="3">
        <v>45708.827835648146</v>
      </c>
      <c r="D505" t="s">
        <v>255</v>
      </c>
      <c r="E505" s="4">
        <v>6.2799388766288759E-3</v>
      </c>
      <c r="F505" s="4">
        <v>349458.61647141463</v>
      </c>
      <c r="G505" s="4">
        <v>349458.62275135348</v>
      </c>
      <c r="H505" s="5">
        <f t="shared" si="7"/>
        <v>0</v>
      </c>
      <c r="I505" t="s">
        <v>135</v>
      </c>
      <c r="J505" t="s">
        <v>145</v>
      </c>
      <c r="K505" s="5">
        <f>20 / 86400</f>
        <v>2.3148148148148149E-4</v>
      </c>
      <c r="L505" s="5">
        <f>20 / 86400</f>
        <v>2.3148148148148149E-4</v>
      </c>
    </row>
    <row r="506" spans="1:12" x14ac:dyDescent="0.25">
      <c r="A506" s="3">
        <v>45708.828067129631</v>
      </c>
      <c r="B506" t="s">
        <v>202</v>
      </c>
      <c r="C506" s="3">
        <v>45708.828344907408</v>
      </c>
      <c r="D506" t="s">
        <v>255</v>
      </c>
      <c r="E506" s="4">
        <v>4.6069855093955996E-3</v>
      </c>
      <c r="F506" s="4">
        <v>349458.63236489426</v>
      </c>
      <c r="G506" s="4">
        <v>349458.63697187981</v>
      </c>
      <c r="H506" s="5">
        <f t="shared" si="7"/>
        <v>0</v>
      </c>
      <c r="I506" t="s">
        <v>32</v>
      </c>
      <c r="J506" t="s">
        <v>145</v>
      </c>
      <c r="K506" s="5">
        <f>24 / 86400</f>
        <v>2.7777777777777778E-4</v>
      </c>
      <c r="L506" s="5">
        <f>13 / 86400</f>
        <v>1.5046296296296297E-4</v>
      </c>
    </row>
    <row r="507" spans="1:12" x14ac:dyDescent="0.25">
      <c r="A507" s="3">
        <v>45708.82849537037</v>
      </c>
      <c r="B507" t="s">
        <v>360</v>
      </c>
      <c r="C507" s="3">
        <v>45708.828726851847</v>
      </c>
      <c r="D507" t="s">
        <v>360</v>
      </c>
      <c r="E507" s="4">
        <v>9.8949204087257388E-3</v>
      </c>
      <c r="F507" s="4">
        <v>349458.90505593718</v>
      </c>
      <c r="G507" s="4">
        <v>349458.91495085758</v>
      </c>
      <c r="H507" s="5">
        <f t="shared" si="7"/>
        <v>0</v>
      </c>
      <c r="I507" t="s">
        <v>55</v>
      </c>
      <c r="J507" t="s">
        <v>136</v>
      </c>
      <c r="K507" s="5">
        <f>20 / 86400</f>
        <v>2.3148148148148149E-4</v>
      </c>
      <c r="L507" s="5">
        <f>60 / 86400</f>
        <v>6.9444444444444447E-4</v>
      </c>
    </row>
    <row r="508" spans="1:12" x14ac:dyDescent="0.25">
      <c r="A508" s="3">
        <v>45708.829421296294</v>
      </c>
      <c r="B508" t="s">
        <v>360</v>
      </c>
      <c r="C508" s="3">
        <v>45708.830625000002</v>
      </c>
      <c r="D508" t="s">
        <v>70</v>
      </c>
      <c r="E508" s="4">
        <v>0.59406102579832076</v>
      </c>
      <c r="F508" s="4">
        <v>349458.94095991878</v>
      </c>
      <c r="G508" s="4">
        <v>349459.5350209446</v>
      </c>
      <c r="H508" s="5">
        <f t="shared" si="7"/>
        <v>0</v>
      </c>
      <c r="I508" t="s">
        <v>178</v>
      </c>
      <c r="J508" t="s">
        <v>38</v>
      </c>
      <c r="K508" s="5">
        <f>104 / 86400</f>
        <v>1.2037037037037038E-3</v>
      </c>
      <c r="L508" s="5">
        <f>14 / 86400</f>
        <v>1.6203703703703703E-4</v>
      </c>
    </row>
    <row r="509" spans="1:12" x14ac:dyDescent="0.25">
      <c r="A509" s="3">
        <v>45708.830787037034</v>
      </c>
      <c r="B509" t="s">
        <v>302</v>
      </c>
      <c r="C509" s="3">
        <v>45708.836539351847</v>
      </c>
      <c r="D509" t="s">
        <v>306</v>
      </c>
      <c r="E509" s="4">
        <v>2.5114367608428001</v>
      </c>
      <c r="F509" s="4">
        <v>349459.53908292874</v>
      </c>
      <c r="G509" s="4">
        <v>349462.05051968957</v>
      </c>
      <c r="H509" s="5">
        <f t="shared" si="7"/>
        <v>0</v>
      </c>
      <c r="I509" t="s">
        <v>25</v>
      </c>
      <c r="J509" t="s">
        <v>34</v>
      </c>
      <c r="K509" s="5">
        <f>497 / 86400</f>
        <v>5.7523148148148151E-3</v>
      </c>
      <c r="L509" s="5">
        <f>20 / 86400</f>
        <v>2.3148148148148149E-4</v>
      </c>
    </row>
    <row r="510" spans="1:12" x14ac:dyDescent="0.25">
      <c r="A510" s="3">
        <v>45708.836770833332</v>
      </c>
      <c r="B510" t="s">
        <v>306</v>
      </c>
      <c r="C510" s="3">
        <v>45708.842141203699</v>
      </c>
      <c r="D510" t="s">
        <v>361</v>
      </c>
      <c r="E510" s="4">
        <v>1.6936694535017014</v>
      </c>
      <c r="F510" s="4">
        <v>349462.11620163929</v>
      </c>
      <c r="G510" s="4">
        <v>349463.80987109279</v>
      </c>
      <c r="H510" s="5">
        <f t="shared" si="7"/>
        <v>0</v>
      </c>
      <c r="I510" t="s">
        <v>150</v>
      </c>
      <c r="J510" t="s">
        <v>29</v>
      </c>
      <c r="K510" s="5">
        <f>464 / 86400</f>
        <v>5.37037037037037E-3</v>
      </c>
      <c r="L510" s="5">
        <f>4 / 86400</f>
        <v>4.6296296296296294E-5</v>
      </c>
    </row>
    <row r="511" spans="1:12" x14ac:dyDescent="0.25">
      <c r="A511" s="3">
        <v>45708.842187499999</v>
      </c>
      <c r="B511" t="s">
        <v>361</v>
      </c>
      <c r="C511" s="3">
        <v>45708.843634259261</v>
      </c>
      <c r="D511" t="s">
        <v>213</v>
      </c>
      <c r="E511" s="4">
        <v>0.84022878581285476</v>
      </c>
      <c r="F511" s="4">
        <v>349463.81611757725</v>
      </c>
      <c r="G511" s="4">
        <v>349464.65634636307</v>
      </c>
      <c r="H511" s="5">
        <f t="shared" si="7"/>
        <v>0</v>
      </c>
      <c r="I511" t="s">
        <v>201</v>
      </c>
      <c r="J511" t="s">
        <v>157</v>
      </c>
      <c r="K511" s="5">
        <f>125 / 86400</f>
        <v>1.4467592592592592E-3</v>
      </c>
      <c r="L511" s="5">
        <f>140 / 86400</f>
        <v>1.6203703703703703E-3</v>
      </c>
    </row>
    <row r="512" spans="1:12" x14ac:dyDescent="0.25">
      <c r="A512" s="3">
        <v>45708.845254629632</v>
      </c>
      <c r="B512" t="s">
        <v>213</v>
      </c>
      <c r="C512" s="3">
        <v>45708.846064814818</v>
      </c>
      <c r="D512" t="s">
        <v>317</v>
      </c>
      <c r="E512" s="4">
        <v>0.51469592547416687</v>
      </c>
      <c r="F512" s="4">
        <v>349464.69825448177</v>
      </c>
      <c r="G512" s="4">
        <v>349465.21295040729</v>
      </c>
      <c r="H512" s="5">
        <f t="shared" si="7"/>
        <v>0</v>
      </c>
      <c r="I512" t="s">
        <v>31</v>
      </c>
      <c r="J512" t="s">
        <v>189</v>
      </c>
      <c r="K512" s="5">
        <f>70 / 86400</f>
        <v>8.1018518518518516E-4</v>
      </c>
      <c r="L512" s="5">
        <f>58 / 86400</f>
        <v>6.7129629629629625E-4</v>
      </c>
    </row>
    <row r="513" spans="1:12" x14ac:dyDescent="0.25">
      <c r="A513" s="3">
        <v>45708.846736111111</v>
      </c>
      <c r="B513" t="s">
        <v>362</v>
      </c>
      <c r="C513" s="3">
        <v>45708.85125</v>
      </c>
      <c r="D513" t="s">
        <v>363</v>
      </c>
      <c r="E513" s="4">
        <v>2.3014838265776634</v>
      </c>
      <c r="F513" s="4">
        <v>349465.22343796276</v>
      </c>
      <c r="G513" s="4">
        <v>349467.52492178936</v>
      </c>
      <c r="H513" s="5">
        <f t="shared" si="7"/>
        <v>0</v>
      </c>
      <c r="I513" t="s">
        <v>147</v>
      </c>
      <c r="J513" t="s">
        <v>38</v>
      </c>
      <c r="K513" s="5">
        <f>390 / 86400</f>
        <v>4.5138888888888885E-3</v>
      </c>
      <c r="L513" s="5">
        <f>20 / 86400</f>
        <v>2.3148148148148149E-4</v>
      </c>
    </row>
    <row r="514" spans="1:12" x14ac:dyDescent="0.25">
      <c r="A514" s="3">
        <v>45708.851481481484</v>
      </c>
      <c r="B514" t="s">
        <v>364</v>
      </c>
      <c r="C514" s="3">
        <v>45708.852638888886</v>
      </c>
      <c r="D514" t="s">
        <v>365</v>
      </c>
      <c r="E514" s="4">
        <v>0.49955530309677126</v>
      </c>
      <c r="F514" s="4">
        <v>349467.96151096106</v>
      </c>
      <c r="G514" s="4">
        <v>349468.46106626414</v>
      </c>
      <c r="H514" s="5">
        <f t="shared" si="7"/>
        <v>0</v>
      </c>
      <c r="I514" t="s">
        <v>96</v>
      </c>
      <c r="J514" t="s">
        <v>34</v>
      </c>
      <c r="K514" s="5">
        <f>100 / 86400</f>
        <v>1.1574074074074073E-3</v>
      </c>
      <c r="L514" s="5">
        <f>40 / 86400</f>
        <v>4.6296296296296298E-4</v>
      </c>
    </row>
    <row r="515" spans="1:12" x14ac:dyDescent="0.25">
      <c r="A515" s="3">
        <v>45708.853101851855</v>
      </c>
      <c r="B515" t="s">
        <v>366</v>
      </c>
      <c r="C515" s="3">
        <v>45708.854895833334</v>
      </c>
      <c r="D515" t="s">
        <v>367</v>
      </c>
      <c r="E515" s="4">
        <v>0.19858577960729598</v>
      </c>
      <c r="F515" s="4">
        <v>349468.4786204691</v>
      </c>
      <c r="G515" s="4">
        <v>349468.67720624869</v>
      </c>
      <c r="H515" s="5">
        <f t="shared" si="7"/>
        <v>0</v>
      </c>
      <c r="I515" t="s">
        <v>97</v>
      </c>
      <c r="J515" t="s">
        <v>55</v>
      </c>
      <c r="K515" s="5">
        <f>155 / 86400</f>
        <v>1.7939814814814815E-3</v>
      </c>
      <c r="L515" s="5">
        <f>60 / 86400</f>
        <v>6.9444444444444447E-4</v>
      </c>
    </row>
    <row r="516" spans="1:12" x14ac:dyDescent="0.25">
      <c r="A516" s="3">
        <v>45708.855590277773</v>
      </c>
      <c r="B516" t="s">
        <v>368</v>
      </c>
      <c r="C516" s="3">
        <v>45708.855821759258</v>
      </c>
      <c r="D516" t="s">
        <v>369</v>
      </c>
      <c r="E516" s="4">
        <v>3.1181709170341491E-3</v>
      </c>
      <c r="F516" s="4">
        <v>349468.70661077381</v>
      </c>
      <c r="G516" s="4">
        <v>349468.7097289447</v>
      </c>
      <c r="H516" s="5">
        <f t="shared" si="7"/>
        <v>0</v>
      </c>
      <c r="I516" t="s">
        <v>145</v>
      </c>
      <c r="J516" t="s">
        <v>145</v>
      </c>
      <c r="K516" s="5">
        <f>20 / 86400</f>
        <v>2.3148148148148149E-4</v>
      </c>
      <c r="L516" s="5">
        <f>40 / 86400</f>
        <v>4.6296296296296298E-4</v>
      </c>
    </row>
    <row r="517" spans="1:12" x14ac:dyDescent="0.25">
      <c r="A517" s="3">
        <v>45708.85628472222</v>
      </c>
      <c r="B517" t="s">
        <v>367</v>
      </c>
      <c r="C517" s="3">
        <v>45708.856516203705</v>
      </c>
      <c r="D517" t="s">
        <v>370</v>
      </c>
      <c r="E517" s="4">
        <v>1.5119360744953155E-2</v>
      </c>
      <c r="F517" s="4">
        <v>349468.71929927298</v>
      </c>
      <c r="G517" s="4">
        <v>349468.73441863368</v>
      </c>
      <c r="H517" s="5">
        <f t="shared" si="7"/>
        <v>0</v>
      </c>
      <c r="I517" t="s">
        <v>145</v>
      </c>
      <c r="J517" t="s">
        <v>135</v>
      </c>
      <c r="K517" s="5">
        <f>20 / 86400</f>
        <v>2.3148148148148149E-4</v>
      </c>
      <c r="L517" s="5">
        <f>260 / 86400</f>
        <v>3.0092592592592593E-3</v>
      </c>
    </row>
    <row r="518" spans="1:12" x14ac:dyDescent="0.25">
      <c r="A518" s="3">
        <v>45708.859525462962</v>
      </c>
      <c r="B518" t="s">
        <v>369</v>
      </c>
      <c r="C518" s="3">
        <v>45708.861608796295</v>
      </c>
      <c r="D518" t="s">
        <v>371</v>
      </c>
      <c r="E518" s="4">
        <v>1.2484998531341553</v>
      </c>
      <c r="F518" s="4">
        <v>349468.80602232867</v>
      </c>
      <c r="G518" s="4">
        <v>349470.0545221818</v>
      </c>
      <c r="H518" s="5">
        <f t="shared" si="7"/>
        <v>0</v>
      </c>
      <c r="I518" t="s">
        <v>25</v>
      </c>
      <c r="J518" t="s">
        <v>142</v>
      </c>
      <c r="K518" s="5">
        <f>180 / 86400</f>
        <v>2.0833333333333333E-3</v>
      </c>
      <c r="L518" s="5">
        <f>20 / 86400</f>
        <v>2.3148148148148149E-4</v>
      </c>
    </row>
    <row r="519" spans="1:12" x14ac:dyDescent="0.25">
      <c r="A519" s="3">
        <v>45708.861840277779</v>
      </c>
      <c r="B519" t="s">
        <v>371</v>
      </c>
      <c r="C519" s="3">
        <v>45708.862071759257</v>
      </c>
      <c r="D519" t="s">
        <v>371</v>
      </c>
      <c r="E519" s="4">
        <v>9.3155944347381593E-4</v>
      </c>
      <c r="F519" s="4">
        <v>349470.05889669742</v>
      </c>
      <c r="G519" s="4">
        <v>349470.05982825684</v>
      </c>
      <c r="H519" s="5">
        <f t="shared" si="7"/>
        <v>0</v>
      </c>
      <c r="I519" t="s">
        <v>145</v>
      </c>
      <c r="J519" t="s">
        <v>22</v>
      </c>
      <c r="K519" s="5">
        <f>20 / 86400</f>
        <v>2.3148148148148149E-4</v>
      </c>
      <c r="L519" s="5">
        <f>59 / 86400</f>
        <v>6.8287037037037036E-4</v>
      </c>
    </row>
    <row r="520" spans="1:12" x14ac:dyDescent="0.25">
      <c r="A520" s="3">
        <v>45708.862754629634</v>
      </c>
      <c r="B520" t="s">
        <v>371</v>
      </c>
      <c r="C520" s="3">
        <v>45708.86414351852</v>
      </c>
      <c r="D520" t="s">
        <v>315</v>
      </c>
      <c r="E520" s="4">
        <v>0.19603088909387589</v>
      </c>
      <c r="F520" s="4">
        <v>349470.09218761377</v>
      </c>
      <c r="G520" s="4">
        <v>349470.28821850289</v>
      </c>
      <c r="H520" s="5">
        <f t="shared" si="7"/>
        <v>0</v>
      </c>
      <c r="I520" t="s">
        <v>29</v>
      </c>
      <c r="J520" t="s">
        <v>32</v>
      </c>
      <c r="K520" s="5">
        <f>120 / 86400</f>
        <v>1.3888888888888889E-3</v>
      </c>
      <c r="L520" s="5">
        <f>20 / 86400</f>
        <v>2.3148148148148149E-4</v>
      </c>
    </row>
    <row r="521" spans="1:12" x14ac:dyDescent="0.25">
      <c r="A521" s="3">
        <v>45708.864375000005</v>
      </c>
      <c r="B521" t="s">
        <v>315</v>
      </c>
      <c r="C521" s="3">
        <v>45708.864606481482</v>
      </c>
      <c r="D521" t="s">
        <v>315</v>
      </c>
      <c r="E521" s="4">
        <v>0</v>
      </c>
      <c r="F521" s="4">
        <v>349470.30031726533</v>
      </c>
      <c r="G521" s="4">
        <v>349470.30031726533</v>
      </c>
      <c r="H521" s="5">
        <f t="shared" si="7"/>
        <v>0</v>
      </c>
      <c r="I521" t="s">
        <v>136</v>
      </c>
      <c r="J521" t="s">
        <v>22</v>
      </c>
      <c r="K521" s="5">
        <f>20 / 86400</f>
        <v>2.3148148148148149E-4</v>
      </c>
      <c r="L521" s="5">
        <f>3 / 86400</f>
        <v>3.4722222222222222E-5</v>
      </c>
    </row>
    <row r="522" spans="1:12" x14ac:dyDescent="0.25">
      <c r="A522" s="3">
        <v>45708.864641203705</v>
      </c>
      <c r="B522" t="s">
        <v>315</v>
      </c>
      <c r="C522" s="3">
        <v>45708.867627314816</v>
      </c>
      <c r="D522" t="s">
        <v>372</v>
      </c>
      <c r="E522" s="4">
        <v>1.5101847405433655</v>
      </c>
      <c r="F522" s="4">
        <v>349470.33407301956</v>
      </c>
      <c r="G522" s="4">
        <v>349471.84425776009</v>
      </c>
      <c r="H522" s="5">
        <f t="shared" si="7"/>
        <v>0</v>
      </c>
      <c r="I522" t="s">
        <v>180</v>
      </c>
      <c r="J522" t="s">
        <v>38</v>
      </c>
      <c r="K522" s="5">
        <f>258 / 86400</f>
        <v>2.9861111111111113E-3</v>
      </c>
      <c r="L522" s="5">
        <f>20 / 86400</f>
        <v>2.3148148148148149E-4</v>
      </c>
    </row>
    <row r="523" spans="1:12" x14ac:dyDescent="0.25">
      <c r="A523" s="3">
        <v>45708.867858796293</v>
      </c>
      <c r="B523" t="s">
        <v>211</v>
      </c>
      <c r="C523" s="3">
        <v>45708.868090277778</v>
      </c>
      <c r="D523" t="s">
        <v>210</v>
      </c>
      <c r="E523" s="4">
        <v>6.4430529534816747E-2</v>
      </c>
      <c r="F523" s="4">
        <v>349471.89904905338</v>
      </c>
      <c r="G523" s="4">
        <v>349471.96347958292</v>
      </c>
      <c r="H523" s="5">
        <f t="shared" si="7"/>
        <v>0</v>
      </c>
      <c r="I523" t="s">
        <v>34</v>
      </c>
      <c r="J523" t="s">
        <v>65</v>
      </c>
      <c r="K523" s="5">
        <f>20 / 86400</f>
        <v>2.3148148148148149E-4</v>
      </c>
      <c r="L523" s="5">
        <f>20 / 86400</f>
        <v>2.3148148148148149E-4</v>
      </c>
    </row>
    <row r="524" spans="1:12" x14ac:dyDescent="0.25">
      <c r="A524" s="3">
        <v>45708.868321759262</v>
      </c>
      <c r="B524" t="s">
        <v>210</v>
      </c>
      <c r="C524" s="3">
        <v>45708.869513888887</v>
      </c>
      <c r="D524" t="s">
        <v>373</v>
      </c>
      <c r="E524" s="4">
        <v>0.34872935235500335</v>
      </c>
      <c r="F524" s="4">
        <v>349471.96988177352</v>
      </c>
      <c r="G524" s="4">
        <v>349472.31861112587</v>
      </c>
      <c r="H524" s="5">
        <f t="shared" si="7"/>
        <v>0</v>
      </c>
      <c r="I524" t="s">
        <v>148</v>
      </c>
      <c r="J524" t="s">
        <v>65</v>
      </c>
      <c r="K524" s="5">
        <f>103 / 86400</f>
        <v>1.1921296296296296E-3</v>
      </c>
      <c r="L524" s="5">
        <f>19 / 86400</f>
        <v>2.199074074074074E-4</v>
      </c>
    </row>
    <row r="525" spans="1:12" x14ac:dyDescent="0.25">
      <c r="A525" s="3">
        <v>45708.869733796295</v>
      </c>
      <c r="B525" t="s">
        <v>373</v>
      </c>
      <c r="C525" s="3">
        <v>45708.870289351849</v>
      </c>
      <c r="D525" t="s">
        <v>340</v>
      </c>
      <c r="E525" s="4">
        <v>8.0493931770324711E-2</v>
      </c>
      <c r="F525" s="4">
        <v>349472.32205549302</v>
      </c>
      <c r="G525" s="4">
        <v>349472.40254942479</v>
      </c>
      <c r="H525" s="5">
        <f t="shared" si="7"/>
        <v>0</v>
      </c>
      <c r="I525" t="s">
        <v>86</v>
      </c>
      <c r="J525" t="s">
        <v>32</v>
      </c>
      <c r="K525" s="5">
        <f>48 / 86400</f>
        <v>5.5555555555555556E-4</v>
      </c>
      <c r="L525" s="5">
        <f>20 / 86400</f>
        <v>2.3148148148148149E-4</v>
      </c>
    </row>
    <row r="526" spans="1:12" x14ac:dyDescent="0.25">
      <c r="A526" s="3">
        <v>45708.870520833334</v>
      </c>
      <c r="B526" t="s">
        <v>340</v>
      </c>
      <c r="C526" s="3">
        <v>45708.870752314819</v>
      </c>
      <c r="D526" t="s">
        <v>340</v>
      </c>
      <c r="E526" s="4">
        <v>1.6439493894577027E-3</v>
      </c>
      <c r="F526" s="4">
        <v>349472.41769401048</v>
      </c>
      <c r="G526" s="4">
        <v>349472.4193379599</v>
      </c>
      <c r="H526" s="5">
        <f t="shared" si="7"/>
        <v>0</v>
      </c>
      <c r="I526" t="s">
        <v>145</v>
      </c>
      <c r="J526" t="s">
        <v>22</v>
      </c>
      <c r="K526" s="5">
        <f>20 / 86400</f>
        <v>2.3148148148148149E-4</v>
      </c>
      <c r="L526" s="5">
        <f>5 / 86400</f>
        <v>5.7870370370370373E-5</v>
      </c>
    </row>
    <row r="527" spans="1:12" x14ac:dyDescent="0.25">
      <c r="A527" s="3">
        <v>45708.870810185181</v>
      </c>
      <c r="B527" t="s">
        <v>340</v>
      </c>
      <c r="C527" s="3">
        <v>45708.871666666666</v>
      </c>
      <c r="D527" t="s">
        <v>374</v>
      </c>
      <c r="E527" s="4">
        <v>0.51747190642356877</v>
      </c>
      <c r="F527" s="4">
        <v>349472.42211551883</v>
      </c>
      <c r="G527" s="4">
        <v>349472.93958742521</v>
      </c>
      <c r="H527" s="5">
        <f t="shared" si="7"/>
        <v>0</v>
      </c>
      <c r="I527" t="s">
        <v>140</v>
      </c>
      <c r="J527" t="s">
        <v>142</v>
      </c>
      <c r="K527" s="5">
        <f>74 / 86400</f>
        <v>8.564814814814815E-4</v>
      </c>
      <c r="L527" s="5">
        <f>20 / 86400</f>
        <v>2.3148148148148149E-4</v>
      </c>
    </row>
    <row r="528" spans="1:12" x14ac:dyDescent="0.25">
      <c r="A528" s="3">
        <v>45708.871898148151</v>
      </c>
      <c r="B528" t="s">
        <v>251</v>
      </c>
      <c r="C528" s="3">
        <v>45708.872442129628</v>
      </c>
      <c r="D528" t="s">
        <v>374</v>
      </c>
      <c r="E528" s="4">
        <v>0.33489645475149155</v>
      </c>
      <c r="F528" s="4">
        <v>349473.02501870197</v>
      </c>
      <c r="G528" s="4">
        <v>349473.35991515673</v>
      </c>
      <c r="H528" s="5">
        <f t="shared" si="7"/>
        <v>0</v>
      </c>
      <c r="I528" t="s">
        <v>189</v>
      </c>
      <c r="J528" t="s">
        <v>189</v>
      </c>
      <c r="K528" s="5">
        <f>47 / 86400</f>
        <v>5.4398148148148144E-4</v>
      </c>
      <c r="L528" s="5">
        <f>20 / 86400</f>
        <v>2.3148148148148149E-4</v>
      </c>
    </row>
    <row r="529" spans="1:12" x14ac:dyDescent="0.25">
      <c r="A529" s="3">
        <v>45708.872673611113</v>
      </c>
      <c r="B529" t="s">
        <v>375</v>
      </c>
      <c r="C529" s="3">
        <v>45708.87336805556</v>
      </c>
      <c r="D529" t="s">
        <v>252</v>
      </c>
      <c r="E529" s="4">
        <v>0.47748180443048477</v>
      </c>
      <c r="F529" s="4">
        <v>349473.65154998156</v>
      </c>
      <c r="G529" s="4">
        <v>349474.12903178594</v>
      </c>
      <c r="H529" s="5">
        <f t="shared" si="7"/>
        <v>0</v>
      </c>
      <c r="I529" t="s">
        <v>96</v>
      </c>
      <c r="J529" t="s">
        <v>217</v>
      </c>
      <c r="K529" s="5">
        <f>60 / 86400</f>
        <v>6.9444444444444447E-4</v>
      </c>
      <c r="L529" s="5">
        <f>20 / 86400</f>
        <v>2.3148148148148149E-4</v>
      </c>
    </row>
    <row r="530" spans="1:12" x14ac:dyDescent="0.25">
      <c r="A530" s="3">
        <v>45708.873599537037</v>
      </c>
      <c r="B530" t="s">
        <v>376</v>
      </c>
      <c r="C530" s="3">
        <v>45708.874525462961</v>
      </c>
      <c r="D530" t="s">
        <v>70</v>
      </c>
      <c r="E530" s="4">
        <v>0.71423683285713191</v>
      </c>
      <c r="F530" s="4">
        <v>349474.21934056829</v>
      </c>
      <c r="G530" s="4">
        <v>349474.93357740116</v>
      </c>
      <c r="H530" s="5">
        <f t="shared" si="7"/>
        <v>0</v>
      </c>
      <c r="I530" t="s">
        <v>96</v>
      </c>
      <c r="J530" t="s">
        <v>164</v>
      </c>
      <c r="K530" s="5">
        <f>80 / 86400</f>
        <v>9.2592592592592596E-4</v>
      </c>
      <c r="L530" s="5">
        <f>42 / 86400</f>
        <v>4.861111111111111E-4</v>
      </c>
    </row>
    <row r="531" spans="1:12" x14ac:dyDescent="0.25">
      <c r="A531" s="3">
        <v>45708.87501157407</v>
      </c>
      <c r="B531" t="s">
        <v>70</v>
      </c>
      <c r="C531" s="3">
        <v>45708.875937500001</v>
      </c>
      <c r="D531" t="s">
        <v>151</v>
      </c>
      <c r="E531" s="4">
        <v>0.51639206457138065</v>
      </c>
      <c r="F531" s="4">
        <v>349474.94088207878</v>
      </c>
      <c r="G531" s="4">
        <v>349475.45727414335</v>
      </c>
      <c r="H531" s="5">
        <f t="shared" si="7"/>
        <v>0</v>
      </c>
      <c r="I531" t="s">
        <v>190</v>
      </c>
      <c r="J531" t="s">
        <v>144</v>
      </c>
      <c r="K531" s="5">
        <f>80 / 86400</f>
        <v>9.2592592592592596E-4</v>
      </c>
      <c r="L531" s="5">
        <f>20 / 86400</f>
        <v>2.3148148148148149E-4</v>
      </c>
    </row>
    <row r="532" spans="1:12" x14ac:dyDescent="0.25">
      <c r="A532" s="3">
        <v>45708.876168981486</v>
      </c>
      <c r="B532" t="s">
        <v>70</v>
      </c>
      <c r="C532" s="3">
        <v>45708.877743055556</v>
      </c>
      <c r="D532" t="s">
        <v>344</v>
      </c>
      <c r="E532" s="4">
        <v>0.66013388359546665</v>
      </c>
      <c r="F532" s="4">
        <v>349475.47135330958</v>
      </c>
      <c r="G532" s="4">
        <v>349476.13148719317</v>
      </c>
      <c r="H532" s="5">
        <f t="shared" si="7"/>
        <v>0</v>
      </c>
      <c r="I532" t="s">
        <v>250</v>
      </c>
      <c r="J532" t="s">
        <v>20</v>
      </c>
      <c r="K532" s="5">
        <f>136 / 86400</f>
        <v>1.5740740740740741E-3</v>
      </c>
      <c r="L532" s="5">
        <f>20 / 86400</f>
        <v>2.3148148148148149E-4</v>
      </c>
    </row>
    <row r="533" spans="1:12" x14ac:dyDescent="0.25">
      <c r="A533" s="3">
        <v>45708.877974537041</v>
      </c>
      <c r="B533" t="s">
        <v>255</v>
      </c>
      <c r="C533" s="3">
        <v>45708.880370370374</v>
      </c>
      <c r="D533" t="s">
        <v>377</v>
      </c>
      <c r="E533" s="4">
        <v>0.65176864480972285</v>
      </c>
      <c r="F533" s="4">
        <v>349476.18463840371</v>
      </c>
      <c r="G533" s="4">
        <v>349476.83640704851</v>
      </c>
      <c r="H533" s="5">
        <f t="shared" si="7"/>
        <v>0</v>
      </c>
      <c r="I533" t="s">
        <v>162</v>
      </c>
      <c r="J533" t="s">
        <v>86</v>
      </c>
      <c r="K533" s="5">
        <f>207 / 86400</f>
        <v>2.3958333333333331E-3</v>
      </c>
      <c r="L533" s="5">
        <f>20 / 86400</f>
        <v>2.3148148148148149E-4</v>
      </c>
    </row>
    <row r="534" spans="1:12" x14ac:dyDescent="0.25">
      <c r="A534" s="3">
        <v>45708.880601851852</v>
      </c>
      <c r="B534" t="s">
        <v>378</v>
      </c>
      <c r="C534" s="3">
        <v>45708.881064814814</v>
      </c>
      <c r="D534" t="s">
        <v>378</v>
      </c>
      <c r="E534" s="4">
        <v>0.25732904046773908</v>
      </c>
      <c r="F534" s="4">
        <v>349476.91193523107</v>
      </c>
      <c r="G534" s="4">
        <v>349477.16926427156</v>
      </c>
      <c r="H534" s="5">
        <f t="shared" si="7"/>
        <v>0</v>
      </c>
      <c r="I534" t="s">
        <v>164</v>
      </c>
      <c r="J534" t="s">
        <v>144</v>
      </c>
      <c r="K534" s="5">
        <f>40 / 86400</f>
        <v>4.6296296296296298E-4</v>
      </c>
      <c r="L534" s="5">
        <f>20 / 86400</f>
        <v>2.3148148148148149E-4</v>
      </c>
    </row>
    <row r="535" spans="1:12" x14ac:dyDescent="0.25">
      <c r="A535" s="3">
        <v>45708.881296296298</v>
      </c>
      <c r="B535" t="s">
        <v>379</v>
      </c>
      <c r="C535" s="3">
        <v>45708.884212962963</v>
      </c>
      <c r="D535" t="s">
        <v>380</v>
      </c>
      <c r="E535" s="4">
        <v>1.3628089723587036</v>
      </c>
      <c r="F535" s="4">
        <v>349477.21124856523</v>
      </c>
      <c r="G535" s="4">
        <v>349478.5740575376</v>
      </c>
      <c r="H535" s="5">
        <f t="shared" si="7"/>
        <v>0</v>
      </c>
      <c r="I535" t="s">
        <v>217</v>
      </c>
      <c r="J535" t="s">
        <v>68</v>
      </c>
      <c r="K535" s="5">
        <f>252 / 86400</f>
        <v>2.9166666666666668E-3</v>
      </c>
      <c r="L535" s="5">
        <f>3 / 86400</f>
        <v>3.4722222222222222E-5</v>
      </c>
    </row>
    <row r="536" spans="1:12" x14ac:dyDescent="0.25">
      <c r="A536" s="3">
        <v>45708.884247685186</v>
      </c>
      <c r="B536" t="s">
        <v>380</v>
      </c>
      <c r="C536" s="3">
        <v>45708.884710648148</v>
      </c>
      <c r="D536" t="s">
        <v>380</v>
      </c>
      <c r="E536" s="4">
        <v>0.14662725478410721</v>
      </c>
      <c r="F536" s="4">
        <v>349478.57969285088</v>
      </c>
      <c r="G536" s="4">
        <v>349478.72632010566</v>
      </c>
      <c r="H536" s="5">
        <f t="shared" si="7"/>
        <v>0</v>
      </c>
      <c r="I536" t="s">
        <v>164</v>
      </c>
      <c r="J536" t="s">
        <v>29</v>
      </c>
      <c r="K536" s="5">
        <f>40 / 86400</f>
        <v>4.6296296296296298E-4</v>
      </c>
      <c r="L536" s="5">
        <f>58 / 86400</f>
        <v>6.7129629629629625E-4</v>
      </c>
    </row>
    <row r="537" spans="1:12" x14ac:dyDescent="0.25">
      <c r="A537" s="3">
        <v>45708.885381944448</v>
      </c>
      <c r="B537" t="s">
        <v>380</v>
      </c>
      <c r="C537" s="3">
        <v>45708.886435185181</v>
      </c>
      <c r="D537" t="s">
        <v>381</v>
      </c>
      <c r="E537" s="4">
        <v>0.60385431110858923</v>
      </c>
      <c r="F537" s="4">
        <v>349478.76452333579</v>
      </c>
      <c r="G537" s="4">
        <v>349479.3683776469</v>
      </c>
      <c r="H537" s="5">
        <f t="shared" si="7"/>
        <v>0</v>
      </c>
      <c r="I537" t="s">
        <v>300</v>
      </c>
      <c r="J537" t="s">
        <v>157</v>
      </c>
      <c r="K537" s="5">
        <f>91 / 86400</f>
        <v>1.0532407407407407E-3</v>
      </c>
      <c r="L537" s="5">
        <f>32 / 86400</f>
        <v>3.7037037037037035E-4</v>
      </c>
    </row>
    <row r="538" spans="1:12" x14ac:dyDescent="0.25">
      <c r="A538" s="3">
        <v>45708.88680555555</v>
      </c>
      <c r="B538" t="s">
        <v>382</v>
      </c>
      <c r="C538" s="3">
        <v>45708.888888888891</v>
      </c>
      <c r="D538" t="s">
        <v>35</v>
      </c>
      <c r="E538" s="4">
        <v>1.106340194284916</v>
      </c>
      <c r="F538" s="4">
        <v>349479.38188391289</v>
      </c>
      <c r="G538" s="4">
        <v>349480.48822410719</v>
      </c>
      <c r="H538" s="5">
        <f t="shared" si="7"/>
        <v>0</v>
      </c>
      <c r="I538" t="s">
        <v>180</v>
      </c>
      <c r="J538" t="s">
        <v>148</v>
      </c>
      <c r="K538" s="5">
        <f>180 / 86400</f>
        <v>2.0833333333333333E-3</v>
      </c>
      <c r="L538" s="5">
        <f>20 / 86400</f>
        <v>2.3148148148148149E-4</v>
      </c>
    </row>
    <row r="539" spans="1:12" x14ac:dyDescent="0.25">
      <c r="A539" s="3">
        <v>45708.889120370368</v>
      </c>
      <c r="B539" t="s">
        <v>155</v>
      </c>
      <c r="C539" s="3">
        <v>45708.890277777777</v>
      </c>
      <c r="D539" t="s">
        <v>35</v>
      </c>
      <c r="E539" s="4">
        <v>0.58941382169723511</v>
      </c>
      <c r="F539" s="4">
        <v>349480.66726452863</v>
      </c>
      <c r="G539" s="4">
        <v>349481.25667835033</v>
      </c>
      <c r="H539" s="5">
        <f t="shared" si="7"/>
        <v>0</v>
      </c>
      <c r="I539" t="s">
        <v>162</v>
      </c>
      <c r="J539" t="s">
        <v>38</v>
      </c>
      <c r="K539" s="5">
        <f>100 / 86400</f>
        <v>1.1574074074074073E-3</v>
      </c>
      <c r="L539" s="5">
        <f>20 / 86400</f>
        <v>2.3148148148148149E-4</v>
      </c>
    </row>
    <row r="540" spans="1:12" x14ac:dyDescent="0.25">
      <c r="A540" s="3">
        <v>45708.890509259261</v>
      </c>
      <c r="B540" t="s">
        <v>35</v>
      </c>
      <c r="C540" s="3">
        <v>45708.890740740739</v>
      </c>
      <c r="D540" t="s">
        <v>35</v>
      </c>
      <c r="E540" s="4">
        <v>1.9382178843021392E-2</v>
      </c>
      <c r="F540" s="4">
        <v>349481.27338146587</v>
      </c>
      <c r="G540" s="4">
        <v>349481.29276364471</v>
      </c>
      <c r="H540" s="5">
        <f t="shared" si="7"/>
        <v>0</v>
      </c>
      <c r="I540" t="s">
        <v>97</v>
      </c>
      <c r="J540" t="s">
        <v>135</v>
      </c>
      <c r="K540" s="5">
        <f>20 / 86400</f>
        <v>2.3148148148148149E-4</v>
      </c>
      <c r="L540" s="5">
        <f>20 / 86400</f>
        <v>2.3148148148148149E-4</v>
      </c>
    </row>
    <row r="541" spans="1:12" x14ac:dyDescent="0.25">
      <c r="A541" s="3">
        <v>45708.890972222223</v>
      </c>
      <c r="B541" t="s">
        <v>35</v>
      </c>
      <c r="C541" s="3">
        <v>45708.891203703708</v>
      </c>
      <c r="D541" t="s">
        <v>35</v>
      </c>
      <c r="E541" s="4">
        <v>2.4658911228179932E-3</v>
      </c>
      <c r="F541" s="4">
        <v>349481.29749476479</v>
      </c>
      <c r="G541" s="4">
        <v>349481.29996065592</v>
      </c>
      <c r="H541" s="5">
        <f t="shared" si="7"/>
        <v>0</v>
      </c>
      <c r="I541" t="s">
        <v>145</v>
      </c>
      <c r="J541" t="s">
        <v>22</v>
      </c>
      <c r="K541" s="5">
        <f>20 / 86400</f>
        <v>2.3148148148148149E-4</v>
      </c>
      <c r="L541" s="5">
        <f>20 / 86400</f>
        <v>2.3148148148148149E-4</v>
      </c>
    </row>
    <row r="542" spans="1:12" x14ac:dyDescent="0.25">
      <c r="A542" s="3">
        <v>45708.891435185185</v>
      </c>
      <c r="B542" t="s">
        <v>383</v>
      </c>
      <c r="C542" s="3">
        <v>45708.893055555556</v>
      </c>
      <c r="D542" t="s">
        <v>158</v>
      </c>
      <c r="E542" s="4">
        <v>1.1716297318339348</v>
      </c>
      <c r="F542" s="4">
        <v>349481.33899028366</v>
      </c>
      <c r="G542" s="4">
        <v>349482.5106200155</v>
      </c>
      <c r="H542" s="5">
        <f t="shared" ref="H542:H584" si="8">0 / 86400</f>
        <v>0</v>
      </c>
      <c r="I542" t="s">
        <v>287</v>
      </c>
      <c r="J542" t="s">
        <v>54</v>
      </c>
      <c r="K542" s="5">
        <f>140 / 86400</f>
        <v>1.6203703703703703E-3</v>
      </c>
      <c r="L542" s="5">
        <f>33 / 86400</f>
        <v>3.8194444444444446E-4</v>
      </c>
    </row>
    <row r="543" spans="1:12" x14ac:dyDescent="0.25">
      <c r="A543" s="3">
        <v>45708.893437499995</v>
      </c>
      <c r="B543" t="s">
        <v>158</v>
      </c>
      <c r="C543" s="3">
        <v>45708.893900462965</v>
      </c>
      <c r="D543" t="s">
        <v>158</v>
      </c>
      <c r="E543" s="4">
        <v>0.21738093644380568</v>
      </c>
      <c r="F543" s="4">
        <v>349482.52018537419</v>
      </c>
      <c r="G543" s="4">
        <v>349482.73756631062</v>
      </c>
      <c r="H543" s="5">
        <f t="shared" si="8"/>
        <v>0</v>
      </c>
      <c r="I543" t="s">
        <v>189</v>
      </c>
      <c r="J543" t="s">
        <v>131</v>
      </c>
      <c r="K543" s="5">
        <f>40 / 86400</f>
        <v>4.6296296296296298E-4</v>
      </c>
      <c r="L543" s="5">
        <f>40 / 86400</f>
        <v>4.6296296296296298E-4</v>
      </c>
    </row>
    <row r="544" spans="1:12" x14ac:dyDescent="0.25">
      <c r="A544" s="3">
        <v>45708.894363425927</v>
      </c>
      <c r="B544" t="s">
        <v>158</v>
      </c>
      <c r="C544" s="3">
        <v>45708.896134259259</v>
      </c>
      <c r="D544" t="s">
        <v>158</v>
      </c>
      <c r="E544" s="4">
        <v>0.75142946732044225</v>
      </c>
      <c r="F544" s="4">
        <v>349482.85746534559</v>
      </c>
      <c r="G544" s="4">
        <v>349483.60889481287</v>
      </c>
      <c r="H544" s="5">
        <f t="shared" si="8"/>
        <v>0</v>
      </c>
      <c r="I544" t="s">
        <v>250</v>
      </c>
      <c r="J544" t="s">
        <v>34</v>
      </c>
      <c r="K544" s="5">
        <f>153 / 86400</f>
        <v>1.7708333333333332E-3</v>
      </c>
      <c r="L544" s="5">
        <f>20 / 86400</f>
        <v>2.3148148148148149E-4</v>
      </c>
    </row>
    <row r="545" spans="1:12" x14ac:dyDescent="0.25">
      <c r="A545" s="3">
        <v>45708.896365740744</v>
      </c>
      <c r="B545" t="s">
        <v>158</v>
      </c>
      <c r="C545" s="3">
        <v>45708.896597222221</v>
      </c>
      <c r="D545" t="s">
        <v>384</v>
      </c>
      <c r="E545" s="4">
        <v>1.1265538871288299E-2</v>
      </c>
      <c r="F545" s="4">
        <v>349483.61489489581</v>
      </c>
      <c r="G545" s="4">
        <v>349483.62616043468</v>
      </c>
      <c r="H545" s="5">
        <f t="shared" si="8"/>
        <v>0</v>
      </c>
      <c r="I545" t="s">
        <v>145</v>
      </c>
      <c r="J545" t="s">
        <v>136</v>
      </c>
      <c r="K545" s="5">
        <f>20 / 86400</f>
        <v>2.3148148148148149E-4</v>
      </c>
      <c r="L545" s="5">
        <f>40 / 86400</f>
        <v>4.6296296296296298E-4</v>
      </c>
    </row>
    <row r="546" spans="1:12" x14ac:dyDescent="0.25">
      <c r="A546" s="3">
        <v>45708.897060185191</v>
      </c>
      <c r="B546" t="s">
        <v>384</v>
      </c>
      <c r="C546" s="3">
        <v>45708.897291666668</v>
      </c>
      <c r="D546" t="s">
        <v>158</v>
      </c>
      <c r="E546" s="4">
        <v>9.9360271096229549E-3</v>
      </c>
      <c r="F546" s="4">
        <v>349483.6360771085</v>
      </c>
      <c r="G546" s="4">
        <v>349483.64601313561</v>
      </c>
      <c r="H546" s="5">
        <f t="shared" si="8"/>
        <v>0</v>
      </c>
      <c r="I546" t="s">
        <v>136</v>
      </c>
      <c r="J546" t="s">
        <v>136</v>
      </c>
      <c r="K546" s="5">
        <f>20 / 86400</f>
        <v>2.3148148148148149E-4</v>
      </c>
      <c r="L546" s="5">
        <f>20 / 86400</f>
        <v>2.3148148148148149E-4</v>
      </c>
    </row>
    <row r="547" spans="1:12" x14ac:dyDescent="0.25">
      <c r="A547" s="3">
        <v>45708.897523148145</v>
      </c>
      <c r="B547" t="s">
        <v>158</v>
      </c>
      <c r="C547" s="3">
        <v>45708.89775462963</v>
      </c>
      <c r="D547" t="s">
        <v>158</v>
      </c>
      <c r="E547" s="4">
        <v>4.3001883149147033E-2</v>
      </c>
      <c r="F547" s="4">
        <v>349483.6475819223</v>
      </c>
      <c r="G547" s="4">
        <v>349483.69058380544</v>
      </c>
      <c r="H547" s="5">
        <f t="shared" si="8"/>
        <v>0</v>
      </c>
      <c r="I547" t="s">
        <v>55</v>
      </c>
      <c r="J547" t="s">
        <v>168</v>
      </c>
      <c r="K547" s="5">
        <f>20 / 86400</f>
        <v>2.3148148148148149E-4</v>
      </c>
      <c r="L547" s="5">
        <f>20 / 86400</f>
        <v>2.3148148148148149E-4</v>
      </c>
    </row>
    <row r="548" spans="1:12" x14ac:dyDescent="0.25">
      <c r="A548" s="3">
        <v>45708.897986111115</v>
      </c>
      <c r="B548" t="s">
        <v>158</v>
      </c>
      <c r="C548" s="3">
        <v>45708.89944444444</v>
      </c>
      <c r="D548" t="s">
        <v>346</v>
      </c>
      <c r="E548" s="4">
        <v>0.46053255140781402</v>
      </c>
      <c r="F548" s="4">
        <v>349483.70466939622</v>
      </c>
      <c r="G548" s="4">
        <v>349484.16520194762</v>
      </c>
      <c r="H548" s="5">
        <f t="shared" si="8"/>
        <v>0</v>
      </c>
      <c r="I548" t="s">
        <v>54</v>
      </c>
      <c r="J548" t="s">
        <v>29</v>
      </c>
      <c r="K548" s="5">
        <f>126 / 86400</f>
        <v>1.4583333333333334E-3</v>
      </c>
      <c r="L548" s="5">
        <f>20 / 86400</f>
        <v>2.3148148148148149E-4</v>
      </c>
    </row>
    <row r="549" spans="1:12" x14ac:dyDescent="0.25">
      <c r="A549" s="3">
        <v>45708.899675925924</v>
      </c>
      <c r="B549" t="s">
        <v>346</v>
      </c>
      <c r="C549" s="3">
        <v>45708.900138888886</v>
      </c>
      <c r="D549" t="s">
        <v>165</v>
      </c>
      <c r="E549" s="4">
        <v>7.572162252664566E-2</v>
      </c>
      <c r="F549" s="4">
        <v>349484.17156143748</v>
      </c>
      <c r="G549" s="4">
        <v>349484.24728305999</v>
      </c>
      <c r="H549" s="5">
        <f t="shared" si="8"/>
        <v>0</v>
      </c>
      <c r="I549" t="s">
        <v>26</v>
      </c>
      <c r="J549" t="s">
        <v>26</v>
      </c>
      <c r="K549" s="5">
        <f>40 / 86400</f>
        <v>4.6296296296296298E-4</v>
      </c>
      <c r="L549" s="5">
        <f>40 / 86400</f>
        <v>4.6296296296296298E-4</v>
      </c>
    </row>
    <row r="550" spans="1:12" x14ac:dyDescent="0.25">
      <c r="A550" s="3">
        <v>45708.900601851856</v>
      </c>
      <c r="B550" t="s">
        <v>165</v>
      </c>
      <c r="C550" s="3">
        <v>45708.907986111109</v>
      </c>
      <c r="D550" t="s">
        <v>78</v>
      </c>
      <c r="E550" s="4">
        <v>3.8849362587332728</v>
      </c>
      <c r="F550" s="4">
        <v>349484.26261263434</v>
      </c>
      <c r="G550" s="4">
        <v>349488.14754889312</v>
      </c>
      <c r="H550" s="5">
        <f t="shared" si="8"/>
        <v>0</v>
      </c>
      <c r="I550" t="s">
        <v>161</v>
      </c>
      <c r="J550" t="s">
        <v>148</v>
      </c>
      <c r="K550" s="5">
        <f>638 / 86400</f>
        <v>7.3842592592592597E-3</v>
      </c>
      <c r="L550" s="5">
        <f>20 / 86400</f>
        <v>2.3148148148148149E-4</v>
      </c>
    </row>
    <row r="551" spans="1:12" x14ac:dyDescent="0.25">
      <c r="A551" s="3">
        <v>45708.908217592594</v>
      </c>
      <c r="B551" t="s">
        <v>78</v>
      </c>
      <c r="C551" s="3">
        <v>45708.91006944445</v>
      </c>
      <c r="D551" t="s">
        <v>350</v>
      </c>
      <c r="E551" s="4">
        <v>0.36457609122991563</v>
      </c>
      <c r="F551" s="4">
        <v>349488.15110274713</v>
      </c>
      <c r="G551" s="4">
        <v>349488.51567883836</v>
      </c>
      <c r="H551" s="5">
        <f t="shared" si="8"/>
        <v>0</v>
      </c>
      <c r="I551" t="s">
        <v>97</v>
      </c>
      <c r="J551" t="s">
        <v>168</v>
      </c>
      <c r="K551" s="5">
        <f>160 / 86400</f>
        <v>1.8518518518518519E-3</v>
      </c>
      <c r="L551" s="5">
        <f>20 / 86400</f>
        <v>2.3148148148148149E-4</v>
      </c>
    </row>
    <row r="552" spans="1:12" x14ac:dyDescent="0.25">
      <c r="A552" s="3">
        <v>45708.910300925927</v>
      </c>
      <c r="B552" t="s">
        <v>350</v>
      </c>
      <c r="C552" s="3">
        <v>45708.910625000004</v>
      </c>
      <c r="D552" t="s">
        <v>350</v>
      </c>
      <c r="E552" s="4">
        <v>2.3762711644172669E-2</v>
      </c>
      <c r="F552" s="4">
        <v>349488.52323192963</v>
      </c>
      <c r="G552" s="4">
        <v>349488.54699464131</v>
      </c>
      <c r="H552" s="5">
        <f t="shared" si="8"/>
        <v>0</v>
      </c>
      <c r="I552" t="s">
        <v>32</v>
      </c>
      <c r="J552" t="s">
        <v>135</v>
      </c>
      <c r="K552" s="5">
        <f>28 / 86400</f>
        <v>3.2407407407407406E-4</v>
      </c>
      <c r="L552" s="5">
        <f>20 / 86400</f>
        <v>2.3148148148148149E-4</v>
      </c>
    </row>
    <row r="553" spans="1:12" x14ac:dyDescent="0.25">
      <c r="A553" s="3">
        <v>45708.910856481481</v>
      </c>
      <c r="B553" t="s">
        <v>350</v>
      </c>
      <c r="C553" s="3">
        <v>45708.911643518513</v>
      </c>
      <c r="D553" t="s">
        <v>78</v>
      </c>
      <c r="E553" s="4">
        <v>9.0438527226448059E-2</v>
      </c>
      <c r="F553" s="4">
        <v>349488.56419675739</v>
      </c>
      <c r="G553" s="4">
        <v>349488.65463528462</v>
      </c>
      <c r="H553" s="5">
        <f t="shared" si="8"/>
        <v>0</v>
      </c>
      <c r="I553" t="s">
        <v>32</v>
      </c>
      <c r="J553" t="s">
        <v>55</v>
      </c>
      <c r="K553" s="5">
        <f>68 / 86400</f>
        <v>7.8703703703703705E-4</v>
      </c>
      <c r="L553" s="5">
        <f>46 / 86400</f>
        <v>5.3240740740740744E-4</v>
      </c>
    </row>
    <row r="554" spans="1:12" x14ac:dyDescent="0.25">
      <c r="A554" s="3">
        <v>45708.912175925929</v>
      </c>
      <c r="B554" t="s">
        <v>78</v>
      </c>
      <c r="C554" s="3">
        <v>45708.912638888884</v>
      </c>
      <c r="D554" t="s">
        <v>78</v>
      </c>
      <c r="E554" s="4">
        <v>6.5246173501014706E-2</v>
      </c>
      <c r="F554" s="4">
        <v>349488.66707793844</v>
      </c>
      <c r="G554" s="4">
        <v>349488.73232411192</v>
      </c>
      <c r="H554" s="5">
        <f t="shared" si="8"/>
        <v>0</v>
      </c>
      <c r="I554" t="s">
        <v>26</v>
      </c>
      <c r="J554" t="s">
        <v>32</v>
      </c>
      <c r="K554" s="5">
        <f>40 / 86400</f>
        <v>4.6296296296296298E-4</v>
      </c>
      <c r="L554" s="5">
        <f>37 / 86400</f>
        <v>4.2824074074074075E-4</v>
      </c>
    </row>
    <row r="555" spans="1:12" x14ac:dyDescent="0.25">
      <c r="A555" s="3">
        <v>45708.91306712963</v>
      </c>
      <c r="B555" t="s">
        <v>78</v>
      </c>
      <c r="C555" s="3">
        <v>45708.913298611107</v>
      </c>
      <c r="D555" t="s">
        <v>78</v>
      </c>
      <c r="E555" s="4">
        <v>6.787352621555328E-3</v>
      </c>
      <c r="F555" s="4">
        <v>349488.75345693942</v>
      </c>
      <c r="G555" s="4">
        <v>349488.76024429203</v>
      </c>
      <c r="H555" s="5">
        <f t="shared" si="8"/>
        <v>0</v>
      </c>
      <c r="I555" t="s">
        <v>55</v>
      </c>
      <c r="J555" t="s">
        <v>145</v>
      </c>
      <c r="K555" s="5">
        <f>20 / 86400</f>
        <v>2.3148148148148149E-4</v>
      </c>
      <c r="L555" s="5">
        <f>40 / 86400</f>
        <v>4.6296296296296298E-4</v>
      </c>
    </row>
    <row r="556" spans="1:12" x14ac:dyDescent="0.25">
      <c r="A556" s="3">
        <v>45708.913761574076</v>
      </c>
      <c r="B556" t="s">
        <v>78</v>
      </c>
      <c r="C556" s="3">
        <v>45708.916770833333</v>
      </c>
      <c r="D556" t="s">
        <v>78</v>
      </c>
      <c r="E556" s="4">
        <v>1.6772793526053429</v>
      </c>
      <c r="F556" s="4">
        <v>349488.76634958433</v>
      </c>
      <c r="G556" s="4">
        <v>349490.44362893695</v>
      </c>
      <c r="H556" s="5">
        <f t="shared" si="8"/>
        <v>0</v>
      </c>
      <c r="I556" t="s">
        <v>25</v>
      </c>
      <c r="J556" t="s">
        <v>144</v>
      </c>
      <c r="K556" s="5">
        <f>260 / 86400</f>
        <v>3.0092592592592593E-3</v>
      </c>
      <c r="L556" s="5">
        <f>12 / 86400</f>
        <v>1.3888888888888889E-4</v>
      </c>
    </row>
    <row r="557" spans="1:12" x14ac:dyDescent="0.25">
      <c r="A557" s="3">
        <v>45708.916909722218</v>
      </c>
      <c r="B557" t="s">
        <v>78</v>
      </c>
      <c r="C557" s="3">
        <v>45708.920844907407</v>
      </c>
      <c r="D557" t="s">
        <v>268</v>
      </c>
      <c r="E557" s="4">
        <v>2.8774325359463693</v>
      </c>
      <c r="F557" s="4">
        <v>349490.44628276228</v>
      </c>
      <c r="G557" s="4">
        <v>349493.32371529826</v>
      </c>
      <c r="H557" s="5">
        <f t="shared" si="8"/>
        <v>0</v>
      </c>
      <c r="I557" t="s">
        <v>177</v>
      </c>
      <c r="J557" t="s">
        <v>54</v>
      </c>
      <c r="K557" s="5">
        <f>340 / 86400</f>
        <v>3.9351851851851848E-3</v>
      </c>
      <c r="L557" s="5">
        <f>60 / 86400</f>
        <v>6.9444444444444447E-4</v>
      </c>
    </row>
    <row r="558" spans="1:12" x14ac:dyDescent="0.25">
      <c r="A558" s="3">
        <v>45708.921539351853</v>
      </c>
      <c r="B558" t="s">
        <v>176</v>
      </c>
      <c r="C558" s="3">
        <v>45708.923252314809</v>
      </c>
      <c r="D558" t="s">
        <v>289</v>
      </c>
      <c r="E558" s="4">
        <v>0.8018257092237473</v>
      </c>
      <c r="F558" s="4">
        <v>349493.3460440521</v>
      </c>
      <c r="G558" s="4">
        <v>349494.14786976133</v>
      </c>
      <c r="H558" s="5">
        <f t="shared" si="8"/>
        <v>0</v>
      </c>
      <c r="I558" t="s">
        <v>159</v>
      </c>
      <c r="J558" t="s">
        <v>131</v>
      </c>
      <c r="K558" s="5">
        <f>148 / 86400</f>
        <v>1.712962962962963E-3</v>
      </c>
      <c r="L558" s="5">
        <f>12 / 86400</f>
        <v>1.3888888888888889E-4</v>
      </c>
    </row>
    <row r="559" spans="1:12" x14ac:dyDescent="0.25">
      <c r="A559" s="3">
        <v>45708.923391203702</v>
      </c>
      <c r="B559" t="s">
        <v>289</v>
      </c>
      <c r="C559" s="3">
        <v>45708.926921296297</v>
      </c>
      <c r="D559" t="s">
        <v>186</v>
      </c>
      <c r="E559" s="4">
        <v>2.4832029577493668</v>
      </c>
      <c r="F559" s="4">
        <v>349494.15141909511</v>
      </c>
      <c r="G559" s="4">
        <v>349496.63462205284</v>
      </c>
      <c r="H559" s="5">
        <f t="shared" si="8"/>
        <v>0</v>
      </c>
      <c r="I559" t="s">
        <v>241</v>
      </c>
      <c r="J559" t="s">
        <v>217</v>
      </c>
      <c r="K559" s="5">
        <f>305 / 86400</f>
        <v>3.5300925925925925E-3</v>
      </c>
      <c r="L559" s="5">
        <f>100 / 86400</f>
        <v>1.1574074074074073E-3</v>
      </c>
    </row>
    <row r="560" spans="1:12" x14ac:dyDescent="0.25">
      <c r="A560" s="3">
        <v>45708.928078703699</v>
      </c>
      <c r="B560" t="s">
        <v>188</v>
      </c>
      <c r="C560" s="3">
        <v>45708.928773148145</v>
      </c>
      <c r="D560" t="s">
        <v>87</v>
      </c>
      <c r="E560" s="4">
        <v>0.56011964124441149</v>
      </c>
      <c r="F560" s="4">
        <v>349496.67159380054</v>
      </c>
      <c r="G560" s="4">
        <v>349497.23171344178</v>
      </c>
      <c r="H560" s="5">
        <f t="shared" si="8"/>
        <v>0</v>
      </c>
      <c r="I560" t="s">
        <v>244</v>
      </c>
      <c r="J560" t="s">
        <v>160</v>
      </c>
      <c r="K560" s="5">
        <f>60 / 86400</f>
        <v>6.9444444444444447E-4</v>
      </c>
      <c r="L560" s="5">
        <f>20 / 86400</f>
        <v>2.3148148148148149E-4</v>
      </c>
    </row>
    <row r="561" spans="1:12" x14ac:dyDescent="0.25">
      <c r="A561" s="3">
        <v>45708.92900462963</v>
      </c>
      <c r="B561" t="s">
        <v>87</v>
      </c>
      <c r="C561" s="3">
        <v>45708.931087962963</v>
      </c>
      <c r="D561" t="s">
        <v>87</v>
      </c>
      <c r="E561" s="4">
        <v>1.812254569530487</v>
      </c>
      <c r="F561" s="4">
        <v>349497.34394122759</v>
      </c>
      <c r="G561" s="4">
        <v>349499.15619579714</v>
      </c>
      <c r="H561" s="5">
        <f t="shared" si="8"/>
        <v>0</v>
      </c>
      <c r="I561" t="s">
        <v>177</v>
      </c>
      <c r="J561" t="s">
        <v>139</v>
      </c>
      <c r="K561" s="5">
        <f>180 / 86400</f>
        <v>2.0833333333333333E-3</v>
      </c>
      <c r="L561" s="5">
        <f>20 / 86400</f>
        <v>2.3148148148148149E-4</v>
      </c>
    </row>
    <row r="562" spans="1:12" x14ac:dyDescent="0.25">
      <c r="A562" s="3">
        <v>45708.93131944444</v>
      </c>
      <c r="B562" t="s">
        <v>184</v>
      </c>
      <c r="C562" s="3">
        <v>45708.934560185182</v>
      </c>
      <c r="D562" t="s">
        <v>385</v>
      </c>
      <c r="E562" s="4">
        <v>2.7088338084220887</v>
      </c>
      <c r="F562" s="4">
        <v>349499.19339039311</v>
      </c>
      <c r="G562" s="4">
        <v>349501.90222420148</v>
      </c>
      <c r="H562" s="5">
        <f t="shared" si="8"/>
        <v>0</v>
      </c>
      <c r="I562" t="s">
        <v>147</v>
      </c>
      <c r="J562" t="s">
        <v>178</v>
      </c>
      <c r="K562" s="5">
        <f>280 / 86400</f>
        <v>3.2407407407407406E-3</v>
      </c>
      <c r="L562" s="5">
        <f>20 / 86400</f>
        <v>2.3148148148148149E-4</v>
      </c>
    </row>
    <row r="563" spans="1:12" x14ac:dyDescent="0.25">
      <c r="A563" s="3">
        <v>45708.934791666667</v>
      </c>
      <c r="B563" t="s">
        <v>274</v>
      </c>
      <c r="C563" s="3">
        <v>45708.9371875</v>
      </c>
      <c r="D563" t="s">
        <v>386</v>
      </c>
      <c r="E563" s="4">
        <v>1.2186246205568314</v>
      </c>
      <c r="F563" s="4">
        <v>349502.00024026638</v>
      </c>
      <c r="G563" s="4">
        <v>349503.21886488696</v>
      </c>
      <c r="H563" s="5">
        <f t="shared" si="8"/>
        <v>0</v>
      </c>
      <c r="I563" t="s">
        <v>201</v>
      </c>
      <c r="J563" t="s">
        <v>38</v>
      </c>
      <c r="K563" s="5">
        <f>207 / 86400</f>
        <v>2.3958333333333331E-3</v>
      </c>
      <c r="L563" s="5">
        <f>654 / 86400</f>
        <v>7.5694444444444446E-3</v>
      </c>
    </row>
    <row r="564" spans="1:12" x14ac:dyDescent="0.25">
      <c r="A564" s="3">
        <v>45708.944756944446</v>
      </c>
      <c r="B564" t="s">
        <v>386</v>
      </c>
      <c r="C564" s="3">
        <v>45708.947152777779</v>
      </c>
      <c r="D564" t="s">
        <v>182</v>
      </c>
      <c r="E564" s="4">
        <v>1.5168785065412522</v>
      </c>
      <c r="F564" s="4">
        <v>349503.23087621521</v>
      </c>
      <c r="G564" s="4">
        <v>349504.74775472179</v>
      </c>
      <c r="H564" s="5">
        <f t="shared" si="8"/>
        <v>0</v>
      </c>
      <c r="I564" t="s">
        <v>207</v>
      </c>
      <c r="J564" t="s">
        <v>189</v>
      </c>
      <c r="K564" s="5">
        <f>207 / 86400</f>
        <v>2.3958333333333331E-3</v>
      </c>
      <c r="L564" s="5">
        <f>20 / 86400</f>
        <v>2.3148148148148149E-4</v>
      </c>
    </row>
    <row r="565" spans="1:12" x14ac:dyDescent="0.25">
      <c r="A565" s="3">
        <v>45708.947384259256</v>
      </c>
      <c r="B565" t="s">
        <v>182</v>
      </c>
      <c r="C565" s="3">
        <v>45708.948078703703</v>
      </c>
      <c r="D565" t="s">
        <v>183</v>
      </c>
      <c r="E565" s="4">
        <v>0.52920845955610274</v>
      </c>
      <c r="F565" s="4">
        <v>349504.89187795715</v>
      </c>
      <c r="G565" s="4">
        <v>349505.4210864167</v>
      </c>
      <c r="H565" s="5">
        <f t="shared" si="8"/>
        <v>0</v>
      </c>
      <c r="I565" t="s">
        <v>104</v>
      </c>
      <c r="J565" t="s">
        <v>164</v>
      </c>
      <c r="K565" s="5">
        <f>60 / 86400</f>
        <v>6.9444444444444447E-4</v>
      </c>
      <c r="L565" s="5">
        <f>20 / 86400</f>
        <v>2.3148148148148149E-4</v>
      </c>
    </row>
    <row r="566" spans="1:12" x14ac:dyDescent="0.25">
      <c r="A566" s="3">
        <v>45708.94831018518</v>
      </c>
      <c r="B566" t="s">
        <v>183</v>
      </c>
      <c r="C566" s="3">
        <v>45708.953402777777</v>
      </c>
      <c r="D566" t="s">
        <v>188</v>
      </c>
      <c r="E566" s="4">
        <v>3.8788357233405115</v>
      </c>
      <c r="F566" s="4">
        <v>349505.44120225462</v>
      </c>
      <c r="G566" s="4">
        <v>349509.32003797794</v>
      </c>
      <c r="H566" s="5">
        <f t="shared" si="8"/>
        <v>0</v>
      </c>
      <c r="I566" t="s">
        <v>207</v>
      </c>
      <c r="J566" t="s">
        <v>164</v>
      </c>
      <c r="K566" s="5">
        <f>440 / 86400</f>
        <v>5.092592592592593E-3</v>
      </c>
      <c r="L566" s="5">
        <f>100 / 86400</f>
        <v>1.1574074074074073E-3</v>
      </c>
    </row>
    <row r="567" spans="1:12" x14ac:dyDescent="0.25">
      <c r="A567" s="3">
        <v>45708.954560185186</v>
      </c>
      <c r="B567" t="s">
        <v>188</v>
      </c>
      <c r="C567" s="3">
        <v>45708.954791666663</v>
      </c>
      <c r="D567" t="s">
        <v>387</v>
      </c>
      <c r="E567" s="4">
        <v>2.4860047101974486E-3</v>
      </c>
      <c r="F567" s="4">
        <v>349509.33115362289</v>
      </c>
      <c r="G567" s="4">
        <v>349509.33363962756</v>
      </c>
      <c r="H567" s="5">
        <f t="shared" si="8"/>
        <v>0</v>
      </c>
      <c r="I567" t="s">
        <v>145</v>
      </c>
      <c r="J567" t="s">
        <v>22</v>
      </c>
      <c r="K567" s="5">
        <f>20 / 86400</f>
        <v>2.3148148148148149E-4</v>
      </c>
      <c r="L567" s="5">
        <f>80 / 86400</f>
        <v>9.2592592592592596E-4</v>
      </c>
    </row>
    <row r="568" spans="1:12" x14ac:dyDescent="0.25">
      <c r="A568" s="3">
        <v>45708.955717592587</v>
      </c>
      <c r="B568" t="s">
        <v>188</v>
      </c>
      <c r="C568" s="3">
        <v>45708.956643518519</v>
      </c>
      <c r="D568" t="s">
        <v>186</v>
      </c>
      <c r="E568" s="4">
        <v>0.40925683134794233</v>
      </c>
      <c r="F568" s="4">
        <v>349509.34563074436</v>
      </c>
      <c r="G568" s="4">
        <v>349509.75488757569</v>
      </c>
      <c r="H568" s="5">
        <f t="shared" si="8"/>
        <v>0</v>
      </c>
      <c r="I568" t="s">
        <v>217</v>
      </c>
      <c r="J568" t="s">
        <v>34</v>
      </c>
      <c r="K568" s="5">
        <f>80 / 86400</f>
        <v>9.2592592592592596E-4</v>
      </c>
      <c r="L568" s="5">
        <f>20 / 86400</f>
        <v>2.3148148148148149E-4</v>
      </c>
    </row>
    <row r="569" spans="1:12" x14ac:dyDescent="0.25">
      <c r="A569" s="3">
        <v>45708.956875000003</v>
      </c>
      <c r="B569" t="s">
        <v>271</v>
      </c>
      <c r="C569" s="3">
        <v>45708.960347222222</v>
      </c>
      <c r="D569" t="s">
        <v>191</v>
      </c>
      <c r="E569" s="4">
        <v>2.8658863503336907</v>
      </c>
      <c r="F569" s="4">
        <v>349509.7998782387</v>
      </c>
      <c r="G569" s="4">
        <v>349512.66576458904</v>
      </c>
      <c r="H569" s="5">
        <f t="shared" si="8"/>
        <v>0</v>
      </c>
      <c r="I569" t="s">
        <v>90</v>
      </c>
      <c r="J569" t="s">
        <v>160</v>
      </c>
      <c r="K569" s="5">
        <f>300 / 86400</f>
        <v>3.472222222222222E-3</v>
      </c>
      <c r="L569" s="5">
        <f>67 / 86400</f>
        <v>7.7546296296296293E-4</v>
      </c>
    </row>
    <row r="570" spans="1:12" x14ac:dyDescent="0.25">
      <c r="A570" s="3">
        <v>45708.961122685185</v>
      </c>
      <c r="B570" t="s">
        <v>191</v>
      </c>
      <c r="C570" s="3">
        <v>45708.962280092594</v>
      </c>
      <c r="D570" t="s">
        <v>191</v>
      </c>
      <c r="E570" s="4">
        <v>0.93272122675180436</v>
      </c>
      <c r="F570" s="4">
        <v>349512.67838425492</v>
      </c>
      <c r="G570" s="4">
        <v>349513.61110548169</v>
      </c>
      <c r="H570" s="5">
        <f t="shared" si="8"/>
        <v>0</v>
      </c>
      <c r="I570" t="s">
        <v>180</v>
      </c>
      <c r="J570" t="s">
        <v>160</v>
      </c>
      <c r="K570" s="5">
        <f>100 / 86400</f>
        <v>1.1574074074074073E-3</v>
      </c>
      <c r="L570" s="5">
        <f>44 / 86400</f>
        <v>5.0925925925925921E-4</v>
      </c>
    </row>
    <row r="571" spans="1:12" x14ac:dyDescent="0.25">
      <c r="A571" s="3">
        <v>45708.962789351848</v>
      </c>
      <c r="B571" t="s">
        <v>191</v>
      </c>
      <c r="C571" s="3">
        <v>45708.965798611112</v>
      </c>
      <c r="D571" t="s">
        <v>78</v>
      </c>
      <c r="E571" s="4">
        <v>2.6540235756039618</v>
      </c>
      <c r="F571" s="4">
        <v>349513.62078406761</v>
      </c>
      <c r="G571" s="4">
        <v>349516.27480764326</v>
      </c>
      <c r="H571" s="5">
        <f t="shared" si="8"/>
        <v>0</v>
      </c>
      <c r="I571" t="s">
        <v>179</v>
      </c>
      <c r="J571" t="s">
        <v>192</v>
      </c>
      <c r="K571" s="5">
        <f>260 / 86400</f>
        <v>3.0092592592592593E-3</v>
      </c>
      <c r="L571" s="5">
        <f>20 / 86400</f>
        <v>2.3148148148148149E-4</v>
      </c>
    </row>
    <row r="572" spans="1:12" x14ac:dyDescent="0.25">
      <c r="A572" s="3">
        <v>45708.96603009259</v>
      </c>
      <c r="B572" t="s">
        <v>78</v>
      </c>
      <c r="C572" s="3">
        <v>45708.967187499999</v>
      </c>
      <c r="D572" t="s">
        <v>388</v>
      </c>
      <c r="E572" s="4">
        <v>0.84684862887859347</v>
      </c>
      <c r="F572" s="4">
        <v>349516.35894812044</v>
      </c>
      <c r="G572" s="4">
        <v>349517.20579674927</v>
      </c>
      <c r="H572" s="5">
        <f t="shared" si="8"/>
        <v>0</v>
      </c>
      <c r="I572" t="s">
        <v>139</v>
      </c>
      <c r="J572" t="s">
        <v>54</v>
      </c>
      <c r="K572" s="5">
        <f>100 / 86400</f>
        <v>1.1574074074074073E-3</v>
      </c>
      <c r="L572" s="5">
        <f>100 / 86400</f>
        <v>1.1574074074074073E-3</v>
      </c>
    </row>
    <row r="573" spans="1:12" x14ac:dyDescent="0.25">
      <c r="A573" s="3">
        <v>45708.968344907407</v>
      </c>
      <c r="B573" t="s">
        <v>388</v>
      </c>
      <c r="C573" s="3">
        <v>45708.968576388885</v>
      </c>
      <c r="D573" t="s">
        <v>388</v>
      </c>
      <c r="E573" s="4">
        <v>1.4590204954147339E-3</v>
      </c>
      <c r="F573" s="4">
        <v>349517.23799306218</v>
      </c>
      <c r="G573" s="4">
        <v>349517.23945208272</v>
      </c>
      <c r="H573" s="5">
        <f t="shared" si="8"/>
        <v>0</v>
      </c>
      <c r="I573" t="s">
        <v>145</v>
      </c>
      <c r="J573" t="s">
        <v>22</v>
      </c>
      <c r="K573" s="5">
        <f>20 / 86400</f>
        <v>2.3148148148148149E-4</v>
      </c>
      <c r="L573" s="5">
        <f>40 / 86400</f>
        <v>4.6296296296296298E-4</v>
      </c>
    </row>
    <row r="574" spans="1:12" x14ac:dyDescent="0.25">
      <c r="A574" s="3">
        <v>45708.969039351854</v>
      </c>
      <c r="B574" t="s">
        <v>388</v>
      </c>
      <c r="C574" s="3">
        <v>45708.969953703709</v>
      </c>
      <c r="D574" t="s">
        <v>78</v>
      </c>
      <c r="E574" s="4">
        <v>0.52768011152744299</v>
      </c>
      <c r="F574" s="4">
        <v>349517.24605895637</v>
      </c>
      <c r="G574" s="4">
        <v>349517.7737390679</v>
      </c>
      <c r="H574" s="5">
        <f t="shared" si="8"/>
        <v>0</v>
      </c>
      <c r="I574" t="s">
        <v>201</v>
      </c>
      <c r="J574" t="s">
        <v>157</v>
      </c>
      <c r="K574" s="5">
        <f>79 / 86400</f>
        <v>9.1435185185185185E-4</v>
      </c>
      <c r="L574" s="5">
        <f>20 / 86400</f>
        <v>2.3148148148148149E-4</v>
      </c>
    </row>
    <row r="575" spans="1:12" x14ac:dyDescent="0.25">
      <c r="A575" s="3">
        <v>45708.970185185186</v>
      </c>
      <c r="B575" t="s">
        <v>78</v>
      </c>
      <c r="C575" s="3">
        <v>45708.971574074079</v>
      </c>
      <c r="D575" t="s">
        <v>98</v>
      </c>
      <c r="E575" s="4">
        <v>1.257167995095253</v>
      </c>
      <c r="F575" s="4">
        <v>349517.77776877588</v>
      </c>
      <c r="G575" s="4">
        <v>349519.03493677097</v>
      </c>
      <c r="H575" s="5">
        <f t="shared" si="8"/>
        <v>0</v>
      </c>
      <c r="I575" t="s">
        <v>185</v>
      </c>
      <c r="J575" t="s">
        <v>140</v>
      </c>
      <c r="K575" s="5">
        <f>120 / 86400</f>
        <v>1.3888888888888889E-3</v>
      </c>
      <c r="L575" s="5">
        <f>20 / 86400</f>
        <v>2.3148148148148149E-4</v>
      </c>
    </row>
    <row r="576" spans="1:12" x14ac:dyDescent="0.25">
      <c r="A576" s="3">
        <v>45708.971805555557</v>
      </c>
      <c r="B576" t="s">
        <v>98</v>
      </c>
      <c r="C576" s="3">
        <v>45708.972037037034</v>
      </c>
      <c r="D576" t="s">
        <v>98</v>
      </c>
      <c r="E576" s="4">
        <v>7.2294545173645017E-3</v>
      </c>
      <c r="F576" s="4">
        <v>349519.05186501244</v>
      </c>
      <c r="G576" s="4">
        <v>349519.05909446697</v>
      </c>
      <c r="H576" s="5">
        <f t="shared" si="8"/>
        <v>0</v>
      </c>
      <c r="I576" t="s">
        <v>26</v>
      </c>
      <c r="J576" t="s">
        <v>145</v>
      </c>
      <c r="K576" s="5">
        <f>20 / 86400</f>
        <v>2.3148148148148149E-4</v>
      </c>
      <c r="L576" s="5">
        <f>20 / 86400</f>
        <v>2.3148148148148149E-4</v>
      </c>
    </row>
    <row r="577" spans="1:12" x14ac:dyDescent="0.25">
      <c r="A577" s="3">
        <v>45708.972268518519</v>
      </c>
      <c r="B577" t="s">
        <v>98</v>
      </c>
      <c r="C577" s="3">
        <v>45708.977997685186</v>
      </c>
      <c r="D577" t="s">
        <v>389</v>
      </c>
      <c r="E577" s="4">
        <v>3.1045114130377769</v>
      </c>
      <c r="F577" s="4">
        <v>349519.17433049512</v>
      </c>
      <c r="G577" s="4">
        <v>349522.27884190815</v>
      </c>
      <c r="H577" s="5">
        <f t="shared" si="8"/>
        <v>0</v>
      </c>
      <c r="I577" t="s">
        <v>207</v>
      </c>
      <c r="J577" t="s">
        <v>144</v>
      </c>
      <c r="K577" s="5">
        <f>495 / 86400</f>
        <v>5.7291666666666663E-3</v>
      </c>
      <c r="L577" s="5">
        <f>160 / 86400</f>
        <v>1.8518518518518519E-3</v>
      </c>
    </row>
    <row r="578" spans="1:12" x14ac:dyDescent="0.25">
      <c r="A578" s="3">
        <v>45708.979849537034</v>
      </c>
      <c r="B578" t="s">
        <v>389</v>
      </c>
      <c r="C578" s="3">
        <v>45708.981712962966</v>
      </c>
      <c r="D578" t="s">
        <v>158</v>
      </c>
      <c r="E578" s="4">
        <v>0.94022365081310277</v>
      </c>
      <c r="F578" s="4">
        <v>349522.32560482586</v>
      </c>
      <c r="G578" s="4">
        <v>349523.26582847669</v>
      </c>
      <c r="H578" s="5">
        <f t="shared" si="8"/>
        <v>0</v>
      </c>
      <c r="I578" t="s">
        <v>180</v>
      </c>
      <c r="J578" t="s">
        <v>38</v>
      </c>
      <c r="K578" s="5">
        <f>161 / 86400</f>
        <v>1.8634259259259259E-3</v>
      </c>
      <c r="L578" s="5">
        <f>10 / 86400</f>
        <v>1.1574074074074075E-4</v>
      </c>
    </row>
    <row r="579" spans="1:12" x14ac:dyDescent="0.25">
      <c r="A579" s="3">
        <v>45708.981828703705</v>
      </c>
      <c r="B579" t="s">
        <v>158</v>
      </c>
      <c r="C579" s="3">
        <v>45708.982291666667</v>
      </c>
      <c r="D579" t="s">
        <v>158</v>
      </c>
      <c r="E579" s="4">
        <v>0.23573882144689559</v>
      </c>
      <c r="F579" s="4">
        <v>349523.27108784049</v>
      </c>
      <c r="G579" s="4">
        <v>349523.50682666193</v>
      </c>
      <c r="H579" s="5">
        <f t="shared" si="8"/>
        <v>0</v>
      </c>
      <c r="I579" t="s">
        <v>139</v>
      </c>
      <c r="J579" t="s">
        <v>38</v>
      </c>
      <c r="K579" s="5">
        <f>40 / 86400</f>
        <v>4.6296296296296298E-4</v>
      </c>
      <c r="L579" s="5">
        <f>20 / 86400</f>
        <v>2.3148148148148149E-4</v>
      </c>
    </row>
    <row r="580" spans="1:12" x14ac:dyDescent="0.25">
      <c r="A580" s="3">
        <v>45708.982523148152</v>
      </c>
      <c r="B580" t="s">
        <v>158</v>
      </c>
      <c r="C580" s="3">
        <v>45708.983680555553</v>
      </c>
      <c r="D580" t="s">
        <v>155</v>
      </c>
      <c r="E580" s="4">
        <v>1.098937602341175</v>
      </c>
      <c r="F580" s="4">
        <v>349523.59960415872</v>
      </c>
      <c r="G580" s="4">
        <v>349524.69854176103</v>
      </c>
      <c r="H580" s="5">
        <f t="shared" si="8"/>
        <v>0</v>
      </c>
      <c r="I580" t="s">
        <v>390</v>
      </c>
      <c r="J580" t="s">
        <v>201</v>
      </c>
      <c r="K580" s="5">
        <f>100 / 86400</f>
        <v>1.1574074074074073E-3</v>
      </c>
      <c r="L580" s="5">
        <f>20 / 86400</f>
        <v>2.3148148148148149E-4</v>
      </c>
    </row>
    <row r="581" spans="1:12" x14ac:dyDescent="0.25">
      <c r="A581" s="3">
        <v>45708.983912037038</v>
      </c>
      <c r="B581" t="s">
        <v>155</v>
      </c>
      <c r="C581" s="3">
        <v>45708.990208333329</v>
      </c>
      <c r="D581" t="s">
        <v>391</v>
      </c>
      <c r="E581" s="4">
        <v>4.613212600052357</v>
      </c>
      <c r="F581" s="4">
        <v>349524.70339526347</v>
      </c>
      <c r="G581" s="4">
        <v>349529.31660786353</v>
      </c>
      <c r="H581" s="5">
        <f t="shared" si="8"/>
        <v>0</v>
      </c>
      <c r="I581" t="s">
        <v>40</v>
      </c>
      <c r="J581" t="s">
        <v>134</v>
      </c>
      <c r="K581" s="5">
        <f>544 / 86400</f>
        <v>6.2962962962962964E-3</v>
      </c>
      <c r="L581" s="5">
        <f>13 / 86400</f>
        <v>1.5046296296296297E-4</v>
      </c>
    </row>
    <row r="582" spans="1:12" x14ac:dyDescent="0.25">
      <c r="A582" s="3">
        <v>45708.990358796298</v>
      </c>
      <c r="B582" t="s">
        <v>392</v>
      </c>
      <c r="C582" s="3">
        <v>45708.990902777776</v>
      </c>
      <c r="D582" t="s">
        <v>202</v>
      </c>
      <c r="E582" s="4">
        <v>8.6082736432552334E-2</v>
      </c>
      <c r="F582" s="4">
        <v>349529.33044814761</v>
      </c>
      <c r="G582" s="4">
        <v>349529.41653088405</v>
      </c>
      <c r="H582" s="5">
        <f t="shared" si="8"/>
        <v>0</v>
      </c>
      <c r="I582" t="s">
        <v>86</v>
      </c>
      <c r="J582" t="s">
        <v>26</v>
      </c>
      <c r="K582" s="5">
        <f>47 / 86400</f>
        <v>5.4398148148148144E-4</v>
      </c>
      <c r="L582" s="5">
        <f>20 / 86400</f>
        <v>2.3148148148148149E-4</v>
      </c>
    </row>
    <row r="583" spans="1:12" x14ac:dyDescent="0.25">
      <c r="A583" s="3">
        <v>45708.99113425926</v>
      </c>
      <c r="B583" t="s">
        <v>205</v>
      </c>
      <c r="C583" s="3">
        <v>45708.991979166662</v>
      </c>
      <c r="D583" t="s">
        <v>255</v>
      </c>
      <c r="E583" s="4">
        <v>0.24771734714508056</v>
      </c>
      <c r="F583" s="4">
        <v>349529.74317011848</v>
      </c>
      <c r="G583" s="4">
        <v>349529.99088746565</v>
      </c>
      <c r="H583" s="5">
        <f t="shared" si="8"/>
        <v>0</v>
      </c>
      <c r="I583" t="s">
        <v>31</v>
      </c>
      <c r="J583" t="s">
        <v>65</v>
      </c>
      <c r="K583" s="5">
        <f>73 / 86400</f>
        <v>8.4490740740740739E-4</v>
      </c>
      <c r="L583" s="5">
        <f>118 / 86400</f>
        <v>1.3657407407407407E-3</v>
      </c>
    </row>
    <row r="584" spans="1:12" x14ac:dyDescent="0.25">
      <c r="A584" s="3">
        <v>45708.993344907409</v>
      </c>
      <c r="B584" t="s">
        <v>36</v>
      </c>
      <c r="C584" s="3">
        <v>45708.993391203709</v>
      </c>
      <c r="D584" t="s">
        <v>36</v>
      </c>
      <c r="E584" s="4">
        <v>0</v>
      </c>
      <c r="F584" s="4">
        <v>349530.06437806069</v>
      </c>
      <c r="G584" s="4">
        <v>349530.06437806069</v>
      </c>
      <c r="H584" s="5">
        <f t="shared" si="8"/>
        <v>0</v>
      </c>
      <c r="I584" t="s">
        <v>32</v>
      </c>
      <c r="J584" t="s">
        <v>22</v>
      </c>
      <c r="K584" s="5">
        <f>4 / 86400</f>
        <v>4.6296296296296294E-5</v>
      </c>
      <c r="L584" s="5">
        <f>570 / 86400</f>
        <v>6.5972222222222222E-3</v>
      </c>
    </row>
    <row r="585" spans="1:1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s="10" customFormat="1" ht="20.100000000000001" customHeight="1" x14ac:dyDescent="0.35">
      <c r="A587" s="15" t="s">
        <v>477</v>
      </c>
      <c r="B587" s="15"/>
      <c r="C587" s="15"/>
      <c r="D587" s="15"/>
      <c r="E587" s="15"/>
      <c r="F587" s="15"/>
      <c r="G587" s="15"/>
      <c r="H587" s="15"/>
      <c r="I587" s="15"/>
      <c r="J587" s="15"/>
    </row>
    <row r="588" spans="1:1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2" ht="30" x14ac:dyDescent="0.25">
      <c r="A589" s="2" t="s">
        <v>6</v>
      </c>
      <c r="B589" s="2" t="s">
        <v>7</v>
      </c>
      <c r="C589" s="2" t="s">
        <v>8</v>
      </c>
      <c r="D589" s="2" t="s">
        <v>9</v>
      </c>
      <c r="E589" s="2" t="s">
        <v>10</v>
      </c>
      <c r="F589" s="2" t="s">
        <v>11</v>
      </c>
      <c r="G589" s="2" t="s">
        <v>12</v>
      </c>
      <c r="H589" s="2" t="s">
        <v>13</v>
      </c>
      <c r="I589" s="2" t="s">
        <v>14</v>
      </c>
      <c r="J589" s="2" t="s">
        <v>15</v>
      </c>
      <c r="K589" s="2" t="s">
        <v>16</v>
      </c>
      <c r="L589" s="2" t="s">
        <v>17</v>
      </c>
    </row>
    <row r="590" spans="1:12" x14ac:dyDescent="0.25">
      <c r="A590" s="3">
        <v>45708.170925925922</v>
      </c>
      <c r="B590" t="s">
        <v>39</v>
      </c>
      <c r="C590" s="3">
        <v>45708.239166666666</v>
      </c>
      <c r="D590" t="s">
        <v>225</v>
      </c>
      <c r="E590" s="4">
        <v>32.338000000000001</v>
      </c>
      <c r="F590" s="4">
        <v>485072.24400000001</v>
      </c>
      <c r="G590" s="4">
        <v>485104.58199999999</v>
      </c>
      <c r="H590" s="5">
        <f>1739 / 86400</f>
        <v>2.0127314814814813E-2</v>
      </c>
      <c r="I590" t="s">
        <v>40</v>
      </c>
      <c r="J590" t="s">
        <v>131</v>
      </c>
      <c r="K590" s="5">
        <f>5896 / 86400</f>
        <v>6.8240740740740741E-2</v>
      </c>
      <c r="L590" s="5">
        <f>14770 / 86400</f>
        <v>0.17094907407407409</v>
      </c>
    </row>
    <row r="591" spans="1:12" x14ac:dyDescent="0.25">
      <c r="A591" s="3">
        <v>45708.23918981482</v>
      </c>
      <c r="B591" t="s">
        <v>225</v>
      </c>
      <c r="C591" s="3">
        <v>45708.261481481481</v>
      </c>
      <c r="D591" t="s">
        <v>339</v>
      </c>
      <c r="E591" s="4">
        <v>6.5609999999999999</v>
      </c>
      <c r="F591" s="4">
        <v>485104.58199999999</v>
      </c>
      <c r="G591" s="4">
        <v>485111.14299999998</v>
      </c>
      <c r="H591" s="5">
        <f>672 / 86400</f>
        <v>7.7777777777777776E-3</v>
      </c>
      <c r="I591" t="s">
        <v>187</v>
      </c>
      <c r="J591" t="s">
        <v>65</v>
      </c>
      <c r="K591" s="5">
        <f>1926 / 86400</f>
        <v>2.2291666666666668E-2</v>
      </c>
      <c r="L591" s="5">
        <f>4 / 86400</f>
        <v>4.6296296296296294E-5</v>
      </c>
    </row>
    <row r="592" spans="1:12" x14ac:dyDescent="0.25">
      <c r="A592" s="3">
        <v>45708.26152777778</v>
      </c>
      <c r="B592" t="s">
        <v>339</v>
      </c>
      <c r="C592" s="3">
        <v>45708.268993055557</v>
      </c>
      <c r="D592" t="s">
        <v>251</v>
      </c>
      <c r="E592" s="4">
        <v>1.625</v>
      </c>
      <c r="F592" s="4">
        <v>485111.14299999998</v>
      </c>
      <c r="G592" s="4">
        <v>485112.76799999998</v>
      </c>
      <c r="H592" s="5">
        <f>239 / 86400</f>
        <v>2.7662037037037039E-3</v>
      </c>
      <c r="I592" t="s">
        <v>160</v>
      </c>
      <c r="J592" t="s">
        <v>137</v>
      </c>
      <c r="K592" s="5">
        <f>645 / 86400</f>
        <v>7.4652777777777781E-3</v>
      </c>
      <c r="L592" s="5">
        <f>4 / 86400</f>
        <v>4.6296296296296294E-5</v>
      </c>
    </row>
    <row r="593" spans="1:12" x14ac:dyDescent="0.25">
      <c r="A593" s="3">
        <v>45708.269039351857</v>
      </c>
      <c r="B593" t="s">
        <v>251</v>
      </c>
      <c r="C593" s="3">
        <v>45708.338888888888</v>
      </c>
      <c r="D593" t="s">
        <v>393</v>
      </c>
      <c r="E593" s="4">
        <v>37.158000000000001</v>
      </c>
      <c r="F593" s="4">
        <v>485112.76799999998</v>
      </c>
      <c r="G593" s="4">
        <v>485149.92599999998</v>
      </c>
      <c r="H593" s="5">
        <f>1301 / 86400</f>
        <v>1.5057870370370371E-2</v>
      </c>
      <c r="I593" t="s">
        <v>147</v>
      </c>
      <c r="J593" t="s">
        <v>148</v>
      </c>
      <c r="K593" s="5">
        <f>6035 / 86400</f>
        <v>6.9849537037037043E-2</v>
      </c>
      <c r="L593" s="5">
        <f>3 / 86400</f>
        <v>3.4722222222222222E-5</v>
      </c>
    </row>
    <row r="594" spans="1:12" x14ac:dyDescent="0.25">
      <c r="A594" s="3">
        <v>45708.338923611111</v>
      </c>
      <c r="B594" t="s">
        <v>393</v>
      </c>
      <c r="C594" s="3">
        <v>45708.352418981478</v>
      </c>
      <c r="D594" t="s">
        <v>121</v>
      </c>
      <c r="E594" s="4">
        <v>5.0439999999999996</v>
      </c>
      <c r="F594" s="4">
        <v>485149.92599999998</v>
      </c>
      <c r="G594" s="4">
        <v>485154.97</v>
      </c>
      <c r="H594" s="5">
        <f>160 / 86400</f>
        <v>1.8518518518518519E-3</v>
      </c>
      <c r="I594" t="s">
        <v>201</v>
      </c>
      <c r="J594" t="s">
        <v>49</v>
      </c>
      <c r="K594" s="5">
        <f>1166 / 86400</f>
        <v>1.3495370370370371E-2</v>
      </c>
      <c r="L594" s="5">
        <f>979 / 86400</f>
        <v>1.1331018518518518E-2</v>
      </c>
    </row>
    <row r="595" spans="1:12" x14ac:dyDescent="0.25">
      <c r="A595" s="3">
        <v>45708.363750000004</v>
      </c>
      <c r="B595" t="s">
        <v>121</v>
      </c>
      <c r="C595" s="3">
        <v>45708.363923611112</v>
      </c>
      <c r="D595" t="s">
        <v>121</v>
      </c>
      <c r="E595" s="4">
        <v>0</v>
      </c>
      <c r="F595" s="4">
        <v>485154.97</v>
      </c>
      <c r="G595" s="4">
        <v>485154.97</v>
      </c>
      <c r="H595" s="5">
        <f>0 / 86400</f>
        <v>0</v>
      </c>
      <c r="I595" t="s">
        <v>22</v>
      </c>
      <c r="J595" t="s">
        <v>22</v>
      </c>
      <c r="K595" s="5">
        <f>15 / 86400</f>
        <v>1.7361111111111112E-4</v>
      </c>
      <c r="L595" s="5">
        <f>55 / 86400</f>
        <v>6.3657407407407413E-4</v>
      </c>
    </row>
    <row r="596" spans="1:12" x14ac:dyDescent="0.25">
      <c r="A596" s="3">
        <v>45708.364560185189</v>
      </c>
      <c r="B596" t="s">
        <v>121</v>
      </c>
      <c r="C596" s="3">
        <v>45708.364571759259</v>
      </c>
      <c r="D596" t="s">
        <v>121</v>
      </c>
      <c r="E596" s="4">
        <v>0</v>
      </c>
      <c r="F596" s="4">
        <v>485154.97</v>
      </c>
      <c r="G596" s="4">
        <v>485154.97</v>
      </c>
      <c r="H596" s="5">
        <f>0 / 86400</f>
        <v>0</v>
      </c>
      <c r="I596" t="s">
        <v>22</v>
      </c>
      <c r="J596" t="s">
        <v>22</v>
      </c>
      <c r="K596" s="5">
        <f>0 / 86400</f>
        <v>0</v>
      </c>
      <c r="L596" s="5">
        <f>135 / 86400</f>
        <v>1.5625000000000001E-3</v>
      </c>
    </row>
    <row r="597" spans="1:12" x14ac:dyDescent="0.25">
      <c r="A597" s="3">
        <v>45708.36613425926</v>
      </c>
      <c r="B597" t="s">
        <v>121</v>
      </c>
      <c r="C597" s="3">
        <v>45708.366145833337</v>
      </c>
      <c r="D597" t="s">
        <v>121</v>
      </c>
      <c r="E597" s="4">
        <v>0</v>
      </c>
      <c r="F597" s="4">
        <v>485154.97</v>
      </c>
      <c r="G597" s="4">
        <v>485154.97</v>
      </c>
      <c r="H597" s="5">
        <f>0 / 86400</f>
        <v>0</v>
      </c>
      <c r="I597" t="s">
        <v>22</v>
      </c>
      <c r="J597" t="s">
        <v>22</v>
      </c>
      <c r="K597" s="5">
        <f>0 / 86400</f>
        <v>0</v>
      </c>
      <c r="L597" s="5">
        <f>3152 / 86400</f>
        <v>3.6481481481481483E-2</v>
      </c>
    </row>
    <row r="598" spans="1:12" x14ac:dyDescent="0.25">
      <c r="A598" s="3">
        <v>45708.402627314819</v>
      </c>
      <c r="B598" t="s">
        <v>121</v>
      </c>
      <c r="C598" s="3">
        <v>45708.402743055558</v>
      </c>
      <c r="D598" t="s">
        <v>121</v>
      </c>
      <c r="E598" s="4">
        <v>0</v>
      </c>
      <c r="F598" s="4">
        <v>485154.97</v>
      </c>
      <c r="G598" s="4">
        <v>485154.97</v>
      </c>
      <c r="H598" s="5">
        <f>0 / 86400</f>
        <v>0</v>
      </c>
      <c r="I598" t="s">
        <v>22</v>
      </c>
      <c r="J598" t="s">
        <v>22</v>
      </c>
      <c r="K598" s="5">
        <f>10 / 86400</f>
        <v>1.1574074074074075E-4</v>
      </c>
      <c r="L598" s="5">
        <f>1 / 86400</f>
        <v>1.1574074074074073E-5</v>
      </c>
    </row>
    <row r="599" spans="1:12" x14ac:dyDescent="0.25">
      <c r="A599" s="3">
        <v>45708.402754629627</v>
      </c>
      <c r="B599" t="s">
        <v>121</v>
      </c>
      <c r="C599" s="3">
        <v>45708.403275462959</v>
      </c>
      <c r="D599" t="s">
        <v>121</v>
      </c>
      <c r="E599" s="4">
        <v>0</v>
      </c>
      <c r="F599" s="4">
        <v>485154.97</v>
      </c>
      <c r="G599" s="4">
        <v>485154.97</v>
      </c>
      <c r="H599" s="5">
        <f>28 / 86400</f>
        <v>3.2407407407407406E-4</v>
      </c>
      <c r="I599" t="s">
        <v>22</v>
      </c>
      <c r="J599" t="s">
        <v>22</v>
      </c>
      <c r="K599" s="5">
        <f>45 / 86400</f>
        <v>5.2083333333333333E-4</v>
      </c>
      <c r="L599" s="5">
        <f>5 / 86400</f>
        <v>5.7870370370370373E-5</v>
      </c>
    </row>
    <row r="600" spans="1:12" x14ac:dyDescent="0.25">
      <c r="A600" s="3">
        <v>45708.403333333335</v>
      </c>
      <c r="B600" t="s">
        <v>121</v>
      </c>
      <c r="C600" s="3">
        <v>45708.403425925921</v>
      </c>
      <c r="D600" t="s">
        <v>121</v>
      </c>
      <c r="E600" s="4">
        <v>0</v>
      </c>
      <c r="F600" s="4">
        <v>485154.97</v>
      </c>
      <c r="G600" s="4">
        <v>485154.97</v>
      </c>
      <c r="H600" s="5">
        <f>0 / 86400</f>
        <v>0</v>
      </c>
      <c r="I600" t="s">
        <v>22</v>
      </c>
      <c r="J600" t="s">
        <v>22</v>
      </c>
      <c r="K600" s="5">
        <f>7 / 86400</f>
        <v>8.1018518518518516E-5</v>
      </c>
      <c r="L600" s="5">
        <f>3 / 86400</f>
        <v>3.4722222222222222E-5</v>
      </c>
    </row>
    <row r="601" spans="1:12" x14ac:dyDescent="0.25">
      <c r="A601" s="3">
        <v>45708.403460648144</v>
      </c>
      <c r="B601" t="s">
        <v>121</v>
      </c>
      <c r="C601" s="3">
        <v>45708.403541666667</v>
      </c>
      <c r="D601" t="s">
        <v>121</v>
      </c>
      <c r="E601" s="4">
        <v>0</v>
      </c>
      <c r="F601" s="4">
        <v>485154.97</v>
      </c>
      <c r="G601" s="4">
        <v>485154.97</v>
      </c>
      <c r="H601" s="5">
        <f>0 / 86400</f>
        <v>0</v>
      </c>
      <c r="I601" t="s">
        <v>22</v>
      </c>
      <c r="J601" t="s">
        <v>22</v>
      </c>
      <c r="K601" s="5">
        <f>7 / 86400</f>
        <v>8.1018518518518516E-5</v>
      </c>
      <c r="L601" s="5">
        <f>111 / 86400</f>
        <v>1.2847222222222223E-3</v>
      </c>
    </row>
    <row r="602" spans="1:12" x14ac:dyDescent="0.25">
      <c r="A602" s="3">
        <v>45708.404826388884</v>
      </c>
      <c r="B602" t="s">
        <v>121</v>
      </c>
      <c r="C602" s="3">
        <v>45708.407118055555</v>
      </c>
      <c r="D602" t="s">
        <v>41</v>
      </c>
      <c r="E602" s="4">
        <v>0.315</v>
      </c>
      <c r="F602" s="4">
        <v>485154.97</v>
      </c>
      <c r="G602" s="4">
        <v>485155.28499999997</v>
      </c>
      <c r="H602" s="5">
        <f>59 / 86400</f>
        <v>6.8287037037037036E-4</v>
      </c>
      <c r="I602" t="s">
        <v>38</v>
      </c>
      <c r="J602" t="s">
        <v>32</v>
      </c>
      <c r="K602" s="5">
        <f>197 / 86400</f>
        <v>2.2800925925925927E-3</v>
      </c>
      <c r="L602" s="5">
        <f>1 / 86400</f>
        <v>1.1574074074074073E-5</v>
      </c>
    </row>
    <row r="603" spans="1:12" x14ac:dyDescent="0.25">
      <c r="A603" s="3">
        <v>45708.407129629632</v>
      </c>
      <c r="B603" t="s">
        <v>41</v>
      </c>
      <c r="C603" s="3">
        <v>45708.420092592598</v>
      </c>
      <c r="D603" t="s">
        <v>83</v>
      </c>
      <c r="E603" s="4">
        <v>1.0109999999999999</v>
      </c>
      <c r="F603" s="4">
        <v>485155.28499999997</v>
      </c>
      <c r="G603" s="4">
        <v>485156.29599999997</v>
      </c>
      <c r="H603" s="5">
        <f>820 / 86400</f>
        <v>9.4907407407407406E-3</v>
      </c>
      <c r="I603" t="s">
        <v>162</v>
      </c>
      <c r="J603" t="s">
        <v>135</v>
      </c>
      <c r="K603" s="5">
        <f>1120 / 86400</f>
        <v>1.2962962962962963E-2</v>
      </c>
      <c r="L603" s="5">
        <f>1 / 86400</f>
        <v>1.1574074074074073E-5</v>
      </c>
    </row>
    <row r="604" spans="1:12" x14ac:dyDescent="0.25">
      <c r="A604" s="3">
        <v>45708.420104166667</v>
      </c>
      <c r="B604" t="s">
        <v>83</v>
      </c>
      <c r="C604" s="3">
        <v>45708.420185185183</v>
      </c>
      <c r="D604" t="s">
        <v>83</v>
      </c>
      <c r="E604" s="4">
        <v>0</v>
      </c>
      <c r="F604" s="4">
        <v>485156.29599999997</v>
      </c>
      <c r="G604" s="4">
        <v>485156.29599999997</v>
      </c>
      <c r="H604" s="5">
        <f>2 / 86400</f>
        <v>2.3148148148148147E-5</v>
      </c>
      <c r="I604" t="s">
        <v>22</v>
      </c>
      <c r="J604" t="s">
        <v>22</v>
      </c>
      <c r="K604" s="5">
        <f>7 / 86400</f>
        <v>8.1018518518518516E-5</v>
      </c>
      <c r="L604" s="5">
        <f>1 / 86400</f>
        <v>1.1574074074074073E-5</v>
      </c>
    </row>
    <row r="605" spans="1:12" x14ac:dyDescent="0.25">
      <c r="A605" s="3">
        <v>45708.42019675926</v>
      </c>
      <c r="B605" t="s">
        <v>83</v>
      </c>
      <c r="C605" s="3">
        <v>45708.420578703706</v>
      </c>
      <c r="D605" t="s">
        <v>83</v>
      </c>
      <c r="E605" s="4">
        <v>0</v>
      </c>
      <c r="F605" s="4">
        <v>485156.29599999997</v>
      </c>
      <c r="G605" s="4">
        <v>485156.29599999997</v>
      </c>
      <c r="H605" s="5">
        <f>14 / 86400</f>
        <v>1.6203703703703703E-4</v>
      </c>
      <c r="I605" t="s">
        <v>22</v>
      </c>
      <c r="J605" t="s">
        <v>22</v>
      </c>
      <c r="K605" s="5">
        <f>33 / 86400</f>
        <v>3.8194444444444446E-4</v>
      </c>
      <c r="L605" s="5">
        <f>119 / 86400</f>
        <v>1.3773148148148147E-3</v>
      </c>
    </row>
    <row r="606" spans="1:12" x14ac:dyDescent="0.25">
      <c r="A606" s="3">
        <v>45708.421956018516</v>
      </c>
      <c r="B606" t="s">
        <v>83</v>
      </c>
      <c r="C606" s="3">
        <v>45708.422048611115</v>
      </c>
      <c r="D606" t="s">
        <v>83</v>
      </c>
      <c r="E606" s="4">
        <v>0</v>
      </c>
      <c r="F606" s="4">
        <v>485156.29599999997</v>
      </c>
      <c r="G606" s="4">
        <v>485156.29599999997</v>
      </c>
      <c r="H606" s="5">
        <f>0 / 86400</f>
        <v>0</v>
      </c>
      <c r="I606" t="s">
        <v>22</v>
      </c>
      <c r="J606" t="s">
        <v>22</v>
      </c>
      <c r="K606" s="5">
        <f>8 / 86400</f>
        <v>9.2592592592592588E-5</v>
      </c>
      <c r="L606" s="5">
        <f>15 / 86400</f>
        <v>1.7361111111111112E-4</v>
      </c>
    </row>
    <row r="607" spans="1:12" x14ac:dyDescent="0.25">
      <c r="A607" s="3">
        <v>45708.422222222223</v>
      </c>
      <c r="B607" t="s">
        <v>83</v>
      </c>
      <c r="C607" s="3">
        <v>45708.422442129631</v>
      </c>
      <c r="D607" t="s">
        <v>83</v>
      </c>
      <c r="E607" s="4">
        <v>0</v>
      </c>
      <c r="F607" s="4">
        <v>485156.29599999997</v>
      </c>
      <c r="G607" s="4">
        <v>485156.29599999997</v>
      </c>
      <c r="H607" s="5">
        <f>0 / 86400</f>
        <v>0</v>
      </c>
      <c r="I607" t="s">
        <v>22</v>
      </c>
      <c r="J607" t="s">
        <v>22</v>
      </c>
      <c r="K607" s="5">
        <f>19 / 86400</f>
        <v>2.199074074074074E-4</v>
      </c>
      <c r="L607" s="5">
        <f>314 / 86400</f>
        <v>3.6342592592592594E-3</v>
      </c>
    </row>
    <row r="608" spans="1:12" x14ac:dyDescent="0.25">
      <c r="A608" s="3">
        <v>45708.426076388889</v>
      </c>
      <c r="B608" t="s">
        <v>83</v>
      </c>
      <c r="C608" s="3">
        <v>45708.426099537042</v>
      </c>
      <c r="D608" t="s">
        <v>83</v>
      </c>
      <c r="E608" s="4">
        <v>0</v>
      </c>
      <c r="F608" s="4">
        <v>485156.29599999997</v>
      </c>
      <c r="G608" s="4">
        <v>485156.29599999997</v>
      </c>
      <c r="H608" s="5">
        <f>0 / 86400</f>
        <v>0</v>
      </c>
      <c r="I608" t="s">
        <v>22</v>
      </c>
      <c r="J608" t="s">
        <v>22</v>
      </c>
      <c r="K608" s="5">
        <f>2 / 86400</f>
        <v>2.3148148148148147E-5</v>
      </c>
      <c r="L608" s="5">
        <f>6677 / 86400</f>
        <v>7.7280092592592595E-2</v>
      </c>
    </row>
    <row r="609" spans="1:12" x14ac:dyDescent="0.25">
      <c r="A609" s="3">
        <v>45708.503379629634</v>
      </c>
      <c r="B609" t="s">
        <v>83</v>
      </c>
      <c r="C609" s="3">
        <v>45708.503518518519</v>
      </c>
      <c r="D609" t="s">
        <v>83</v>
      </c>
      <c r="E609" s="4">
        <v>0</v>
      </c>
      <c r="F609" s="4">
        <v>485156.29599999997</v>
      </c>
      <c r="G609" s="4">
        <v>485156.29599999997</v>
      </c>
      <c r="H609" s="5">
        <f>0 / 86400</f>
        <v>0</v>
      </c>
      <c r="I609" t="s">
        <v>22</v>
      </c>
      <c r="J609" t="s">
        <v>22</v>
      </c>
      <c r="K609" s="5">
        <f>12 / 86400</f>
        <v>1.3888888888888889E-4</v>
      </c>
      <c r="L609" s="5">
        <f>1 / 86400</f>
        <v>1.1574074074074073E-5</v>
      </c>
    </row>
    <row r="610" spans="1:12" x14ac:dyDescent="0.25">
      <c r="A610" s="3">
        <v>45708.503530092596</v>
      </c>
      <c r="B610" t="s">
        <v>83</v>
      </c>
      <c r="C610" s="3">
        <v>45708.542291666672</v>
      </c>
      <c r="D610" t="s">
        <v>39</v>
      </c>
      <c r="E610" s="4">
        <v>18.763999999999999</v>
      </c>
      <c r="F610" s="4">
        <v>485156.29599999997</v>
      </c>
      <c r="G610" s="4">
        <v>485175.06</v>
      </c>
      <c r="H610" s="5">
        <f>966 / 86400</f>
        <v>1.1180555555555555E-2</v>
      </c>
      <c r="I610" t="s">
        <v>171</v>
      </c>
      <c r="J610" t="s">
        <v>131</v>
      </c>
      <c r="K610" s="5">
        <f>3349 / 86400</f>
        <v>3.8761574074074073E-2</v>
      </c>
      <c r="L610" s="5">
        <f>39545 / 86400</f>
        <v>0.45769675925925923</v>
      </c>
    </row>
    <row r="611" spans="1:1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2" s="10" customFormat="1" ht="20.100000000000001" customHeight="1" x14ac:dyDescent="0.35">
      <c r="A613" s="15" t="s">
        <v>478</v>
      </c>
      <c r="B613" s="15"/>
      <c r="C613" s="15"/>
      <c r="D613" s="15"/>
      <c r="E613" s="15"/>
      <c r="F613" s="15"/>
      <c r="G613" s="15"/>
      <c r="H613" s="15"/>
      <c r="I613" s="15"/>
      <c r="J613" s="15"/>
    </row>
    <row r="614" spans="1:1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 spans="1:12" ht="30" x14ac:dyDescent="0.25">
      <c r="A615" s="2" t="s">
        <v>6</v>
      </c>
      <c r="B615" s="2" t="s">
        <v>7</v>
      </c>
      <c r="C615" s="2" t="s">
        <v>8</v>
      </c>
      <c r="D615" s="2" t="s">
        <v>9</v>
      </c>
      <c r="E615" s="2" t="s">
        <v>10</v>
      </c>
      <c r="F615" s="2" t="s">
        <v>11</v>
      </c>
      <c r="G615" s="2" t="s">
        <v>12</v>
      </c>
      <c r="H615" s="2" t="s">
        <v>13</v>
      </c>
      <c r="I615" s="2" t="s">
        <v>14</v>
      </c>
      <c r="J615" s="2" t="s">
        <v>15</v>
      </c>
      <c r="K615" s="2" t="s">
        <v>16</v>
      </c>
      <c r="L615" s="2" t="s">
        <v>17</v>
      </c>
    </row>
    <row r="616" spans="1:12" x14ac:dyDescent="0.25">
      <c r="A616" s="3">
        <v>45708.272650462968</v>
      </c>
      <c r="B616" t="s">
        <v>41</v>
      </c>
      <c r="C616" s="3">
        <v>45708.280335648145</v>
      </c>
      <c r="D616" t="s">
        <v>149</v>
      </c>
      <c r="E616" s="4">
        <v>1.5620000000000001</v>
      </c>
      <c r="F616" s="4">
        <v>509347.67499999999</v>
      </c>
      <c r="G616" s="4">
        <v>509349.23700000002</v>
      </c>
      <c r="H616" s="5">
        <f>159 / 86400</f>
        <v>1.8402777777777777E-3</v>
      </c>
      <c r="I616" t="s">
        <v>38</v>
      </c>
      <c r="J616" t="s">
        <v>168</v>
      </c>
      <c r="K616" s="5">
        <f>663 / 86400</f>
        <v>7.6736111111111111E-3</v>
      </c>
      <c r="L616" s="5">
        <f>23573 / 86400</f>
        <v>0.27283564814814815</v>
      </c>
    </row>
    <row r="617" spans="1:12" x14ac:dyDescent="0.25">
      <c r="A617" s="3">
        <v>45708.28052083333</v>
      </c>
      <c r="B617" t="s">
        <v>149</v>
      </c>
      <c r="C617" s="3">
        <v>45708.28061342593</v>
      </c>
      <c r="D617" t="s">
        <v>149</v>
      </c>
      <c r="E617" s="4">
        <v>7.0000000000000001E-3</v>
      </c>
      <c r="F617" s="4">
        <v>509349.23700000002</v>
      </c>
      <c r="G617" s="4">
        <v>509349.24400000001</v>
      </c>
      <c r="H617" s="5">
        <f>0 / 86400</f>
        <v>0</v>
      </c>
      <c r="I617" t="s">
        <v>136</v>
      </c>
      <c r="J617" t="s">
        <v>143</v>
      </c>
      <c r="K617" s="5">
        <f>7 / 86400</f>
        <v>8.1018518518518516E-5</v>
      </c>
      <c r="L617" s="5">
        <f>177 / 86400</f>
        <v>2.0486111111111113E-3</v>
      </c>
    </row>
    <row r="618" spans="1:12" x14ac:dyDescent="0.25">
      <c r="A618" s="3">
        <v>45708.282662037032</v>
      </c>
      <c r="B618" t="s">
        <v>149</v>
      </c>
      <c r="C618" s="3">
        <v>45708.409756944442</v>
      </c>
      <c r="D618" t="s">
        <v>394</v>
      </c>
      <c r="E618" s="4">
        <v>50.591000000000001</v>
      </c>
      <c r="F618" s="4">
        <v>509349.24400000001</v>
      </c>
      <c r="G618" s="4">
        <v>509399.83500000002</v>
      </c>
      <c r="H618" s="5">
        <f>3680 / 86400</f>
        <v>4.2592592592592592E-2</v>
      </c>
      <c r="I618" t="s">
        <v>43</v>
      </c>
      <c r="J618" t="s">
        <v>20</v>
      </c>
      <c r="K618" s="5">
        <f>10981 / 86400</f>
        <v>0.12709490740740742</v>
      </c>
      <c r="L618" s="5">
        <f>774 / 86400</f>
        <v>8.9583333333333338E-3</v>
      </c>
    </row>
    <row r="619" spans="1:12" x14ac:dyDescent="0.25">
      <c r="A619" s="3">
        <v>45708.418715277774</v>
      </c>
      <c r="B619" t="s">
        <v>394</v>
      </c>
      <c r="C619" s="3">
        <v>45708.556898148148</v>
      </c>
      <c r="D619" t="s">
        <v>395</v>
      </c>
      <c r="E619" s="4">
        <v>50.02</v>
      </c>
      <c r="F619" s="4">
        <v>509399.83500000002</v>
      </c>
      <c r="G619" s="4">
        <v>509449.85499999998</v>
      </c>
      <c r="H619" s="5">
        <f>3862 / 86400</f>
        <v>4.4699074074074072E-2</v>
      </c>
      <c r="I619" t="s">
        <v>390</v>
      </c>
      <c r="J619" t="s">
        <v>44</v>
      </c>
      <c r="K619" s="5">
        <f>11939 / 86400</f>
        <v>0.13818287037037036</v>
      </c>
      <c r="L619" s="5">
        <f>114 / 86400</f>
        <v>1.3194444444444445E-3</v>
      </c>
    </row>
    <row r="620" spans="1:12" x14ac:dyDescent="0.25">
      <c r="A620" s="3">
        <v>45708.558217592596</v>
      </c>
      <c r="B620" t="s">
        <v>395</v>
      </c>
      <c r="C620" s="3">
        <v>45708.561724537038</v>
      </c>
      <c r="D620" t="s">
        <v>396</v>
      </c>
      <c r="E620" s="4">
        <v>0.60099999999999998</v>
      </c>
      <c r="F620" s="4">
        <v>509449.85499999998</v>
      </c>
      <c r="G620" s="4">
        <v>509450.45600000001</v>
      </c>
      <c r="H620" s="5">
        <f>140 / 86400</f>
        <v>1.6203703703703703E-3</v>
      </c>
      <c r="I620" t="s">
        <v>148</v>
      </c>
      <c r="J620" t="s">
        <v>26</v>
      </c>
      <c r="K620" s="5">
        <f>303 / 86400</f>
        <v>3.5069444444444445E-3</v>
      </c>
      <c r="L620" s="5">
        <f>980 / 86400</f>
        <v>1.1342592592592593E-2</v>
      </c>
    </row>
    <row r="621" spans="1:12" x14ac:dyDescent="0.25">
      <c r="A621" s="3">
        <v>45708.573067129633</v>
      </c>
      <c r="B621" t="s">
        <v>396</v>
      </c>
      <c r="C621" s="3">
        <v>45708.574583333335</v>
      </c>
      <c r="D621" t="s">
        <v>121</v>
      </c>
      <c r="E621" s="4">
        <v>0.41699999999999998</v>
      </c>
      <c r="F621" s="4">
        <v>509450.45600000001</v>
      </c>
      <c r="G621" s="4">
        <v>509450.87300000002</v>
      </c>
      <c r="H621" s="5">
        <f>27 / 86400</f>
        <v>3.1250000000000001E-4</v>
      </c>
      <c r="I621" t="s">
        <v>131</v>
      </c>
      <c r="J621" t="s">
        <v>65</v>
      </c>
      <c r="K621" s="5">
        <f>130 / 86400</f>
        <v>1.5046296296296296E-3</v>
      </c>
      <c r="L621" s="5">
        <f>1325 / 86400</f>
        <v>1.5335648148148149E-2</v>
      </c>
    </row>
    <row r="622" spans="1:12" x14ac:dyDescent="0.25">
      <c r="A622" s="3">
        <v>45708.589918981481</v>
      </c>
      <c r="B622" t="s">
        <v>121</v>
      </c>
      <c r="C622" s="3">
        <v>45708.597696759258</v>
      </c>
      <c r="D622" t="s">
        <v>83</v>
      </c>
      <c r="E622" s="4">
        <v>1.3049999999999999</v>
      </c>
      <c r="F622" s="4">
        <v>509450.87300000002</v>
      </c>
      <c r="G622" s="4">
        <v>509452.17800000001</v>
      </c>
      <c r="H622" s="5">
        <f>360 / 86400</f>
        <v>4.1666666666666666E-3</v>
      </c>
      <c r="I622" t="s">
        <v>139</v>
      </c>
      <c r="J622" t="s">
        <v>26</v>
      </c>
      <c r="K622" s="5">
        <f>672 / 86400</f>
        <v>7.7777777777777776E-3</v>
      </c>
      <c r="L622" s="5">
        <f>147 / 86400</f>
        <v>1.7013888888888888E-3</v>
      </c>
    </row>
    <row r="623" spans="1:12" x14ac:dyDescent="0.25">
      <c r="A623" s="3">
        <v>45708.599398148144</v>
      </c>
      <c r="B623" t="s">
        <v>83</v>
      </c>
      <c r="C623" s="3">
        <v>45708.865497685183</v>
      </c>
      <c r="D623" t="s">
        <v>83</v>
      </c>
      <c r="E623" s="4">
        <v>93.489000000000004</v>
      </c>
      <c r="F623" s="4">
        <v>509452.17800000001</v>
      </c>
      <c r="G623" s="4">
        <v>509545.66700000002</v>
      </c>
      <c r="H623" s="5">
        <f>8401 / 86400</f>
        <v>9.723379629629629E-2</v>
      </c>
      <c r="I623" t="s">
        <v>40</v>
      </c>
      <c r="J623" t="s">
        <v>44</v>
      </c>
      <c r="K623" s="5">
        <f>22990 / 86400</f>
        <v>0.26608796296296294</v>
      </c>
      <c r="L623" s="5">
        <f>1166 / 86400</f>
        <v>1.3495370370370371E-2</v>
      </c>
    </row>
    <row r="624" spans="1:12" x14ac:dyDescent="0.25">
      <c r="A624" s="3">
        <v>45708.87899305555</v>
      </c>
      <c r="B624" t="s">
        <v>83</v>
      </c>
      <c r="C624" s="3">
        <v>45708.890451388885</v>
      </c>
      <c r="D624" t="s">
        <v>42</v>
      </c>
      <c r="E624" s="4">
        <v>3.4769999999999999</v>
      </c>
      <c r="F624" s="4">
        <v>509545.66700000002</v>
      </c>
      <c r="G624" s="4">
        <v>509549.14399999997</v>
      </c>
      <c r="H624" s="5">
        <f>125 / 86400</f>
        <v>1.4467592592592592E-3</v>
      </c>
      <c r="I624" t="s">
        <v>157</v>
      </c>
      <c r="J624" t="s">
        <v>29</v>
      </c>
      <c r="K624" s="5">
        <f>990 / 86400</f>
        <v>1.1458333333333333E-2</v>
      </c>
      <c r="L624" s="5">
        <f>9464 / 86400</f>
        <v>0.10953703703703704</v>
      </c>
    </row>
    <row r="625" spans="1:1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2" s="10" customFormat="1" ht="20.100000000000001" customHeight="1" x14ac:dyDescent="0.35">
      <c r="A627" s="15" t="s">
        <v>479</v>
      </c>
      <c r="B627" s="15"/>
      <c r="C627" s="15"/>
      <c r="D627" s="15"/>
      <c r="E627" s="15"/>
      <c r="F627" s="15"/>
      <c r="G627" s="15"/>
      <c r="H627" s="15"/>
      <c r="I627" s="15"/>
      <c r="J627" s="15"/>
    </row>
    <row r="628" spans="1:1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2" ht="30" x14ac:dyDescent="0.25">
      <c r="A629" s="2" t="s">
        <v>6</v>
      </c>
      <c r="B629" s="2" t="s">
        <v>7</v>
      </c>
      <c r="C629" s="2" t="s">
        <v>8</v>
      </c>
      <c r="D629" s="2" t="s">
        <v>9</v>
      </c>
      <c r="E629" s="2" t="s">
        <v>10</v>
      </c>
      <c r="F629" s="2" t="s">
        <v>11</v>
      </c>
      <c r="G629" s="2" t="s">
        <v>12</v>
      </c>
      <c r="H629" s="2" t="s">
        <v>13</v>
      </c>
      <c r="I629" s="2" t="s">
        <v>14</v>
      </c>
      <c r="J629" s="2" t="s">
        <v>15</v>
      </c>
      <c r="K629" s="2" t="s">
        <v>16</v>
      </c>
      <c r="L629" s="2" t="s">
        <v>17</v>
      </c>
    </row>
    <row r="630" spans="1:12" x14ac:dyDescent="0.25">
      <c r="A630" s="3">
        <v>45708.239363425921</v>
      </c>
      <c r="B630" t="s">
        <v>45</v>
      </c>
      <c r="C630" s="3">
        <v>45708.245439814811</v>
      </c>
      <c r="D630" t="s">
        <v>149</v>
      </c>
      <c r="E630" s="4">
        <v>1.548</v>
      </c>
      <c r="F630" s="4">
        <v>408579.03399999999</v>
      </c>
      <c r="G630" s="4">
        <v>408580.58199999999</v>
      </c>
      <c r="H630" s="5">
        <f>120 / 86400</f>
        <v>1.3888888888888889E-3</v>
      </c>
      <c r="I630" t="s">
        <v>189</v>
      </c>
      <c r="J630" t="s">
        <v>86</v>
      </c>
      <c r="K630" s="5">
        <f>525 / 86400</f>
        <v>6.076388888888889E-3</v>
      </c>
      <c r="L630" s="5">
        <f>21348 / 86400</f>
        <v>0.24708333333333332</v>
      </c>
    </row>
    <row r="631" spans="1:12" x14ac:dyDescent="0.25">
      <c r="A631" s="3">
        <v>45708.253159722226</v>
      </c>
      <c r="B631" t="s">
        <v>149</v>
      </c>
      <c r="C631" s="3">
        <v>45708.253437499996</v>
      </c>
      <c r="D631" t="s">
        <v>149</v>
      </c>
      <c r="E631" s="4">
        <v>4.1000000000000002E-2</v>
      </c>
      <c r="F631" s="4">
        <v>408580.58199999999</v>
      </c>
      <c r="G631" s="4">
        <v>408580.62300000002</v>
      </c>
      <c r="H631" s="5">
        <f>0 / 86400</f>
        <v>0</v>
      </c>
      <c r="I631" t="s">
        <v>55</v>
      </c>
      <c r="J631" t="s">
        <v>32</v>
      </c>
      <c r="K631" s="5">
        <f>24 / 86400</f>
        <v>2.7777777777777778E-4</v>
      </c>
      <c r="L631" s="5">
        <f>199 / 86400</f>
        <v>2.3032407407407407E-3</v>
      </c>
    </row>
    <row r="632" spans="1:12" x14ac:dyDescent="0.25">
      <c r="A632" s="3">
        <v>45708.255740740744</v>
      </c>
      <c r="B632" t="s">
        <v>149</v>
      </c>
      <c r="C632" s="3">
        <v>45708.257592592592</v>
      </c>
      <c r="D632" t="s">
        <v>397</v>
      </c>
      <c r="E632" s="4">
        <v>0.64800000000000002</v>
      </c>
      <c r="F632" s="4">
        <v>408580.62300000002</v>
      </c>
      <c r="G632" s="4">
        <v>408581.27100000001</v>
      </c>
      <c r="H632" s="5">
        <f>20 / 86400</f>
        <v>2.3148148148148149E-4</v>
      </c>
      <c r="I632" t="s">
        <v>144</v>
      </c>
      <c r="J632" t="s">
        <v>44</v>
      </c>
      <c r="K632" s="5">
        <f>160 / 86400</f>
        <v>1.8518518518518519E-3</v>
      </c>
      <c r="L632" s="5">
        <f>328 / 86400</f>
        <v>3.7962962962962963E-3</v>
      </c>
    </row>
    <row r="633" spans="1:12" x14ac:dyDescent="0.25">
      <c r="A633" s="3">
        <v>45708.261388888888</v>
      </c>
      <c r="B633" t="s">
        <v>397</v>
      </c>
      <c r="C633" s="3">
        <v>45708.291006944448</v>
      </c>
      <c r="D633" t="s">
        <v>186</v>
      </c>
      <c r="E633" s="4">
        <v>19.736000000000001</v>
      </c>
      <c r="F633" s="4">
        <v>408581.27100000001</v>
      </c>
      <c r="G633" s="4">
        <v>408601.00699999998</v>
      </c>
      <c r="H633" s="5">
        <f>199 / 86400</f>
        <v>2.3032407407407407E-3</v>
      </c>
      <c r="I633" t="s">
        <v>46</v>
      </c>
      <c r="J633" t="s">
        <v>162</v>
      </c>
      <c r="K633" s="5">
        <f>2559 / 86400</f>
        <v>2.9618055555555557E-2</v>
      </c>
      <c r="L633" s="5">
        <f>336 / 86400</f>
        <v>3.8888888888888888E-3</v>
      </c>
    </row>
    <row r="634" spans="1:12" x14ac:dyDescent="0.25">
      <c r="A634" s="3">
        <v>45708.294895833329</v>
      </c>
      <c r="B634" t="s">
        <v>186</v>
      </c>
      <c r="C634" s="3">
        <v>45708.388773148152</v>
      </c>
      <c r="D634" t="s">
        <v>398</v>
      </c>
      <c r="E634" s="4">
        <v>30.204999999999998</v>
      </c>
      <c r="F634" s="4">
        <v>408601.05200000003</v>
      </c>
      <c r="G634" s="4">
        <v>408631.25699999998</v>
      </c>
      <c r="H634" s="5">
        <f>3238 / 86400</f>
        <v>3.7476851851851851E-2</v>
      </c>
      <c r="I634" t="s">
        <v>28</v>
      </c>
      <c r="J634" t="s">
        <v>29</v>
      </c>
      <c r="K634" s="5">
        <f>8111 / 86400</f>
        <v>9.3877314814814816E-2</v>
      </c>
      <c r="L634" s="5">
        <f>84 / 86400</f>
        <v>9.7222222222222219E-4</v>
      </c>
    </row>
    <row r="635" spans="1:12" x14ac:dyDescent="0.25">
      <c r="A635" s="3">
        <v>45708.389745370368</v>
      </c>
      <c r="B635" t="s">
        <v>398</v>
      </c>
      <c r="C635" s="3">
        <v>45708.389826388884</v>
      </c>
      <c r="D635" t="s">
        <v>398</v>
      </c>
      <c r="E635" s="4">
        <v>0</v>
      </c>
      <c r="F635" s="4">
        <v>408631.25699999998</v>
      </c>
      <c r="G635" s="4">
        <v>408631.25699999998</v>
      </c>
      <c r="H635" s="5">
        <f>0 / 86400</f>
        <v>0</v>
      </c>
      <c r="I635" t="s">
        <v>22</v>
      </c>
      <c r="J635" t="s">
        <v>22</v>
      </c>
      <c r="K635" s="5">
        <f>6 / 86400</f>
        <v>6.9444444444444444E-5</v>
      </c>
      <c r="L635" s="5">
        <f>2356 / 86400</f>
        <v>2.7268518518518518E-2</v>
      </c>
    </row>
    <row r="636" spans="1:12" x14ac:dyDescent="0.25">
      <c r="A636" s="3">
        <v>45708.417094907403</v>
      </c>
      <c r="B636" t="s">
        <v>398</v>
      </c>
      <c r="C636" s="3">
        <v>45708.556701388894</v>
      </c>
      <c r="D636" t="s">
        <v>397</v>
      </c>
      <c r="E636" s="4">
        <v>50.061999999999998</v>
      </c>
      <c r="F636" s="4">
        <v>408631.25699999998</v>
      </c>
      <c r="G636" s="4">
        <v>408681.31900000002</v>
      </c>
      <c r="H636" s="5">
        <f>3821 / 86400</f>
        <v>4.4224537037037034E-2</v>
      </c>
      <c r="I636" t="s">
        <v>28</v>
      </c>
      <c r="J636" t="s">
        <v>44</v>
      </c>
      <c r="K636" s="5">
        <f>12062 / 86400</f>
        <v>0.13960648148148147</v>
      </c>
      <c r="L636" s="5">
        <f>2919 / 86400</f>
        <v>3.3784722222222223E-2</v>
      </c>
    </row>
    <row r="637" spans="1:12" x14ac:dyDescent="0.25">
      <c r="A637" s="3">
        <v>45708.590486111112</v>
      </c>
      <c r="B637" t="s">
        <v>397</v>
      </c>
      <c r="C637" s="3">
        <v>45708.594212962962</v>
      </c>
      <c r="D637" t="s">
        <v>114</v>
      </c>
      <c r="E637" s="4">
        <v>0.60199999999999998</v>
      </c>
      <c r="F637" s="4">
        <v>408681.31900000002</v>
      </c>
      <c r="G637" s="4">
        <v>408681.92099999997</v>
      </c>
      <c r="H637" s="5">
        <f>179 / 86400</f>
        <v>2.0717592592592593E-3</v>
      </c>
      <c r="I637" t="s">
        <v>131</v>
      </c>
      <c r="J637" t="s">
        <v>26</v>
      </c>
      <c r="K637" s="5">
        <f>321 / 86400</f>
        <v>3.7152777777777778E-3</v>
      </c>
      <c r="L637" s="5">
        <f>1432 / 86400</f>
        <v>1.6574074074074074E-2</v>
      </c>
    </row>
    <row r="638" spans="1:12" x14ac:dyDescent="0.25">
      <c r="A638" s="3">
        <v>45708.610787037032</v>
      </c>
      <c r="B638" t="s">
        <v>114</v>
      </c>
      <c r="C638" s="3">
        <v>45708.61346064815</v>
      </c>
      <c r="D638" t="s">
        <v>399</v>
      </c>
      <c r="E638" s="4">
        <v>0.31900000000000001</v>
      </c>
      <c r="F638" s="4">
        <v>408681.92099999997</v>
      </c>
      <c r="G638" s="4">
        <v>408682.23999999999</v>
      </c>
      <c r="H638" s="5">
        <f>140 / 86400</f>
        <v>1.6203703703703703E-3</v>
      </c>
      <c r="I638" t="s">
        <v>134</v>
      </c>
      <c r="J638" t="s">
        <v>55</v>
      </c>
      <c r="K638" s="5">
        <f>231 / 86400</f>
        <v>2.673611111111111E-3</v>
      </c>
      <c r="L638" s="5">
        <f>989 / 86400</f>
        <v>1.1446759259259259E-2</v>
      </c>
    </row>
    <row r="639" spans="1:12" x14ac:dyDescent="0.25">
      <c r="A639" s="3">
        <v>45708.624907407408</v>
      </c>
      <c r="B639" t="s">
        <v>399</v>
      </c>
      <c r="C639" s="3">
        <v>45708.625787037032</v>
      </c>
      <c r="D639" t="s">
        <v>114</v>
      </c>
      <c r="E639" s="4">
        <v>1.2E-2</v>
      </c>
      <c r="F639" s="4">
        <v>408682.23999999999</v>
      </c>
      <c r="G639" s="4">
        <v>408682.25199999998</v>
      </c>
      <c r="H639" s="5">
        <f>19 / 86400</f>
        <v>2.199074074074074E-4</v>
      </c>
      <c r="I639" t="s">
        <v>143</v>
      </c>
      <c r="J639" t="s">
        <v>145</v>
      </c>
      <c r="K639" s="5">
        <f>76 / 86400</f>
        <v>8.7962962962962962E-4</v>
      </c>
      <c r="L639" s="5">
        <f>2885 / 86400</f>
        <v>3.3391203703703701E-2</v>
      </c>
    </row>
    <row r="640" spans="1:12" x14ac:dyDescent="0.25">
      <c r="A640" s="3">
        <v>45708.659178240741</v>
      </c>
      <c r="B640" t="s">
        <v>400</v>
      </c>
      <c r="C640" s="3">
        <v>45708.662638888884</v>
      </c>
      <c r="D640" t="s">
        <v>152</v>
      </c>
      <c r="E640" s="4">
        <v>0.54200000000000004</v>
      </c>
      <c r="F640" s="4">
        <v>408682.25199999998</v>
      </c>
      <c r="G640" s="4">
        <v>408682.79399999999</v>
      </c>
      <c r="H640" s="5">
        <f>139 / 86400</f>
        <v>1.6087962962962963E-3</v>
      </c>
      <c r="I640" t="s">
        <v>148</v>
      </c>
      <c r="J640" t="s">
        <v>26</v>
      </c>
      <c r="K640" s="5">
        <f>299 / 86400</f>
        <v>3.460648148148148E-3</v>
      </c>
      <c r="L640" s="5">
        <f>4 / 86400</f>
        <v>4.6296296296296294E-5</v>
      </c>
    </row>
    <row r="641" spans="1:12" x14ac:dyDescent="0.25">
      <c r="A641" s="3">
        <v>45708.662685185191</v>
      </c>
      <c r="B641" t="s">
        <v>83</v>
      </c>
      <c r="C641" s="3">
        <v>45708.663148148145</v>
      </c>
      <c r="D641" t="s">
        <v>83</v>
      </c>
      <c r="E641" s="4">
        <v>6.3E-2</v>
      </c>
      <c r="F641" s="4">
        <v>408682.80200000003</v>
      </c>
      <c r="G641" s="4">
        <v>408682.86499999999</v>
      </c>
      <c r="H641" s="5">
        <f>20 / 86400</f>
        <v>2.3148148148148149E-4</v>
      </c>
      <c r="I641" t="s">
        <v>168</v>
      </c>
      <c r="J641" t="s">
        <v>32</v>
      </c>
      <c r="K641" s="5">
        <f>40 / 86400</f>
        <v>4.6296296296296298E-4</v>
      </c>
      <c r="L641" s="5">
        <f>867 / 86400</f>
        <v>1.0034722222222223E-2</v>
      </c>
    </row>
    <row r="642" spans="1:12" x14ac:dyDescent="0.25">
      <c r="A642" s="3">
        <v>45708.673182870371</v>
      </c>
      <c r="B642" t="s">
        <v>83</v>
      </c>
      <c r="C642" s="3">
        <v>45708.679085648153</v>
      </c>
      <c r="D642" t="s">
        <v>278</v>
      </c>
      <c r="E642" s="4">
        <v>1.351</v>
      </c>
      <c r="F642" s="4">
        <v>408682.86499999999</v>
      </c>
      <c r="G642" s="4">
        <v>408684.21600000001</v>
      </c>
      <c r="H642" s="5">
        <f>158 / 86400</f>
        <v>1.8287037037037037E-3</v>
      </c>
      <c r="I642" t="s">
        <v>25</v>
      </c>
      <c r="J642" t="s">
        <v>97</v>
      </c>
      <c r="K642" s="5">
        <f>510 / 86400</f>
        <v>5.9027777777777776E-3</v>
      </c>
      <c r="L642" s="5">
        <f>3 / 86400</f>
        <v>3.4722222222222222E-5</v>
      </c>
    </row>
    <row r="643" spans="1:12" x14ac:dyDescent="0.25">
      <c r="A643" s="3">
        <v>45708.679120370369</v>
      </c>
      <c r="B643" t="s">
        <v>278</v>
      </c>
      <c r="C643" s="3">
        <v>45708.6794212963</v>
      </c>
      <c r="D643" t="s">
        <v>401</v>
      </c>
      <c r="E643" s="4">
        <v>0.18099999999999999</v>
      </c>
      <c r="F643" s="4">
        <v>408684.21600000001</v>
      </c>
      <c r="G643" s="4">
        <v>408684.397</v>
      </c>
      <c r="H643" s="5">
        <f>0 / 86400</f>
        <v>0</v>
      </c>
      <c r="I643" t="s">
        <v>192</v>
      </c>
      <c r="J643" t="s">
        <v>142</v>
      </c>
      <c r="K643" s="5">
        <f>26 / 86400</f>
        <v>3.0092592592592595E-4</v>
      </c>
      <c r="L643" s="5">
        <f>2 / 86400</f>
        <v>2.3148148148148147E-5</v>
      </c>
    </row>
    <row r="644" spans="1:12" x14ac:dyDescent="0.25">
      <c r="A644" s="3">
        <v>45708.679444444446</v>
      </c>
      <c r="B644" t="s">
        <v>401</v>
      </c>
      <c r="C644" s="3">
        <v>45708.817777777775</v>
      </c>
      <c r="D644" t="s">
        <v>402</v>
      </c>
      <c r="E644" s="4">
        <v>49.475999999999999</v>
      </c>
      <c r="F644" s="4">
        <v>408684.397</v>
      </c>
      <c r="G644" s="4">
        <v>408733.87300000002</v>
      </c>
      <c r="H644" s="5">
        <f>4501 / 86400</f>
        <v>5.2094907407407409E-2</v>
      </c>
      <c r="I644" t="s">
        <v>46</v>
      </c>
      <c r="J644" t="s">
        <v>44</v>
      </c>
      <c r="K644" s="5">
        <f>11952 / 86400</f>
        <v>0.13833333333333334</v>
      </c>
      <c r="L644" s="5">
        <f>1 / 86400</f>
        <v>1.1574074074074073E-5</v>
      </c>
    </row>
    <row r="645" spans="1:12" x14ac:dyDescent="0.25">
      <c r="A645" s="3">
        <v>45708.817789351851</v>
      </c>
      <c r="B645" t="s">
        <v>402</v>
      </c>
      <c r="C645" s="3">
        <v>45708.822569444441</v>
      </c>
      <c r="D645" t="s">
        <v>206</v>
      </c>
      <c r="E645" s="4">
        <v>1.9870000000000001</v>
      </c>
      <c r="F645" s="4">
        <v>408733.87300000002</v>
      </c>
      <c r="G645" s="4">
        <v>408735.86</v>
      </c>
      <c r="H645" s="5">
        <f>100 / 86400</f>
        <v>1.1574074074074073E-3</v>
      </c>
      <c r="I645" t="s">
        <v>25</v>
      </c>
      <c r="J645" t="s">
        <v>20</v>
      </c>
      <c r="K645" s="5">
        <f>413 / 86400</f>
        <v>4.7800925925925927E-3</v>
      </c>
      <c r="L645" s="5">
        <f>13 / 86400</f>
        <v>1.5046296296296297E-4</v>
      </c>
    </row>
    <row r="646" spans="1:12" x14ac:dyDescent="0.25">
      <c r="A646" s="3">
        <v>45708.822719907403</v>
      </c>
      <c r="B646" t="s">
        <v>206</v>
      </c>
      <c r="C646" s="3">
        <v>45708.823159722218</v>
      </c>
      <c r="D646" t="s">
        <v>70</v>
      </c>
      <c r="E646" s="4">
        <v>0.16900000000000001</v>
      </c>
      <c r="F646" s="4">
        <v>408735.87599999999</v>
      </c>
      <c r="G646" s="4">
        <v>408736.04499999998</v>
      </c>
      <c r="H646" s="5">
        <f>0 / 86400</f>
        <v>0</v>
      </c>
      <c r="I646" t="s">
        <v>192</v>
      </c>
      <c r="J646" t="s">
        <v>49</v>
      </c>
      <c r="K646" s="5">
        <f>38 / 86400</f>
        <v>4.3981481481481481E-4</v>
      </c>
      <c r="L646" s="5">
        <f>85 / 86400</f>
        <v>9.837962962962962E-4</v>
      </c>
    </row>
    <row r="647" spans="1:12" x14ac:dyDescent="0.25">
      <c r="A647" s="3">
        <v>45708.824143518519</v>
      </c>
      <c r="B647" t="s">
        <v>151</v>
      </c>
      <c r="C647" s="3">
        <v>45708.922581018516</v>
      </c>
      <c r="D647" t="s">
        <v>83</v>
      </c>
      <c r="E647" s="4">
        <v>39.573999999999998</v>
      </c>
      <c r="F647" s="4">
        <v>408736.05800000002</v>
      </c>
      <c r="G647" s="4">
        <v>408775.63199999998</v>
      </c>
      <c r="H647" s="5">
        <f>2458 / 86400</f>
        <v>2.8449074074074075E-2</v>
      </c>
      <c r="I647" t="s">
        <v>177</v>
      </c>
      <c r="J647" t="s">
        <v>20</v>
      </c>
      <c r="K647" s="5">
        <f>8504 / 86400</f>
        <v>9.8425925925925931E-2</v>
      </c>
      <c r="L647" s="5">
        <f>387 / 86400</f>
        <v>4.4791666666666669E-3</v>
      </c>
    </row>
    <row r="648" spans="1:12" x14ac:dyDescent="0.25">
      <c r="A648" s="3">
        <v>45708.927060185189</v>
      </c>
      <c r="B648" t="s">
        <v>83</v>
      </c>
      <c r="C648" s="3">
        <v>45708.933807870373</v>
      </c>
      <c r="D648" t="s">
        <v>114</v>
      </c>
      <c r="E648" s="4">
        <v>0.216</v>
      </c>
      <c r="F648" s="4">
        <v>408775.63199999998</v>
      </c>
      <c r="G648" s="4">
        <v>408775.848</v>
      </c>
      <c r="H648" s="5">
        <f>479 / 86400</f>
        <v>5.5439814814814813E-3</v>
      </c>
      <c r="I648" t="s">
        <v>38</v>
      </c>
      <c r="J648" t="s">
        <v>145</v>
      </c>
      <c r="K648" s="5">
        <f>583 / 86400</f>
        <v>6.7476851851851856E-3</v>
      </c>
      <c r="L648" s="5">
        <f>191 / 86400</f>
        <v>2.2106481481481482E-3</v>
      </c>
    </row>
    <row r="649" spans="1:12" x14ac:dyDescent="0.25">
      <c r="A649" s="3">
        <v>45708.936018518521</v>
      </c>
      <c r="B649" t="s">
        <v>114</v>
      </c>
      <c r="C649" s="3">
        <v>45708.937280092592</v>
      </c>
      <c r="D649" t="s">
        <v>403</v>
      </c>
      <c r="E649" s="4">
        <v>0.52700000000000002</v>
      </c>
      <c r="F649" s="4">
        <v>408775.848</v>
      </c>
      <c r="G649" s="4">
        <v>408776.375</v>
      </c>
      <c r="H649" s="5">
        <f>0 / 86400</f>
        <v>0</v>
      </c>
      <c r="I649" t="s">
        <v>139</v>
      </c>
      <c r="J649" t="s">
        <v>20</v>
      </c>
      <c r="K649" s="5">
        <f>109 / 86400</f>
        <v>1.261574074074074E-3</v>
      </c>
      <c r="L649" s="5">
        <f>322 / 86400</f>
        <v>3.7268518518518519E-3</v>
      </c>
    </row>
    <row r="650" spans="1:12" x14ac:dyDescent="0.25">
      <c r="A650" s="3">
        <v>45708.941006944442</v>
      </c>
      <c r="B650" t="s">
        <v>403</v>
      </c>
      <c r="C650" s="3">
        <v>45708.944837962961</v>
      </c>
      <c r="D650" t="s">
        <v>45</v>
      </c>
      <c r="E650" s="4">
        <v>0.74399999999999999</v>
      </c>
      <c r="F650" s="4">
        <v>408776.375</v>
      </c>
      <c r="G650" s="4">
        <v>408777.11900000001</v>
      </c>
      <c r="H650" s="5">
        <f>80 / 86400</f>
        <v>9.2592592592592596E-4</v>
      </c>
      <c r="I650" t="s">
        <v>20</v>
      </c>
      <c r="J650" t="s">
        <v>168</v>
      </c>
      <c r="K650" s="5">
        <f>331 / 86400</f>
        <v>3.8310185185185183E-3</v>
      </c>
      <c r="L650" s="5">
        <f>4765 / 86400</f>
        <v>5.5150462962962964E-2</v>
      </c>
    </row>
    <row r="651" spans="1:1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</row>
    <row r="652" spans="1:1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</row>
    <row r="653" spans="1:12" s="10" customFormat="1" ht="20.100000000000001" customHeight="1" x14ac:dyDescent="0.35">
      <c r="A653" s="15" t="s">
        <v>480</v>
      </c>
      <c r="B653" s="15"/>
      <c r="C653" s="15"/>
      <c r="D653" s="15"/>
      <c r="E653" s="15"/>
      <c r="F653" s="15"/>
      <c r="G653" s="15"/>
      <c r="H653" s="15"/>
      <c r="I653" s="15"/>
      <c r="J653" s="15"/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2" ht="30" x14ac:dyDescent="0.25">
      <c r="A655" s="2" t="s">
        <v>6</v>
      </c>
      <c r="B655" s="2" t="s">
        <v>7</v>
      </c>
      <c r="C655" s="2" t="s">
        <v>8</v>
      </c>
      <c r="D655" s="2" t="s">
        <v>9</v>
      </c>
      <c r="E655" s="2" t="s">
        <v>10</v>
      </c>
      <c r="F655" s="2" t="s">
        <v>11</v>
      </c>
      <c r="G655" s="2" t="s">
        <v>12</v>
      </c>
      <c r="H655" s="2" t="s">
        <v>13</v>
      </c>
      <c r="I655" s="2" t="s">
        <v>14</v>
      </c>
      <c r="J655" s="2" t="s">
        <v>15</v>
      </c>
      <c r="K655" s="2" t="s">
        <v>16</v>
      </c>
      <c r="L655" s="2" t="s">
        <v>17</v>
      </c>
    </row>
    <row r="656" spans="1:12" x14ac:dyDescent="0.25">
      <c r="A656" s="3">
        <v>45708.281967592593</v>
      </c>
      <c r="B656" t="s">
        <v>47</v>
      </c>
      <c r="C656" s="3">
        <v>45708.290358796294</v>
      </c>
      <c r="D656" t="s">
        <v>404</v>
      </c>
      <c r="E656" s="4">
        <v>0.79</v>
      </c>
      <c r="F656" s="4">
        <v>438602.36900000001</v>
      </c>
      <c r="G656" s="4">
        <v>438603.15899999999</v>
      </c>
      <c r="H656" s="5">
        <f>519 / 86400</f>
        <v>6.0069444444444441E-3</v>
      </c>
      <c r="I656" t="s">
        <v>31</v>
      </c>
      <c r="J656" t="s">
        <v>143</v>
      </c>
      <c r="K656" s="5">
        <f>724 / 86400</f>
        <v>8.3796296296296292E-3</v>
      </c>
      <c r="L656" s="5">
        <f>26649 / 86400</f>
        <v>0.30843749999999998</v>
      </c>
    </row>
    <row r="657" spans="1:12" x14ac:dyDescent="0.25">
      <c r="A657" s="3">
        <v>45708.316828703704</v>
      </c>
      <c r="B657" t="s">
        <v>405</v>
      </c>
      <c r="C657" s="3">
        <v>45708.538194444445</v>
      </c>
      <c r="D657" t="s">
        <v>47</v>
      </c>
      <c r="E657" s="4">
        <v>94.257999999999996</v>
      </c>
      <c r="F657" s="4">
        <v>438603.15899999999</v>
      </c>
      <c r="G657" s="4">
        <v>438697.41700000002</v>
      </c>
      <c r="H657" s="5">
        <f>5938 / 86400</f>
        <v>6.8726851851851858E-2</v>
      </c>
      <c r="I657" t="s">
        <v>48</v>
      </c>
      <c r="J657" t="s">
        <v>34</v>
      </c>
      <c r="K657" s="5">
        <f>19126 / 86400</f>
        <v>0.22136574074074075</v>
      </c>
      <c r="L657" s="5">
        <f>11017 / 86400</f>
        <v>0.12751157407407407</v>
      </c>
    </row>
    <row r="658" spans="1:12" x14ac:dyDescent="0.25">
      <c r="A658" s="3">
        <v>45708.665706018517</v>
      </c>
      <c r="B658" t="s">
        <v>47</v>
      </c>
      <c r="C658" s="3">
        <v>45708.673472222217</v>
      </c>
      <c r="D658" t="s">
        <v>83</v>
      </c>
      <c r="E658" s="4">
        <v>1.119</v>
      </c>
      <c r="F658" s="4">
        <v>438697.41700000002</v>
      </c>
      <c r="G658" s="4">
        <v>438698.53600000002</v>
      </c>
      <c r="H658" s="5">
        <f>439 / 86400</f>
        <v>5.0810185185185186E-3</v>
      </c>
      <c r="I658" t="s">
        <v>164</v>
      </c>
      <c r="J658" t="s">
        <v>32</v>
      </c>
      <c r="K658" s="5">
        <f>670 / 86400</f>
        <v>7.7546296296296295E-3</v>
      </c>
      <c r="L658" s="5">
        <f>406 / 86400</f>
        <v>4.6990740740740743E-3</v>
      </c>
    </row>
    <row r="659" spans="1:12" x14ac:dyDescent="0.25">
      <c r="A659" s="3">
        <v>45708.678171296298</v>
      </c>
      <c r="B659" t="s">
        <v>83</v>
      </c>
      <c r="C659" s="3">
        <v>45708.680833333332</v>
      </c>
      <c r="D659" t="s">
        <v>94</v>
      </c>
      <c r="E659" s="4">
        <v>0.16700000000000001</v>
      </c>
      <c r="F659" s="4">
        <v>438698.53600000002</v>
      </c>
      <c r="G659" s="4">
        <v>438698.70299999998</v>
      </c>
      <c r="H659" s="5">
        <f>79 / 86400</f>
        <v>9.1435185185185185E-4</v>
      </c>
      <c r="I659" t="s">
        <v>44</v>
      </c>
      <c r="J659" t="s">
        <v>135</v>
      </c>
      <c r="K659" s="5">
        <f>229 / 86400</f>
        <v>2.650462962962963E-3</v>
      </c>
      <c r="L659" s="5">
        <f>1975 / 86400</f>
        <v>2.2858796296296297E-2</v>
      </c>
    </row>
    <row r="660" spans="1:12" x14ac:dyDescent="0.25">
      <c r="A660" s="3">
        <v>45708.703692129631</v>
      </c>
      <c r="B660" t="s">
        <v>94</v>
      </c>
      <c r="C660" s="3">
        <v>45708.71056712963</v>
      </c>
      <c r="D660" t="s">
        <v>47</v>
      </c>
      <c r="E660" s="4">
        <v>0.91900000000000004</v>
      </c>
      <c r="F660" s="4">
        <v>438698.70299999998</v>
      </c>
      <c r="G660" s="4">
        <v>438699.62199999997</v>
      </c>
      <c r="H660" s="5">
        <f>319 / 86400</f>
        <v>3.6921296296296298E-3</v>
      </c>
      <c r="I660" t="s">
        <v>217</v>
      </c>
      <c r="J660" t="s">
        <v>32</v>
      </c>
      <c r="K660" s="5">
        <f>594 / 86400</f>
        <v>6.875E-3</v>
      </c>
      <c r="L660" s="5">
        <f>25006 / 86400</f>
        <v>0.28942129629629632</v>
      </c>
    </row>
    <row r="661" spans="1:1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2" s="10" customFormat="1" ht="20.100000000000001" customHeight="1" x14ac:dyDescent="0.35">
      <c r="A663" s="15" t="s">
        <v>481</v>
      </c>
      <c r="B663" s="15"/>
      <c r="C663" s="15"/>
      <c r="D663" s="15"/>
      <c r="E663" s="15"/>
      <c r="F663" s="15"/>
      <c r="G663" s="15"/>
      <c r="H663" s="15"/>
      <c r="I663" s="15"/>
      <c r="J663" s="15"/>
    </row>
    <row r="664" spans="1:1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</row>
    <row r="665" spans="1:12" ht="30" x14ac:dyDescent="0.25">
      <c r="A665" s="2" t="s">
        <v>6</v>
      </c>
      <c r="B665" s="2" t="s">
        <v>7</v>
      </c>
      <c r="C665" s="2" t="s">
        <v>8</v>
      </c>
      <c r="D665" s="2" t="s">
        <v>9</v>
      </c>
      <c r="E665" s="2" t="s">
        <v>10</v>
      </c>
      <c r="F665" s="2" t="s">
        <v>11</v>
      </c>
      <c r="G665" s="2" t="s">
        <v>12</v>
      </c>
      <c r="H665" s="2" t="s">
        <v>13</v>
      </c>
      <c r="I665" s="2" t="s">
        <v>14</v>
      </c>
      <c r="J665" s="2" t="s">
        <v>15</v>
      </c>
      <c r="K665" s="2" t="s">
        <v>16</v>
      </c>
      <c r="L665" s="2" t="s">
        <v>17</v>
      </c>
    </row>
    <row r="666" spans="1:12" x14ac:dyDescent="0.25">
      <c r="A666" s="3">
        <v>45708.202175925922</v>
      </c>
      <c r="B666" t="s">
        <v>50</v>
      </c>
      <c r="C666" s="3">
        <v>45708.223078703704</v>
      </c>
      <c r="D666" t="s">
        <v>395</v>
      </c>
      <c r="E666" s="4">
        <v>4.4329999999999998</v>
      </c>
      <c r="F666" s="4">
        <v>55705.353999999999</v>
      </c>
      <c r="G666" s="4">
        <v>55709.786999999997</v>
      </c>
      <c r="H666" s="5">
        <f>640 / 86400</f>
        <v>7.4074074074074077E-3</v>
      </c>
      <c r="I666" t="s">
        <v>142</v>
      </c>
      <c r="J666" t="s">
        <v>137</v>
      </c>
      <c r="K666" s="5">
        <f>1806 / 86400</f>
        <v>2.0902777777777777E-2</v>
      </c>
      <c r="L666" s="5">
        <f>17714 / 86400</f>
        <v>0.20502314814814815</v>
      </c>
    </row>
    <row r="667" spans="1:12" x14ac:dyDescent="0.25">
      <c r="A667" s="3">
        <v>45708.22592592593</v>
      </c>
      <c r="B667" t="s">
        <v>395</v>
      </c>
      <c r="C667" s="3">
        <v>45708.343506944446</v>
      </c>
      <c r="D667" t="s">
        <v>128</v>
      </c>
      <c r="E667" s="4">
        <v>50.052</v>
      </c>
      <c r="F667" s="4">
        <v>55709.786999999997</v>
      </c>
      <c r="G667" s="4">
        <v>55759.839</v>
      </c>
      <c r="H667" s="5">
        <f>3500 / 86400</f>
        <v>4.0509259259259259E-2</v>
      </c>
      <c r="I667" t="s">
        <v>52</v>
      </c>
      <c r="J667" t="s">
        <v>34</v>
      </c>
      <c r="K667" s="5">
        <f>10158 / 86400</f>
        <v>0.11756944444444445</v>
      </c>
      <c r="L667" s="5">
        <f>895 / 86400</f>
        <v>1.0358796296296297E-2</v>
      </c>
    </row>
    <row r="668" spans="1:12" x14ac:dyDescent="0.25">
      <c r="A668" s="3">
        <v>45708.353865740741</v>
      </c>
      <c r="B668" t="s">
        <v>128</v>
      </c>
      <c r="C668" s="3">
        <v>45708.35564814815</v>
      </c>
      <c r="D668" t="s">
        <v>21</v>
      </c>
      <c r="E668" s="4">
        <v>0.43</v>
      </c>
      <c r="F668" s="4">
        <v>55759.839</v>
      </c>
      <c r="G668" s="4">
        <v>55760.269</v>
      </c>
      <c r="H668" s="5">
        <f>20 / 86400</f>
        <v>2.3148148148148149E-4</v>
      </c>
      <c r="I668" t="s">
        <v>49</v>
      </c>
      <c r="J668" t="s">
        <v>97</v>
      </c>
      <c r="K668" s="5">
        <f>153 / 86400</f>
        <v>1.7708333333333332E-3</v>
      </c>
      <c r="L668" s="5">
        <f>223 / 86400</f>
        <v>2.5810185185185185E-3</v>
      </c>
    </row>
    <row r="669" spans="1:12" x14ac:dyDescent="0.25">
      <c r="A669" s="3">
        <v>45708.358229166668</v>
      </c>
      <c r="B669" t="s">
        <v>21</v>
      </c>
      <c r="C669" s="3">
        <v>45708.485196759255</v>
      </c>
      <c r="D669" t="s">
        <v>149</v>
      </c>
      <c r="E669" s="4">
        <v>50.712000000000003</v>
      </c>
      <c r="F669" s="4">
        <v>55760.269</v>
      </c>
      <c r="G669" s="4">
        <v>55810.981</v>
      </c>
      <c r="H669" s="5">
        <f>3839 / 86400</f>
        <v>4.4432870370370373E-2</v>
      </c>
      <c r="I669" t="s">
        <v>120</v>
      </c>
      <c r="J669" t="s">
        <v>20</v>
      </c>
      <c r="K669" s="5">
        <f>10969 / 86400</f>
        <v>0.12695601851851851</v>
      </c>
      <c r="L669" s="5">
        <f>593 / 86400</f>
        <v>6.8634259259259256E-3</v>
      </c>
    </row>
    <row r="670" spans="1:12" x14ac:dyDescent="0.25">
      <c r="A670" s="3">
        <v>45708.492060185185</v>
      </c>
      <c r="B670" t="s">
        <v>149</v>
      </c>
      <c r="C670" s="3">
        <v>45708.496412037042</v>
      </c>
      <c r="D670" t="s">
        <v>83</v>
      </c>
      <c r="E670" s="4">
        <v>1.339</v>
      </c>
      <c r="F670" s="4">
        <v>55810.981</v>
      </c>
      <c r="G670" s="4">
        <v>55812.32</v>
      </c>
      <c r="H670" s="5">
        <f>20 / 86400</f>
        <v>2.3148148148148149E-4</v>
      </c>
      <c r="I670" t="s">
        <v>142</v>
      </c>
      <c r="J670" t="s">
        <v>29</v>
      </c>
      <c r="K670" s="5">
        <f>376 / 86400</f>
        <v>4.3518518518518515E-3</v>
      </c>
      <c r="L670" s="5">
        <f>861 / 86400</f>
        <v>9.9652777777777778E-3</v>
      </c>
    </row>
    <row r="671" spans="1:12" x14ac:dyDescent="0.25">
      <c r="A671" s="3">
        <v>45708.506377314814</v>
      </c>
      <c r="B671" t="s">
        <v>83</v>
      </c>
      <c r="C671" s="3">
        <v>45708.507337962961</v>
      </c>
      <c r="D671" t="s">
        <v>406</v>
      </c>
      <c r="E671" s="4">
        <v>0.10100000000000001</v>
      </c>
      <c r="F671" s="4">
        <v>55812.32</v>
      </c>
      <c r="G671" s="4">
        <v>55812.421000000002</v>
      </c>
      <c r="H671" s="5">
        <f>0 / 86400</f>
        <v>0</v>
      </c>
      <c r="I671" t="s">
        <v>86</v>
      </c>
      <c r="J671" t="s">
        <v>143</v>
      </c>
      <c r="K671" s="5">
        <f>82 / 86400</f>
        <v>9.4907407407407408E-4</v>
      </c>
      <c r="L671" s="5">
        <f>3565 / 86400</f>
        <v>4.1261574074074076E-2</v>
      </c>
    </row>
    <row r="672" spans="1:12" x14ac:dyDescent="0.25">
      <c r="A672" s="3">
        <v>45708.54859953704</v>
      </c>
      <c r="B672" t="s">
        <v>406</v>
      </c>
      <c r="C672" s="3">
        <v>45708.550300925926</v>
      </c>
      <c r="D672" t="s">
        <v>407</v>
      </c>
      <c r="E672" s="4">
        <v>0.14899999999999999</v>
      </c>
      <c r="F672" s="4">
        <v>55812.421000000002</v>
      </c>
      <c r="G672" s="4">
        <v>55812.57</v>
      </c>
      <c r="H672" s="5">
        <f>79 / 86400</f>
        <v>9.1435185185185185E-4</v>
      </c>
      <c r="I672" t="s">
        <v>168</v>
      </c>
      <c r="J672" t="s">
        <v>143</v>
      </c>
      <c r="K672" s="5">
        <f>146 / 86400</f>
        <v>1.6898148148148148E-3</v>
      </c>
      <c r="L672" s="5">
        <f>145 / 86400</f>
        <v>1.6782407407407408E-3</v>
      </c>
    </row>
    <row r="673" spans="1:12" x14ac:dyDescent="0.25">
      <c r="A673" s="3">
        <v>45708.551979166667</v>
      </c>
      <c r="B673" t="s">
        <v>407</v>
      </c>
      <c r="C673" s="3">
        <v>45708.553391203706</v>
      </c>
      <c r="D673" t="s">
        <v>408</v>
      </c>
      <c r="E673" s="4">
        <v>3.9E-2</v>
      </c>
      <c r="F673" s="4">
        <v>55812.57</v>
      </c>
      <c r="G673" s="4">
        <v>55812.608999999997</v>
      </c>
      <c r="H673" s="5">
        <f>100 / 86400</f>
        <v>1.1574074074074073E-3</v>
      </c>
      <c r="I673" t="s">
        <v>97</v>
      </c>
      <c r="J673" t="s">
        <v>145</v>
      </c>
      <c r="K673" s="5">
        <f>121 / 86400</f>
        <v>1.4004629629629629E-3</v>
      </c>
      <c r="L673" s="5">
        <f>189 / 86400</f>
        <v>2.1875000000000002E-3</v>
      </c>
    </row>
    <row r="674" spans="1:12" x14ac:dyDescent="0.25">
      <c r="A674" s="3">
        <v>45708.555578703701</v>
      </c>
      <c r="B674" t="s">
        <v>408</v>
      </c>
      <c r="C674" s="3">
        <v>45708.66134259259</v>
      </c>
      <c r="D674" t="s">
        <v>363</v>
      </c>
      <c r="E674" s="4">
        <v>46.890999999999998</v>
      </c>
      <c r="F674" s="4">
        <v>55812.608999999997</v>
      </c>
      <c r="G674" s="4">
        <v>55859.5</v>
      </c>
      <c r="H674" s="5">
        <f>2977 / 86400</f>
        <v>3.4456018518518518E-2</v>
      </c>
      <c r="I674" t="s">
        <v>298</v>
      </c>
      <c r="J674" t="s">
        <v>34</v>
      </c>
      <c r="K674" s="5">
        <f>9137 / 86400</f>
        <v>0.10575231481481481</v>
      </c>
      <c r="L674" s="5">
        <f>336 / 86400</f>
        <v>3.8888888888888888E-3</v>
      </c>
    </row>
    <row r="675" spans="1:12" x14ac:dyDescent="0.25">
      <c r="A675" s="3">
        <v>45708.665231481486</v>
      </c>
      <c r="B675" t="s">
        <v>363</v>
      </c>
      <c r="C675" s="3">
        <v>45708.665277777778</v>
      </c>
      <c r="D675" t="s">
        <v>363</v>
      </c>
      <c r="E675" s="4">
        <v>0</v>
      </c>
      <c r="F675" s="4">
        <v>55859.5</v>
      </c>
      <c r="G675" s="4">
        <v>55859.5</v>
      </c>
      <c r="H675" s="5">
        <f>0 / 86400</f>
        <v>0</v>
      </c>
      <c r="I675" t="s">
        <v>22</v>
      </c>
      <c r="J675" t="s">
        <v>22</v>
      </c>
      <c r="K675" s="5">
        <f>4 / 86400</f>
        <v>4.6296296296296294E-5</v>
      </c>
      <c r="L675" s="5">
        <f>6 / 86400</f>
        <v>6.9444444444444444E-5</v>
      </c>
    </row>
    <row r="676" spans="1:12" x14ac:dyDescent="0.25">
      <c r="A676" s="3">
        <v>45708.665347222224</v>
      </c>
      <c r="B676" t="s">
        <v>363</v>
      </c>
      <c r="C676" s="3">
        <v>45708.794236111113</v>
      </c>
      <c r="D676" t="s">
        <v>83</v>
      </c>
      <c r="E676" s="4">
        <v>46.451000000000001</v>
      </c>
      <c r="F676" s="4">
        <v>55859.5</v>
      </c>
      <c r="G676" s="4">
        <v>55905.951000000001</v>
      </c>
      <c r="H676" s="5">
        <f>4100 / 86400</f>
        <v>4.7453703703703706E-2</v>
      </c>
      <c r="I676" t="s">
        <v>40</v>
      </c>
      <c r="J676" t="s">
        <v>44</v>
      </c>
      <c r="K676" s="5">
        <f>11136 / 86400</f>
        <v>0.12888888888888889</v>
      </c>
      <c r="L676" s="5">
        <f>250 / 86400</f>
        <v>2.8935185185185184E-3</v>
      </c>
    </row>
    <row r="677" spans="1:12" x14ac:dyDescent="0.25">
      <c r="A677" s="3">
        <v>45708.797129629631</v>
      </c>
      <c r="B677" t="s">
        <v>83</v>
      </c>
      <c r="C677" s="3">
        <v>45708.797280092593</v>
      </c>
      <c r="D677" t="s">
        <v>83</v>
      </c>
      <c r="E677" s="4">
        <v>8.0000000000000002E-3</v>
      </c>
      <c r="F677" s="4">
        <v>55905.951000000001</v>
      </c>
      <c r="G677" s="4">
        <v>55905.959000000003</v>
      </c>
      <c r="H677" s="5">
        <f>0 / 86400</f>
        <v>0</v>
      </c>
      <c r="I677" t="s">
        <v>32</v>
      </c>
      <c r="J677" t="s">
        <v>136</v>
      </c>
      <c r="K677" s="5">
        <f>12 / 86400</f>
        <v>1.3888888888888889E-4</v>
      </c>
      <c r="L677" s="5">
        <f>606 / 86400</f>
        <v>7.013888888888889E-3</v>
      </c>
    </row>
    <row r="678" spans="1:12" x14ac:dyDescent="0.25">
      <c r="A678" s="3">
        <v>45708.804293981477</v>
      </c>
      <c r="B678" t="s">
        <v>83</v>
      </c>
      <c r="C678" s="3">
        <v>45708.807268518518</v>
      </c>
      <c r="D678" t="s">
        <v>51</v>
      </c>
      <c r="E678" s="4">
        <v>0.59099999999999997</v>
      </c>
      <c r="F678" s="4">
        <v>55905.959000000003</v>
      </c>
      <c r="G678" s="4">
        <v>55906.55</v>
      </c>
      <c r="H678" s="5">
        <f>60 / 86400</f>
        <v>6.9444444444444447E-4</v>
      </c>
      <c r="I678" t="s">
        <v>34</v>
      </c>
      <c r="J678" t="s">
        <v>168</v>
      </c>
      <c r="K678" s="5">
        <f>257 / 86400</f>
        <v>2.9745370370370373E-3</v>
      </c>
      <c r="L678" s="5">
        <f>11503 / 86400</f>
        <v>0.13313657407407409</v>
      </c>
    </row>
    <row r="679" spans="1:12" x14ac:dyDescent="0.25">
      <c r="A679" s="3">
        <v>45708.940405092595</v>
      </c>
      <c r="B679" t="s">
        <v>51</v>
      </c>
      <c r="C679" s="3">
        <v>45708.940740740742</v>
      </c>
      <c r="D679" t="s">
        <v>51</v>
      </c>
      <c r="E679" s="4">
        <v>1.2999999999999999E-2</v>
      </c>
      <c r="F679" s="4">
        <v>55906.55</v>
      </c>
      <c r="G679" s="4">
        <v>55906.563000000002</v>
      </c>
      <c r="H679" s="5">
        <f>0 / 86400</f>
        <v>0</v>
      </c>
      <c r="I679" t="s">
        <v>135</v>
      </c>
      <c r="J679" t="s">
        <v>136</v>
      </c>
      <c r="K679" s="5">
        <f>28 / 86400</f>
        <v>3.2407407407407406E-4</v>
      </c>
      <c r="L679" s="5">
        <f>5119 / 86400</f>
        <v>5.9247685185185188E-2</v>
      </c>
    </row>
    <row r="680" spans="1:1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2" s="10" customFormat="1" ht="20.100000000000001" customHeight="1" x14ac:dyDescent="0.35">
      <c r="A682" s="15" t="s">
        <v>482</v>
      </c>
      <c r="B682" s="15"/>
      <c r="C682" s="15"/>
      <c r="D682" s="15"/>
      <c r="E682" s="15"/>
      <c r="F682" s="15"/>
      <c r="G682" s="15"/>
      <c r="H682" s="15"/>
      <c r="I682" s="15"/>
      <c r="J682" s="15"/>
    </row>
    <row r="683" spans="1:1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2" ht="30" x14ac:dyDescent="0.25">
      <c r="A684" s="2" t="s">
        <v>6</v>
      </c>
      <c r="B684" s="2" t="s">
        <v>7</v>
      </c>
      <c r="C684" s="2" t="s">
        <v>8</v>
      </c>
      <c r="D684" s="2" t="s">
        <v>9</v>
      </c>
      <c r="E684" s="2" t="s">
        <v>10</v>
      </c>
      <c r="F684" s="2" t="s">
        <v>11</v>
      </c>
      <c r="G684" s="2" t="s">
        <v>12</v>
      </c>
      <c r="H684" s="2" t="s">
        <v>13</v>
      </c>
      <c r="I684" s="2" t="s">
        <v>14</v>
      </c>
      <c r="J684" s="2" t="s">
        <v>15</v>
      </c>
      <c r="K684" s="2" t="s">
        <v>16</v>
      </c>
      <c r="L684" s="2" t="s">
        <v>17</v>
      </c>
    </row>
    <row r="685" spans="1:12" x14ac:dyDescent="0.25">
      <c r="A685" s="3">
        <v>45708.218333333338</v>
      </c>
      <c r="B685" t="s">
        <v>53</v>
      </c>
      <c r="C685" s="3">
        <v>45708.218425925923</v>
      </c>
      <c r="D685" t="s">
        <v>53</v>
      </c>
      <c r="E685" s="4">
        <v>0</v>
      </c>
      <c r="F685" s="4">
        <v>217339.99299999999</v>
      </c>
      <c r="G685" s="4">
        <v>217339.99299999999</v>
      </c>
      <c r="H685" s="5">
        <f>0 / 86400</f>
        <v>0</v>
      </c>
      <c r="I685" t="s">
        <v>22</v>
      </c>
      <c r="J685" t="s">
        <v>22</v>
      </c>
      <c r="K685" s="5">
        <f>7 / 86400</f>
        <v>8.1018518518518516E-5</v>
      </c>
      <c r="L685" s="5">
        <f>21410 / 86400</f>
        <v>0.24780092592592592</v>
      </c>
    </row>
    <row r="686" spans="1:12" x14ac:dyDescent="0.25">
      <c r="A686" s="3">
        <v>45708.247893518521</v>
      </c>
      <c r="B686" t="s">
        <v>53</v>
      </c>
      <c r="C686" s="3">
        <v>45708.25372685185</v>
      </c>
      <c r="D686" t="s">
        <v>409</v>
      </c>
      <c r="E686" s="4">
        <v>0.40899999999999997</v>
      </c>
      <c r="F686" s="4">
        <v>217339.99299999999</v>
      </c>
      <c r="G686" s="4">
        <v>217340.402</v>
      </c>
      <c r="H686" s="5">
        <f>379 / 86400</f>
        <v>4.386574074074074E-3</v>
      </c>
      <c r="I686" t="s">
        <v>54</v>
      </c>
      <c r="J686" t="s">
        <v>135</v>
      </c>
      <c r="K686" s="5">
        <f>504 / 86400</f>
        <v>5.8333333333333336E-3</v>
      </c>
      <c r="L686" s="5">
        <f>144 / 86400</f>
        <v>1.6666666666666668E-3</v>
      </c>
    </row>
    <row r="687" spans="1:12" x14ac:dyDescent="0.25">
      <c r="A687" s="3">
        <v>45708.255393518513</v>
      </c>
      <c r="B687" t="s">
        <v>409</v>
      </c>
      <c r="C687" s="3">
        <v>45708.261180555557</v>
      </c>
      <c r="D687" t="s">
        <v>53</v>
      </c>
      <c r="E687" s="4">
        <v>0.89500000000000002</v>
      </c>
      <c r="F687" s="4">
        <v>217340.402</v>
      </c>
      <c r="G687" s="4">
        <v>217341.29699999999</v>
      </c>
      <c r="H687" s="5">
        <f>200 / 86400</f>
        <v>2.3148148148148147E-3</v>
      </c>
      <c r="I687" t="s">
        <v>86</v>
      </c>
      <c r="J687" t="s">
        <v>32</v>
      </c>
      <c r="K687" s="5">
        <f>500 / 86400</f>
        <v>5.7870370370370367E-3</v>
      </c>
      <c r="L687" s="5">
        <f>13 / 86400</f>
        <v>1.5046296296296297E-4</v>
      </c>
    </row>
    <row r="688" spans="1:12" x14ac:dyDescent="0.25">
      <c r="A688" s="3">
        <v>45708.261331018519</v>
      </c>
      <c r="B688" t="s">
        <v>53</v>
      </c>
      <c r="C688" s="3">
        <v>45708.261435185181</v>
      </c>
      <c r="D688" t="s">
        <v>53</v>
      </c>
      <c r="E688" s="4">
        <v>0</v>
      </c>
      <c r="F688" s="4">
        <v>217341.29699999999</v>
      </c>
      <c r="G688" s="4">
        <v>217341.29699999999</v>
      </c>
      <c r="H688" s="5">
        <f>2 / 86400</f>
        <v>2.3148148148148147E-5</v>
      </c>
      <c r="I688" t="s">
        <v>22</v>
      </c>
      <c r="J688" t="s">
        <v>22</v>
      </c>
      <c r="K688" s="5">
        <f>9 / 86400</f>
        <v>1.0416666666666667E-4</v>
      </c>
      <c r="L688" s="5">
        <f>63811 / 86400</f>
        <v>0.73855324074074069</v>
      </c>
    </row>
    <row r="689" spans="1:1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2" s="10" customFormat="1" ht="20.100000000000001" customHeight="1" x14ac:dyDescent="0.35">
      <c r="A691" s="15" t="s">
        <v>483</v>
      </c>
      <c r="B691" s="15"/>
      <c r="C691" s="15"/>
      <c r="D691" s="15"/>
      <c r="E691" s="15"/>
      <c r="F691" s="15"/>
      <c r="G691" s="15"/>
      <c r="H691" s="15"/>
      <c r="I691" s="15"/>
      <c r="J691" s="15"/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ht="30" x14ac:dyDescent="0.25">
      <c r="A693" s="2" t="s">
        <v>6</v>
      </c>
      <c r="B693" s="2" t="s">
        <v>7</v>
      </c>
      <c r="C693" s="2" t="s">
        <v>8</v>
      </c>
      <c r="D693" s="2" t="s">
        <v>9</v>
      </c>
      <c r="E693" s="2" t="s">
        <v>10</v>
      </c>
      <c r="F693" s="2" t="s">
        <v>11</v>
      </c>
      <c r="G693" s="2" t="s">
        <v>12</v>
      </c>
      <c r="H693" s="2" t="s">
        <v>13</v>
      </c>
      <c r="I693" s="2" t="s">
        <v>14</v>
      </c>
      <c r="J693" s="2" t="s">
        <v>15</v>
      </c>
      <c r="K693" s="2" t="s">
        <v>16</v>
      </c>
      <c r="L693" s="2" t="s">
        <v>17</v>
      </c>
    </row>
    <row r="694" spans="1:12" x14ac:dyDescent="0.25">
      <c r="A694" s="3">
        <v>45708.266076388885</v>
      </c>
      <c r="B694" t="s">
        <v>56</v>
      </c>
      <c r="C694" s="3">
        <v>45708.278923611113</v>
      </c>
      <c r="D694" t="s">
        <v>87</v>
      </c>
      <c r="E694" s="4">
        <v>1.5319999998807907</v>
      </c>
      <c r="F694" s="4">
        <v>526397.15800000005</v>
      </c>
      <c r="G694" s="4">
        <v>526398.68999999994</v>
      </c>
      <c r="H694" s="5">
        <f>720 / 86400</f>
        <v>8.3333333333333332E-3</v>
      </c>
      <c r="I694" t="s">
        <v>178</v>
      </c>
      <c r="J694" t="s">
        <v>55</v>
      </c>
      <c r="K694" s="5">
        <f>1109 / 86400</f>
        <v>1.2835648148148148E-2</v>
      </c>
      <c r="L694" s="5">
        <f>26703 / 86400</f>
        <v>0.30906250000000002</v>
      </c>
    </row>
    <row r="695" spans="1:12" x14ac:dyDescent="0.25">
      <c r="A695" s="3">
        <v>45708.321909722217</v>
      </c>
      <c r="B695" t="s">
        <v>87</v>
      </c>
      <c r="C695" s="3">
        <v>45708.410567129627</v>
      </c>
      <c r="D695" t="s">
        <v>21</v>
      </c>
      <c r="E695" s="4">
        <v>30.943999999999999</v>
      </c>
      <c r="F695" s="4">
        <v>526398.68999999994</v>
      </c>
      <c r="G695" s="4">
        <v>526429.63399999996</v>
      </c>
      <c r="H695" s="5">
        <f>2779 / 86400</f>
        <v>3.2164351851851854E-2</v>
      </c>
      <c r="I695" t="s">
        <v>263</v>
      </c>
      <c r="J695" t="s">
        <v>44</v>
      </c>
      <c r="K695" s="5">
        <f>7659 / 86400</f>
        <v>8.8645833333333326E-2</v>
      </c>
      <c r="L695" s="5">
        <f>235 / 86400</f>
        <v>2.7199074074074074E-3</v>
      </c>
    </row>
    <row r="696" spans="1:12" x14ac:dyDescent="0.25">
      <c r="A696" s="3">
        <v>45708.413287037038</v>
      </c>
      <c r="B696" t="s">
        <v>21</v>
      </c>
      <c r="C696" s="3">
        <v>45708.413784722223</v>
      </c>
      <c r="D696" t="s">
        <v>21</v>
      </c>
      <c r="E696" s="4">
        <v>5.5000000059604648E-2</v>
      </c>
      <c r="F696" s="4">
        <v>526429.63399999996</v>
      </c>
      <c r="G696" s="4">
        <v>526429.68900000001</v>
      </c>
      <c r="H696" s="5">
        <f>20 / 86400</f>
        <v>2.3148148148148149E-4</v>
      </c>
      <c r="I696" t="s">
        <v>137</v>
      </c>
      <c r="J696" t="s">
        <v>55</v>
      </c>
      <c r="K696" s="5">
        <f>42 / 86400</f>
        <v>4.861111111111111E-4</v>
      </c>
      <c r="L696" s="5">
        <f>254 / 86400</f>
        <v>2.9398148148148148E-3</v>
      </c>
    </row>
    <row r="697" spans="1:12" x14ac:dyDescent="0.25">
      <c r="A697" s="3">
        <v>45708.416724537034</v>
      </c>
      <c r="B697" t="s">
        <v>21</v>
      </c>
      <c r="C697" s="3">
        <v>45708.41788194445</v>
      </c>
      <c r="D697" t="s">
        <v>225</v>
      </c>
      <c r="E697" s="4">
        <v>4.9000000000000002E-2</v>
      </c>
      <c r="F697" s="4">
        <v>526429.68900000001</v>
      </c>
      <c r="G697" s="4">
        <v>526429.73800000001</v>
      </c>
      <c r="H697" s="5">
        <f>59 / 86400</f>
        <v>6.8287037037037036E-4</v>
      </c>
      <c r="I697" t="s">
        <v>55</v>
      </c>
      <c r="J697" t="s">
        <v>136</v>
      </c>
      <c r="K697" s="5">
        <f>99 / 86400</f>
        <v>1.1458333333333333E-3</v>
      </c>
      <c r="L697" s="5">
        <f>162 / 86400</f>
        <v>1.8749999999999999E-3</v>
      </c>
    </row>
    <row r="698" spans="1:12" x14ac:dyDescent="0.25">
      <c r="A698" s="3">
        <v>45708.419756944444</v>
      </c>
      <c r="B698" t="s">
        <v>226</v>
      </c>
      <c r="C698" s="3">
        <v>45708.544328703705</v>
      </c>
      <c r="D698" t="s">
        <v>105</v>
      </c>
      <c r="E698" s="4">
        <v>51.204000000059608</v>
      </c>
      <c r="F698" s="4">
        <v>526429.73800000001</v>
      </c>
      <c r="G698" s="4">
        <v>526480.94200000004</v>
      </c>
      <c r="H698" s="5">
        <f>3300 / 86400</f>
        <v>3.8194444444444448E-2</v>
      </c>
      <c r="I698" t="s">
        <v>57</v>
      </c>
      <c r="J698" t="s">
        <v>20</v>
      </c>
      <c r="K698" s="5">
        <f>10762 / 86400</f>
        <v>0.12456018518518519</v>
      </c>
      <c r="L698" s="5">
        <f>1361 / 86400</f>
        <v>1.5752314814814816E-2</v>
      </c>
    </row>
    <row r="699" spans="1:12" x14ac:dyDescent="0.25">
      <c r="A699" s="3">
        <v>45708.560081018513</v>
      </c>
      <c r="B699" t="s">
        <v>105</v>
      </c>
      <c r="C699" s="3">
        <v>45708.563819444447</v>
      </c>
      <c r="D699" t="s">
        <v>152</v>
      </c>
      <c r="E699" s="4">
        <v>0.65200000000000002</v>
      </c>
      <c r="F699" s="4">
        <v>526480.94200000004</v>
      </c>
      <c r="G699" s="4">
        <v>526481.59400000004</v>
      </c>
      <c r="H699" s="5">
        <f>80 / 86400</f>
        <v>9.2592592592592596E-4</v>
      </c>
      <c r="I699" t="s">
        <v>148</v>
      </c>
      <c r="J699" t="s">
        <v>26</v>
      </c>
      <c r="K699" s="5">
        <f>322 / 86400</f>
        <v>3.7268518518518519E-3</v>
      </c>
      <c r="L699" s="5">
        <f>214 / 86400</f>
        <v>2.476851851851852E-3</v>
      </c>
    </row>
    <row r="700" spans="1:12" x14ac:dyDescent="0.25">
      <c r="A700" s="3">
        <v>45708.566296296296</v>
      </c>
      <c r="B700" t="s">
        <v>152</v>
      </c>
      <c r="C700" s="3">
        <v>45708.567939814813</v>
      </c>
      <c r="D700" t="s">
        <v>399</v>
      </c>
      <c r="E700" s="4">
        <v>0.40200000000000002</v>
      </c>
      <c r="F700" s="4">
        <v>526481.59400000004</v>
      </c>
      <c r="G700" s="4">
        <v>526481.99600000004</v>
      </c>
      <c r="H700" s="5">
        <f>59 / 86400</f>
        <v>6.8287037037037036E-4</v>
      </c>
      <c r="I700" t="s">
        <v>189</v>
      </c>
      <c r="J700" t="s">
        <v>97</v>
      </c>
      <c r="K700" s="5">
        <f>142 / 86400</f>
        <v>1.6435185185185185E-3</v>
      </c>
      <c r="L700" s="5">
        <f>2571 / 86400</f>
        <v>2.9756944444444444E-2</v>
      </c>
    </row>
    <row r="701" spans="1:12" x14ac:dyDescent="0.25">
      <c r="A701" s="3">
        <v>45708.597696759258</v>
      </c>
      <c r="B701" t="s">
        <v>399</v>
      </c>
      <c r="C701" s="3">
        <v>45708.598298611112</v>
      </c>
      <c r="D701" t="s">
        <v>399</v>
      </c>
      <c r="E701" s="4">
        <v>0</v>
      </c>
      <c r="F701" s="4">
        <v>526481.99600000004</v>
      </c>
      <c r="G701" s="4">
        <v>526481.99600000004</v>
      </c>
      <c r="H701" s="5">
        <f>39 / 86400</f>
        <v>4.5138888888888887E-4</v>
      </c>
      <c r="I701" t="s">
        <v>22</v>
      </c>
      <c r="J701" t="s">
        <v>22</v>
      </c>
      <c r="K701" s="5">
        <f>52 / 86400</f>
        <v>6.018518518518519E-4</v>
      </c>
      <c r="L701" s="5">
        <f>24 / 86400</f>
        <v>2.7777777777777778E-4</v>
      </c>
    </row>
    <row r="702" spans="1:12" x14ac:dyDescent="0.25">
      <c r="A702" s="3">
        <v>45708.598576388889</v>
      </c>
      <c r="B702" t="s">
        <v>399</v>
      </c>
      <c r="C702" s="3">
        <v>45708.59988425926</v>
      </c>
      <c r="D702" t="s">
        <v>410</v>
      </c>
      <c r="E702" s="4">
        <v>1.8999999940395355E-2</v>
      </c>
      <c r="F702" s="4">
        <v>526481.99600000004</v>
      </c>
      <c r="G702" s="4">
        <v>526482.01500000001</v>
      </c>
      <c r="H702" s="5">
        <f>79 / 86400</f>
        <v>9.1435185185185185E-4</v>
      </c>
      <c r="I702" t="s">
        <v>145</v>
      </c>
      <c r="J702" t="s">
        <v>145</v>
      </c>
      <c r="K702" s="5">
        <f>113 / 86400</f>
        <v>1.3078703703703703E-3</v>
      </c>
      <c r="L702" s="5">
        <f>2268 / 86400</f>
        <v>2.6249999999999999E-2</v>
      </c>
    </row>
    <row r="703" spans="1:12" x14ac:dyDescent="0.25">
      <c r="A703" s="3">
        <v>45708.626134259262</v>
      </c>
      <c r="B703" t="s">
        <v>410</v>
      </c>
      <c r="C703" s="3">
        <v>45708.627766203703</v>
      </c>
      <c r="D703" t="s">
        <v>152</v>
      </c>
      <c r="E703" s="4">
        <v>0.40299999994039537</v>
      </c>
      <c r="F703" s="4">
        <v>526482.01500000001</v>
      </c>
      <c r="G703" s="4">
        <v>526482.41799999995</v>
      </c>
      <c r="H703" s="5">
        <f>39 / 86400</f>
        <v>4.5138888888888887E-4</v>
      </c>
      <c r="I703" t="s">
        <v>54</v>
      </c>
      <c r="J703" t="s">
        <v>97</v>
      </c>
      <c r="K703" s="5">
        <f>140 / 86400</f>
        <v>1.6203703703703703E-3</v>
      </c>
      <c r="L703" s="5">
        <f>159 / 86400</f>
        <v>1.8402777777777777E-3</v>
      </c>
    </row>
    <row r="704" spans="1:12" x14ac:dyDescent="0.25">
      <c r="A704" s="3">
        <v>45708.629606481481</v>
      </c>
      <c r="B704" t="s">
        <v>152</v>
      </c>
      <c r="C704" s="3">
        <v>45708.629988425921</v>
      </c>
      <c r="D704" t="s">
        <v>83</v>
      </c>
      <c r="E704" s="4">
        <v>6.0000000059604645E-2</v>
      </c>
      <c r="F704" s="4">
        <v>526482.41799999995</v>
      </c>
      <c r="G704" s="4">
        <v>526482.478</v>
      </c>
      <c r="H704" s="5">
        <f>0 / 86400</f>
        <v>0</v>
      </c>
      <c r="I704" t="s">
        <v>97</v>
      </c>
      <c r="J704" t="s">
        <v>26</v>
      </c>
      <c r="K704" s="5">
        <f>32 / 86400</f>
        <v>3.7037037037037035E-4</v>
      </c>
      <c r="L704" s="5">
        <f>849 / 86400</f>
        <v>9.8263888888888897E-3</v>
      </c>
    </row>
    <row r="705" spans="1:12" x14ac:dyDescent="0.25">
      <c r="A705" s="3">
        <v>45708.639814814815</v>
      </c>
      <c r="B705" t="s">
        <v>83</v>
      </c>
      <c r="C705" s="3">
        <v>45708.642118055555</v>
      </c>
      <c r="D705" t="s">
        <v>403</v>
      </c>
      <c r="E705" s="4">
        <v>0.67000000005960469</v>
      </c>
      <c r="F705" s="4">
        <v>526482.478</v>
      </c>
      <c r="G705" s="4">
        <v>526483.14800000004</v>
      </c>
      <c r="H705" s="5">
        <f>59 / 86400</f>
        <v>6.8287037037037036E-4</v>
      </c>
      <c r="I705" t="s">
        <v>31</v>
      </c>
      <c r="J705" t="s">
        <v>65</v>
      </c>
      <c r="K705" s="5">
        <f>198 / 86400</f>
        <v>2.2916666666666667E-3</v>
      </c>
      <c r="L705" s="5">
        <f>2430 / 86400</f>
        <v>2.8125000000000001E-2</v>
      </c>
    </row>
    <row r="706" spans="1:12" x14ac:dyDescent="0.25">
      <c r="A706" s="3">
        <v>45708.67024305556</v>
      </c>
      <c r="B706" t="s">
        <v>53</v>
      </c>
      <c r="C706" s="3">
        <v>45708.67324074074</v>
      </c>
      <c r="D706" t="s">
        <v>395</v>
      </c>
      <c r="E706" s="4">
        <v>0.5579999999403954</v>
      </c>
      <c r="F706" s="4">
        <v>526483.14800000004</v>
      </c>
      <c r="G706" s="4">
        <v>526483.70600000001</v>
      </c>
      <c r="H706" s="5">
        <f>80 / 86400</f>
        <v>9.2592592592592596E-4</v>
      </c>
      <c r="I706" t="s">
        <v>144</v>
      </c>
      <c r="J706" t="s">
        <v>168</v>
      </c>
      <c r="K706" s="5">
        <f>258 / 86400</f>
        <v>2.9861111111111113E-3</v>
      </c>
      <c r="L706" s="5">
        <f>74 / 86400</f>
        <v>8.564814814814815E-4</v>
      </c>
    </row>
    <row r="707" spans="1:12" x14ac:dyDescent="0.25">
      <c r="A707" s="3">
        <v>45708.674097222218</v>
      </c>
      <c r="B707" t="s">
        <v>395</v>
      </c>
      <c r="C707" s="3">
        <v>45708.674259259264</v>
      </c>
      <c r="D707" t="s">
        <v>395</v>
      </c>
      <c r="E707" s="4">
        <v>8.9999999403953552E-3</v>
      </c>
      <c r="F707" s="4">
        <v>526483.70600000001</v>
      </c>
      <c r="G707" s="4">
        <v>526483.71499999997</v>
      </c>
      <c r="H707" s="5">
        <f>0 / 86400</f>
        <v>0</v>
      </c>
      <c r="I707" t="s">
        <v>22</v>
      </c>
      <c r="J707" t="s">
        <v>136</v>
      </c>
      <c r="K707" s="5">
        <f>14 / 86400</f>
        <v>1.6203703703703703E-4</v>
      </c>
      <c r="L707" s="5">
        <f>398 / 86400</f>
        <v>4.6064814814814814E-3</v>
      </c>
    </row>
    <row r="708" spans="1:12" x14ac:dyDescent="0.25">
      <c r="A708" s="3">
        <v>45708.678865740745</v>
      </c>
      <c r="B708" t="s">
        <v>395</v>
      </c>
      <c r="C708" s="3">
        <v>45708.679062499999</v>
      </c>
      <c r="D708" t="s">
        <v>395</v>
      </c>
      <c r="E708" s="4">
        <v>6.0000000596046451E-3</v>
      </c>
      <c r="F708" s="4">
        <v>526483.71499999997</v>
      </c>
      <c r="G708" s="4">
        <v>526483.72100000002</v>
      </c>
      <c r="H708" s="5">
        <f>0 / 86400</f>
        <v>0</v>
      </c>
      <c r="I708" t="s">
        <v>22</v>
      </c>
      <c r="J708" t="s">
        <v>145</v>
      </c>
      <c r="K708" s="5">
        <f>16 / 86400</f>
        <v>1.8518518518518518E-4</v>
      </c>
      <c r="L708" s="5">
        <f>248 / 86400</f>
        <v>2.8703703703703703E-3</v>
      </c>
    </row>
    <row r="709" spans="1:12" x14ac:dyDescent="0.25">
      <c r="A709" s="3">
        <v>45708.681932870371</v>
      </c>
      <c r="B709" t="s">
        <v>395</v>
      </c>
      <c r="C709" s="3">
        <v>45708.682280092587</v>
      </c>
      <c r="D709" t="s">
        <v>395</v>
      </c>
      <c r="E709" s="4">
        <v>5.0000000000000001E-3</v>
      </c>
      <c r="F709" s="4">
        <v>526483.72100000002</v>
      </c>
      <c r="G709" s="4">
        <v>526483.72600000002</v>
      </c>
      <c r="H709" s="5">
        <f>19 / 86400</f>
        <v>2.199074074074074E-4</v>
      </c>
      <c r="I709" t="s">
        <v>22</v>
      </c>
      <c r="J709" t="s">
        <v>145</v>
      </c>
      <c r="K709" s="5">
        <f>30 / 86400</f>
        <v>3.4722222222222224E-4</v>
      </c>
      <c r="L709" s="5">
        <f>274 / 86400</f>
        <v>3.1712962962962962E-3</v>
      </c>
    </row>
    <row r="710" spans="1:12" x14ac:dyDescent="0.25">
      <c r="A710" s="3">
        <v>45708.68545138889</v>
      </c>
      <c r="B710" t="s">
        <v>395</v>
      </c>
      <c r="C710" s="3">
        <v>45708.929097222222</v>
      </c>
      <c r="D710" t="s">
        <v>56</v>
      </c>
      <c r="E710" s="4">
        <v>80.900999999999996</v>
      </c>
      <c r="F710" s="4">
        <v>526483.72600000002</v>
      </c>
      <c r="G710" s="4">
        <v>526564.62699999998</v>
      </c>
      <c r="H710" s="5">
        <f>7981 / 86400</f>
        <v>9.2372685185185183E-2</v>
      </c>
      <c r="I710" t="s">
        <v>411</v>
      </c>
      <c r="J710" t="s">
        <v>58</v>
      </c>
      <c r="K710" s="5">
        <f>21050 / 86400</f>
        <v>0.24363425925925927</v>
      </c>
      <c r="L710" s="5">
        <f>6125 / 86400</f>
        <v>7.0891203703703706E-2</v>
      </c>
    </row>
    <row r="711" spans="1:1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2" s="10" customFormat="1" ht="20.100000000000001" customHeight="1" x14ac:dyDescent="0.35">
      <c r="A713" s="15" t="s">
        <v>484</v>
      </c>
      <c r="B713" s="15"/>
      <c r="C713" s="15"/>
      <c r="D713" s="15"/>
      <c r="E713" s="15"/>
      <c r="F713" s="15"/>
      <c r="G713" s="15"/>
      <c r="H713" s="15"/>
      <c r="I713" s="15"/>
      <c r="J713" s="15"/>
    </row>
    <row r="714" spans="1:1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2" ht="30" x14ac:dyDescent="0.25">
      <c r="A715" s="2" t="s">
        <v>6</v>
      </c>
      <c r="B715" s="2" t="s">
        <v>7</v>
      </c>
      <c r="C715" s="2" t="s">
        <v>8</v>
      </c>
      <c r="D715" s="2" t="s">
        <v>9</v>
      </c>
      <c r="E715" s="2" t="s">
        <v>10</v>
      </c>
      <c r="F715" s="2" t="s">
        <v>11</v>
      </c>
      <c r="G715" s="2" t="s">
        <v>12</v>
      </c>
      <c r="H715" s="2" t="s">
        <v>13</v>
      </c>
      <c r="I715" s="2" t="s">
        <v>14</v>
      </c>
      <c r="J715" s="2" t="s">
        <v>15</v>
      </c>
      <c r="K715" s="2" t="s">
        <v>16</v>
      </c>
      <c r="L715" s="2" t="s">
        <v>17</v>
      </c>
    </row>
    <row r="716" spans="1:12" x14ac:dyDescent="0.25">
      <c r="A716" s="3">
        <v>45708.249722222223</v>
      </c>
      <c r="B716" t="s">
        <v>59</v>
      </c>
      <c r="C716" s="3">
        <v>45708.367280092592</v>
      </c>
      <c r="D716" t="s">
        <v>21</v>
      </c>
      <c r="E716" s="4">
        <v>49.918999999999997</v>
      </c>
      <c r="F716" s="4">
        <v>345967.32400000002</v>
      </c>
      <c r="G716" s="4">
        <v>346017.24300000002</v>
      </c>
      <c r="H716" s="5">
        <f>3380 / 86400</f>
        <v>3.9120370370370368E-2</v>
      </c>
      <c r="I716" t="s">
        <v>61</v>
      </c>
      <c r="J716" t="s">
        <v>34</v>
      </c>
      <c r="K716" s="5">
        <f>10156 / 86400</f>
        <v>0.1175462962962963</v>
      </c>
      <c r="L716" s="5">
        <f>22175 / 86400</f>
        <v>0.25665509259259262</v>
      </c>
    </row>
    <row r="717" spans="1:12" x14ac:dyDescent="0.25">
      <c r="A717" s="3">
        <v>45708.374212962968</v>
      </c>
      <c r="B717" t="s">
        <v>21</v>
      </c>
      <c r="C717" s="3">
        <v>45708.410949074074</v>
      </c>
      <c r="D717" t="s">
        <v>412</v>
      </c>
      <c r="E717" s="4">
        <v>8.2739999999999991</v>
      </c>
      <c r="F717" s="4">
        <v>346017.24300000002</v>
      </c>
      <c r="G717" s="4">
        <v>346025.51699999999</v>
      </c>
      <c r="H717" s="5">
        <f>1259 / 86400</f>
        <v>1.457175925925926E-2</v>
      </c>
      <c r="I717" t="s">
        <v>244</v>
      </c>
      <c r="J717" t="s">
        <v>137</v>
      </c>
      <c r="K717" s="5">
        <f>3174 / 86400</f>
        <v>3.6736111111111108E-2</v>
      </c>
      <c r="L717" s="5">
        <f>39 / 86400</f>
        <v>4.5138888888888887E-4</v>
      </c>
    </row>
    <row r="718" spans="1:12" x14ac:dyDescent="0.25">
      <c r="A718" s="3">
        <v>45708.411400462966</v>
      </c>
      <c r="B718" t="s">
        <v>412</v>
      </c>
      <c r="C718" s="3">
        <v>45708.500243055554</v>
      </c>
      <c r="D718" t="s">
        <v>149</v>
      </c>
      <c r="E718" s="4">
        <v>42.218000000000004</v>
      </c>
      <c r="F718" s="4">
        <v>346025.51699999999</v>
      </c>
      <c r="G718" s="4">
        <v>346067.73499999999</v>
      </c>
      <c r="H718" s="5">
        <f>1917 / 86400</f>
        <v>2.2187499999999999E-2</v>
      </c>
      <c r="I718" t="s">
        <v>130</v>
      </c>
      <c r="J718" t="s">
        <v>131</v>
      </c>
      <c r="K718" s="5">
        <f>7675 / 86400</f>
        <v>8.8831018518518517E-2</v>
      </c>
      <c r="L718" s="5">
        <f>1168 / 86400</f>
        <v>1.3518518518518518E-2</v>
      </c>
    </row>
    <row r="719" spans="1:12" x14ac:dyDescent="0.25">
      <c r="A719" s="3">
        <v>45708.513761574075</v>
      </c>
      <c r="B719" t="s">
        <v>149</v>
      </c>
      <c r="C719" s="3">
        <v>45708.515219907407</v>
      </c>
      <c r="D719" t="s">
        <v>397</v>
      </c>
      <c r="E719" s="4">
        <v>0.61699999999999999</v>
      </c>
      <c r="F719" s="4">
        <v>346067.73499999999</v>
      </c>
      <c r="G719" s="4">
        <v>346068.35200000001</v>
      </c>
      <c r="H719" s="5">
        <f>0 / 86400</f>
        <v>0</v>
      </c>
      <c r="I719" t="s">
        <v>54</v>
      </c>
      <c r="J719" t="s">
        <v>34</v>
      </c>
      <c r="K719" s="5">
        <f>125 / 86400</f>
        <v>1.4467592592592592E-3</v>
      </c>
      <c r="L719" s="5">
        <f>1712 / 86400</f>
        <v>1.9814814814814816E-2</v>
      </c>
    </row>
    <row r="720" spans="1:12" x14ac:dyDescent="0.25">
      <c r="A720" s="3">
        <v>45708.535034722227</v>
      </c>
      <c r="B720" t="s">
        <v>397</v>
      </c>
      <c r="C720" s="3">
        <v>45708.537129629629</v>
      </c>
      <c r="D720" t="s">
        <v>83</v>
      </c>
      <c r="E720" s="4">
        <v>0.63200000000000001</v>
      </c>
      <c r="F720" s="4">
        <v>346068.35200000001</v>
      </c>
      <c r="G720" s="4">
        <v>346068.984</v>
      </c>
      <c r="H720" s="5">
        <f>20 / 86400</f>
        <v>2.3148148148148149E-4</v>
      </c>
      <c r="I720" t="s">
        <v>38</v>
      </c>
      <c r="J720" t="s">
        <v>29</v>
      </c>
      <c r="K720" s="5">
        <f>181 / 86400</f>
        <v>2.0949074074074073E-3</v>
      </c>
      <c r="L720" s="5">
        <f>230 / 86400</f>
        <v>2.662037037037037E-3</v>
      </c>
    </row>
    <row r="721" spans="1:12" x14ac:dyDescent="0.25">
      <c r="A721" s="3">
        <v>45708.53979166667</v>
      </c>
      <c r="B721" t="s">
        <v>83</v>
      </c>
      <c r="C721" s="3">
        <v>45708.65320601852</v>
      </c>
      <c r="D721" t="s">
        <v>21</v>
      </c>
      <c r="E721" s="4">
        <v>49.832000000000001</v>
      </c>
      <c r="F721" s="4">
        <v>346068.984</v>
      </c>
      <c r="G721" s="4">
        <v>346118.81599999999</v>
      </c>
      <c r="H721" s="5">
        <f>3238 / 86400</f>
        <v>3.7476851851851851E-2</v>
      </c>
      <c r="I721" t="s">
        <v>46</v>
      </c>
      <c r="J721" t="s">
        <v>34</v>
      </c>
      <c r="K721" s="5">
        <f>9798 / 86400</f>
        <v>0.11340277777777778</v>
      </c>
      <c r="L721" s="5">
        <f>3966 / 86400</f>
        <v>4.5902777777777778E-2</v>
      </c>
    </row>
    <row r="722" spans="1:12" x14ac:dyDescent="0.25">
      <c r="A722" s="3">
        <v>45708.699108796296</v>
      </c>
      <c r="B722" t="s">
        <v>21</v>
      </c>
      <c r="C722" s="3">
        <v>45708.817349537036</v>
      </c>
      <c r="D722" t="s">
        <v>413</v>
      </c>
      <c r="E722" s="4">
        <v>35.700000000000003</v>
      </c>
      <c r="F722" s="4">
        <v>346118.81599999999</v>
      </c>
      <c r="G722" s="4">
        <v>346154.516</v>
      </c>
      <c r="H722" s="5">
        <f>4198 / 86400</f>
        <v>4.8587962962962965E-2</v>
      </c>
      <c r="I722" t="s">
        <v>90</v>
      </c>
      <c r="J722" t="s">
        <v>29</v>
      </c>
      <c r="K722" s="5">
        <f>10216 / 86400</f>
        <v>0.11824074074074074</v>
      </c>
      <c r="L722" s="5">
        <f>630 / 86400</f>
        <v>7.2916666666666668E-3</v>
      </c>
    </row>
    <row r="723" spans="1:12" x14ac:dyDescent="0.25">
      <c r="A723" s="3">
        <v>45708.824641203704</v>
      </c>
      <c r="B723" t="s">
        <v>413</v>
      </c>
      <c r="C723" s="3">
        <v>45708.855520833335</v>
      </c>
      <c r="D723" t="s">
        <v>60</v>
      </c>
      <c r="E723" s="4">
        <v>17.559999999999999</v>
      </c>
      <c r="F723" s="4">
        <v>346154.516</v>
      </c>
      <c r="G723" s="4">
        <v>346172.076</v>
      </c>
      <c r="H723" s="5">
        <f>800 / 86400</f>
        <v>9.2592592592592587E-3</v>
      </c>
      <c r="I723" t="s">
        <v>101</v>
      </c>
      <c r="J723" t="s">
        <v>157</v>
      </c>
      <c r="K723" s="5">
        <f>2668 / 86400</f>
        <v>3.0879629629629628E-2</v>
      </c>
      <c r="L723" s="5">
        <f>83 / 86400</f>
        <v>9.6064814814814819E-4</v>
      </c>
    </row>
    <row r="724" spans="1:12" x14ac:dyDescent="0.25">
      <c r="A724" s="3">
        <v>45708.856481481482</v>
      </c>
      <c r="B724" t="s">
        <v>60</v>
      </c>
      <c r="C724" s="3">
        <v>45708.857233796298</v>
      </c>
      <c r="D724" t="s">
        <v>60</v>
      </c>
      <c r="E724" s="4">
        <v>2.7E-2</v>
      </c>
      <c r="F724" s="4">
        <v>346172.076</v>
      </c>
      <c r="G724" s="4">
        <v>346172.103</v>
      </c>
      <c r="H724" s="5">
        <f>40 / 86400</f>
        <v>4.6296296296296298E-4</v>
      </c>
      <c r="I724" t="s">
        <v>55</v>
      </c>
      <c r="J724" t="s">
        <v>145</v>
      </c>
      <c r="K724" s="5">
        <f>65 / 86400</f>
        <v>7.5231481481481482E-4</v>
      </c>
      <c r="L724" s="5">
        <f>188 / 86400</f>
        <v>2.1759259259259258E-3</v>
      </c>
    </row>
    <row r="725" spans="1:12" x14ac:dyDescent="0.25">
      <c r="A725" s="3">
        <v>45708.859409722223</v>
      </c>
      <c r="B725" t="s">
        <v>60</v>
      </c>
      <c r="C725" s="3">
        <v>45708.860092592593</v>
      </c>
      <c r="D725" t="s">
        <v>60</v>
      </c>
      <c r="E725" s="4">
        <v>7.0000000000000001E-3</v>
      </c>
      <c r="F725" s="4">
        <v>346172.103</v>
      </c>
      <c r="G725" s="4">
        <v>346172.11</v>
      </c>
      <c r="H725" s="5">
        <f>39 / 86400</f>
        <v>4.5138888888888887E-4</v>
      </c>
      <c r="I725" t="s">
        <v>22</v>
      </c>
      <c r="J725" t="s">
        <v>22</v>
      </c>
      <c r="K725" s="5">
        <f>58 / 86400</f>
        <v>6.7129629629629625E-4</v>
      </c>
      <c r="L725" s="5">
        <f>12087 / 86400</f>
        <v>0.13989583333333333</v>
      </c>
    </row>
    <row r="726" spans="1:1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</row>
    <row r="727" spans="1:1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 spans="1:12" s="10" customFormat="1" ht="20.100000000000001" customHeight="1" x14ac:dyDescent="0.35">
      <c r="A728" s="15" t="s">
        <v>485</v>
      </c>
      <c r="B728" s="15"/>
      <c r="C728" s="15"/>
      <c r="D728" s="15"/>
      <c r="E728" s="15"/>
      <c r="F728" s="15"/>
      <c r="G728" s="15"/>
      <c r="H728" s="15"/>
      <c r="I728" s="15"/>
      <c r="J728" s="15"/>
    </row>
    <row r="729" spans="1:1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</row>
    <row r="730" spans="1:12" ht="30" x14ac:dyDescent="0.25">
      <c r="A730" s="2" t="s">
        <v>6</v>
      </c>
      <c r="B730" s="2" t="s">
        <v>7</v>
      </c>
      <c r="C730" s="2" t="s">
        <v>8</v>
      </c>
      <c r="D730" s="2" t="s">
        <v>9</v>
      </c>
      <c r="E730" s="2" t="s">
        <v>10</v>
      </c>
      <c r="F730" s="2" t="s">
        <v>11</v>
      </c>
      <c r="G730" s="2" t="s">
        <v>12</v>
      </c>
      <c r="H730" s="2" t="s">
        <v>13</v>
      </c>
      <c r="I730" s="2" t="s">
        <v>14</v>
      </c>
      <c r="J730" s="2" t="s">
        <v>15</v>
      </c>
      <c r="K730" s="2" t="s">
        <v>16</v>
      </c>
      <c r="L730" s="2" t="s">
        <v>17</v>
      </c>
    </row>
    <row r="731" spans="1:12" x14ac:dyDescent="0.25">
      <c r="A731" s="3">
        <v>45708.252500000002</v>
      </c>
      <c r="B731" t="s">
        <v>62</v>
      </c>
      <c r="C731" s="3">
        <v>45708.253981481481</v>
      </c>
      <c r="D731" t="s">
        <v>129</v>
      </c>
      <c r="E731" s="4">
        <v>0.34699999999999998</v>
      </c>
      <c r="F731" s="4">
        <v>426886.15700000001</v>
      </c>
      <c r="G731" s="4">
        <v>426886.50400000002</v>
      </c>
      <c r="H731" s="5">
        <f>20 / 86400</f>
        <v>2.3148148148148149E-4</v>
      </c>
      <c r="I731" t="s">
        <v>58</v>
      </c>
      <c r="J731" t="s">
        <v>97</v>
      </c>
      <c r="K731" s="5">
        <f>127 / 86400</f>
        <v>1.4699074074074074E-3</v>
      </c>
      <c r="L731" s="5">
        <f>22153 / 86400</f>
        <v>0.25640046296296298</v>
      </c>
    </row>
    <row r="732" spans="1:12" x14ac:dyDescent="0.25">
      <c r="A732" s="3">
        <v>45708.257881944446</v>
      </c>
      <c r="B732" t="s">
        <v>129</v>
      </c>
      <c r="C732" s="3">
        <v>45708.339502314819</v>
      </c>
      <c r="D732" t="s">
        <v>83</v>
      </c>
      <c r="E732" s="4">
        <v>45.14</v>
      </c>
      <c r="F732" s="4">
        <v>426886.50400000002</v>
      </c>
      <c r="G732" s="4">
        <v>426931.64399999997</v>
      </c>
      <c r="H732" s="5">
        <f>1481 / 86400</f>
        <v>1.7141203703703704E-2</v>
      </c>
      <c r="I732" t="s">
        <v>40</v>
      </c>
      <c r="J732" t="s">
        <v>144</v>
      </c>
      <c r="K732" s="5">
        <f>7052 / 86400</f>
        <v>8.1620370370370371E-2</v>
      </c>
      <c r="L732" s="5">
        <f>1734 / 86400</f>
        <v>2.0069444444444445E-2</v>
      </c>
    </row>
    <row r="733" spans="1:12" x14ac:dyDescent="0.25">
      <c r="A733" s="3">
        <v>45708.359571759254</v>
      </c>
      <c r="B733" t="s">
        <v>83</v>
      </c>
      <c r="C733" s="3">
        <v>45708.362986111111</v>
      </c>
      <c r="D733" t="s">
        <v>149</v>
      </c>
      <c r="E733" s="4">
        <v>1.3029999999999999</v>
      </c>
      <c r="F733" s="4">
        <v>426931.64399999997</v>
      </c>
      <c r="G733" s="4">
        <v>426932.94699999999</v>
      </c>
      <c r="H733" s="5">
        <f>0 / 86400</f>
        <v>0</v>
      </c>
      <c r="I733" t="s">
        <v>54</v>
      </c>
      <c r="J733" t="s">
        <v>49</v>
      </c>
      <c r="K733" s="5">
        <f>294 / 86400</f>
        <v>3.4027777777777776E-3</v>
      </c>
      <c r="L733" s="5">
        <f>8978 / 86400</f>
        <v>0.10391203703703704</v>
      </c>
    </row>
    <row r="734" spans="1:12" x14ac:dyDescent="0.25">
      <c r="A734" s="3">
        <v>45708.466898148152</v>
      </c>
      <c r="B734" t="s">
        <v>149</v>
      </c>
      <c r="C734" s="3">
        <v>45708.60738425926</v>
      </c>
      <c r="D734" t="s">
        <v>128</v>
      </c>
      <c r="E734" s="4">
        <v>51.286000000000001</v>
      </c>
      <c r="F734" s="4">
        <v>426932.94699999999</v>
      </c>
      <c r="G734" s="4">
        <v>426984.23300000001</v>
      </c>
      <c r="H734" s="5">
        <f>4319 / 86400</f>
        <v>4.9988425925925929E-2</v>
      </c>
      <c r="I734" t="s">
        <v>172</v>
      </c>
      <c r="J734" t="s">
        <v>44</v>
      </c>
      <c r="K734" s="5">
        <f>12138 / 86400</f>
        <v>0.14048611111111112</v>
      </c>
      <c r="L734" s="5">
        <f>151 / 86400</f>
        <v>1.7476851851851852E-3</v>
      </c>
    </row>
    <row r="735" spans="1:12" x14ac:dyDescent="0.25">
      <c r="A735" s="3">
        <v>45708.609131944446</v>
      </c>
      <c r="B735" t="s">
        <v>128</v>
      </c>
      <c r="C735" s="3">
        <v>45708.695972222224</v>
      </c>
      <c r="D735" t="s">
        <v>293</v>
      </c>
      <c r="E735" s="4">
        <v>18.946999999999999</v>
      </c>
      <c r="F735" s="4">
        <v>426984.23300000001</v>
      </c>
      <c r="G735" s="4">
        <v>427003.18</v>
      </c>
      <c r="H735" s="5">
        <f>3459 / 86400</f>
        <v>4.0034722222222222E-2</v>
      </c>
      <c r="I735" t="s">
        <v>207</v>
      </c>
      <c r="J735" t="s">
        <v>137</v>
      </c>
      <c r="K735" s="5">
        <f>7503 / 86400</f>
        <v>8.684027777777778E-2</v>
      </c>
      <c r="L735" s="5">
        <f>453 / 86400</f>
        <v>5.2430555555555555E-3</v>
      </c>
    </row>
    <row r="736" spans="1:12" x14ac:dyDescent="0.25">
      <c r="A736" s="3">
        <v>45708.701215277775</v>
      </c>
      <c r="B736" t="s">
        <v>293</v>
      </c>
      <c r="C736" s="3">
        <v>45708.704016203701</v>
      </c>
      <c r="D736" t="s">
        <v>18</v>
      </c>
      <c r="E736" s="4">
        <v>0.56200000000000006</v>
      </c>
      <c r="F736" s="4">
        <v>427003.18</v>
      </c>
      <c r="G736" s="4">
        <v>427003.74200000003</v>
      </c>
      <c r="H736" s="5">
        <f>40 / 86400</f>
        <v>4.6296296296296298E-4</v>
      </c>
      <c r="I736" t="s">
        <v>58</v>
      </c>
      <c r="J736" t="s">
        <v>168</v>
      </c>
      <c r="K736" s="5">
        <f>242 / 86400</f>
        <v>2.8009259259259259E-3</v>
      </c>
      <c r="L736" s="5">
        <f>42 / 86400</f>
        <v>4.861111111111111E-4</v>
      </c>
    </row>
    <row r="737" spans="1:12" x14ac:dyDescent="0.25">
      <c r="A737" s="3">
        <v>45708.704502314809</v>
      </c>
      <c r="B737" t="s">
        <v>18</v>
      </c>
      <c r="C737" s="3">
        <v>45708.704965277779</v>
      </c>
      <c r="D737" t="s">
        <v>18</v>
      </c>
      <c r="E737" s="4">
        <v>1.2E-2</v>
      </c>
      <c r="F737" s="4">
        <v>427003.74200000003</v>
      </c>
      <c r="G737" s="4">
        <v>427003.75400000002</v>
      </c>
      <c r="H737" s="5">
        <f>19 / 86400</f>
        <v>2.199074074074074E-4</v>
      </c>
      <c r="I737" t="s">
        <v>22</v>
      </c>
      <c r="J737" t="s">
        <v>145</v>
      </c>
      <c r="K737" s="5">
        <f>39 / 86400</f>
        <v>4.5138888888888887E-4</v>
      </c>
      <c r="L737" s="5">
        <f>6894 / 86400</f>
        <v>7.9791666666666664E-2</v>
      </c>
    </row>
    <row r="738" spans="1:12" x14ac:dyDescent="0.25">
      <c r="A738" s="3">
        <v>45708.784756944442</v>
      </c>
      <c r="B738" t="s">
        <v>18</v>
      </c>
      <c r="C738" s="3">
        <v>45708.793495370366</v>
      </c>
      <c r="D738" t="s">
        <v>62</v>
      </c>
      <c r="E738" s="4">
        <v>1.093</v>
      </c>
      <c r="F738" s="4">
        <v>427003.75400000002</v>
      </c>
      <c r="G738" s="4">
        <v>427004.84700000001</v>
      </c>
      <c r="H738" s="5">
        <f>379 / 86400</f>
        <v>4.386574074074074E-3</v>
      </c>
      <c r="I738" t="s">
        <v>217</v>
      </c>
      <c r="J738" t="s">
        <v>55</v>
      </c>
      <c r="K738" s="5">
        <f>754 / 86400</f>
        <v>8.726851851851852E-3</v>
      </c>
      <c r="L738" s="5">
        <f>1385 / 86400</f>
        <v>1.6030092592592592E-2</v>
      </c>
    </row>
    <row r="739" spans="1:12" x14ac:dyDescent="0.25">
      <c r="A739" s="3">
        <v>45708.809525462959</v>
      </c>
      <c r="B739" t="s">
        <v>62</v>
      </c>
      <c r="C739" s="3">
        <v>45708.812581018516</v>
      </c>
      <c r="D739" t="s">
        <v>62</v>
      </c>
      <c r="E739" s="4">
        <v>2.1000000000000001E-2</v>
      </c>
      <c r="F739" s="4">
        <v>427004.84700000001</v>
      </c>
      <c r="G739" s="4">
        <v>427004.86800000002</v>
      </c>
      <c r="H739" s="5">
        <f>199 / 86400</f>
        <v>2.3032407407407407E-3</v>
      </c>
      <c r="I739" t="s">
        <v>136</v>
      </c>
      <c r="J739" t="s">
        <v>22</v>
      </c>
      <c r="K739" s="5">
        <f>263 / 86400</f>
        <v>3.0439814814814813E-3</v>
      </c>
      <c r="L739" s="5">
        <f>16192 / 86400</f>
        <v>0.18740740740740741</v>
      </c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s="10" customFormat="1" ht="20.100000000000001" customHeight="1" x14ac:dyDescent="0.35">
      <c r="A742" s="15" t="s">
        <v>486</v>
      </c>
      <c r="B742" s="15"/>
      <c r="C742" s="15"/>
      <c r="D742" s="15"/>
      <c r="E742" s="15"/>
      <c r="F742" s="15"/>
      <c r="G742" s="15"/>
      <c r="H742" s="15"/>
      <c r="I742" s="15"/>
      <c r="J742" s="15"/>
    </row>
    <row r="743" spans="1:1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 spans="1:12" ht="30" x14ac:dyDescent="0.25">
      <c r="A744" s="2" t="s">
        <v>6</v>
      </c>
      <c r="B744" s="2" t="s">
        <v>7</v>
      </c>
      <c r="C744" s="2" t="s">
        <v>8</v>
      </c>
      <c r="D744" s="2" t="s">
        <v>9</v>
      </c>
      <c r="E744" s="2" t="s">
        <v>10</v>
      </c>
      <c r="F744" s="2" t="s">
        <v>11</v>
      </c>
      <c r="G744" s="2" t="s">
        <v>12</v>
      </c>
      <c r="H744" s="2" t="s">
        <v>13</v>
      </c>
      <c r="I744" s="2" t="s">
        <v>14</v>
      </c>
      <c r="J744" s="2" t="s">
        <v>15</v>
      </c>
      <c r="K744" s="2" t="s">
        <v>16</v>
      </c>
      <c r="L744" s="2" t="s">
        <v>17</v>
      </c>
    </row>
    <row r="745" spans="1:12" x14ac:dyDescent="0.25">
      <c r="A745" s="3">
        <v>45708.142013888893</v>
      </c>
      <c r="B745" t="s">
        <v>63</v>
      </c>
      <c r="C745" s="3">
        <v>45708.150902777779</v>
      </c>
      <c r="D745" t="s">
        <v>271</v>
      </c>
      <c r="E745" s="4">
        <v>3.48</v>
      </c>
      <c r="F745" s="4">
        <v>139575.25399999999</v>
      </c>
      <c r="G745" s="4">
        <v>139578.734</v>
      </c>
      <c r="H745" s="5">
        <f>219 / 86400</f>
        <v>2.5347222222222221E-3</v>
      </c>
      <c r="I745" t="s">
        <v>96</v>
      </c>
      <c r="J745" t="s">
        <v>49</v>
      </c>
      <c r="K745" s="5">
        <f>767 / 86400</f>
        <v>8.8773148148148153E-3</v>
      </c>
      <c r="L745" s="5">
        <f>13297 / 86400</f>
        <v>0.15390046296296298</v>
      </c>
    </row>
    <row r="746" spans="1:12" x14ac:dyDescent="0.25">
      <c r="A746" s="3">
        <v>45708.162789351853</v>
      </c>
      <c r="B746" t="s">
        <v>271</v>
      </c>
      <c r="C746" s="3">
        <v>45708.226041666669</v>
      </c>
      <c r="D746" t="s">
        <v>414</v>
      </c>
      <c r="E746" s="4">
        <v>33.360999999999997</v>
      </c>
      <c r="F746" s="4">
        <v>139578.734</v>
      </c>
      <c r="G746" s="4">
        <v>139612.095</v>
      </c>
      <c r="H746" s="5">
        <f>1258 / 86400</f>
        <v>1.4560185185185185E-2</v>
      </c>
      <c r="I746" t="s">
        <v>116</v>
      </c>
      <c r="J746" t="s">
        <v>148</v>
      </c>
      <c r="K746" s="5">
        <f>5465 / 86400</f>
        <v>6.3252314814814817E-2</v>
      </c>
      <c r="L746" s="5">
        <f>416 / 86400</f>
        <v>4.8148148148148152E-3</v>
      </c>
    </row>
    <row r="747" spans="1:12" x14ac:dyDescent="0.25">
      <c r="A747" s="3">
        <v>45708.230856481481</v>
      </c>
      <c r="B747" t="s">
        <v>225</v>
      </c>
      <c r="C747" s="3">
        <v>45708.331886574073</v>
      </c>
      <c r="D747" t="s">
        <v>105</v>
      </c>
      <c r="E747" s="4">
        <v>50.883000000000003</v>
      </c>
      <c r="F747" s="4">
        <v>139612.095</v>
      </c>
      <c r="G747" s="4">
        <v>139662.978</v>
      </c>
      <c r="H747" s="5">
        <f>1981 / 86400</f>
        <v>2.2928240740740742E-2</v>
      </c>
      <c r="I747" t="s">
        <v>113</v>
      </c>
      <c r="J747" t="s">
        <v>38</v>
      </c>
      <c r="K747" s="5">
        <f>8728 / 86400</f>
        <v>0.10101851851851852</v>
      </c>
      <c r="L747" s="5">
        <f>272 / 86400</f>
        <v>3.1481481481481482E-3</v>
      </c>
    </row>
    <row r="748" spans="1:12" x14ac:dyDescent="0.25">
      <c r="A748" s="3">
        <v>45708.335034722222</v>
      </c>
      <c r="B748" t="s">
        <v>105</v>
      </c>
      <c r="C748" s="3">
        <v>45708.338136574079</v>
      </c>
      <c r="D748" t="s">
        <v>83</v>
      </c>
      <c r="E748" s="4">
        <v>0.65800000000000003</v>
      </c>
      <c r="F748" s="4">
        <v>139662.978</v>
      </c>
      <c r="G748" s="4">
        <v>139663.636</v>
      </c>
      <c r="H748" s="5">
        <f>80 / 86400</f>
        <v>9.2592592592592596E-4</v>
      </c>
      <c r="I748" t="s">
        <v>250</v>
      </c>
      <c r="J748" t="s">
        <v>137</v>
      </c>
      <c r="K748" s="5">
        <f>267 / 86400</f>
        <v>3.0902777777777777E-3</v>
      </c>
      <c r="L748" s="5">
        <f>296 / 86400</f>
        <v>3.425925925925926E-3</v>
      </c>
    </row>
    <row r="749" spans="1:12" x14ac:dyDescent="0.25">
      <c r="A749" s="3">
        <v>45708.341562500005</v>
      </c>
      <c r="B749" t="s">
        <v>83</v>
      </c>
      <c r="C749" s="3">
        <v>45708.342905092592</v>
      </c>
      <c r="D749" t="s">
        <v>83</v>
      </c>
      <c r="E749" s="4">
        <v>0</v>
      </c>
      <c r="F749" s="4">
        <v>139663.636</v>
      </c>
      <c r="G749" s="4">
        <v>139663.636</v>
      </c>
      <c r="H749" s="5">
        <f>99 / 86400</f>
        <v>1.1458333333333333E-3</v>
      </c>
      <c r="I749" t="s">
        <v>22</v>
      </c>
      <c r="J749" t="s">
        <v>22</v>
      </c>
      <c r="K749" s="5">
        <f>116 / 86400</f>
        <v>1.3425925925925925E-3</v>
      </c>
      <c r="L749" s="5">
        <f>405 / 86400</f>
        <v>4.6874999999999998E-3</v>
      </c>
    </row>
    <row r="750" spans="1:12" x14ac:dyDescent="0.25">
      <c r="A750" s="3">
        <v>45708.347592592589</v>
      </c>
      <c r="B750" t="s">
        <v>83</v>
      </c>
      <c r="C750" s="3">
        <v>45708.351099537038</v>
      </c>
      <c r="D750" t="s">
        <v>51</v>
      </c>
      <c r="E750" s="4">
        <v>0.70299999999999996</v>
      </c>
      <c r="F750" s="4">
        <v>139663.636</v>
      </c>
      <c r="G750" s="4">
        <v>139664.33900000001</v>
      </c>
      <c r="H750" s="5">
        <f>59 / 86400</f>
        <v>6.8287037037037036E-4</v>
      </c>
      <c r="I750" t="s">
        <v>189</v>
      </c>
      <c r="J750" t="s">
        <v>168</v>
      </c>
      <c r="K750" s="5">
        <f>302 / 86400</f>
        <v>3.4953703703703705E-3</v>
      </c>
      <c r="L750" s="5">
        <f>79 / 86400</f>
        <v>9.1435185185185185E-4</v>
      </c>
    </row>
    <row r="751" spans="1:12" x14ac:dyDescent="0.25">
      <c r="A751" s="3">
        <v>45708.352013888885</v>
      </c>
      <c r="B751" t="s">
        <v>51</v>
      </c>
      <c r="C751" s="3">
        <v>45708.352511574078</v>
      </c>
      <c r="D751" t="s">
        <v>51</v>
      </c>
      <c r="E751" s="4">
        <v>0.02</v>
      </c>
      <c r="F751" s="4">
        <v>139664.33900000001</v>
      </c>
      <c r="G751" s="4">
        <v>139664.359</v>
      </c>
      <c r="H751" s="5">
        <f>20 / 86400</f>
        <v>2.3148148148148149E-4</v>
      </c>
      <c r="I751" t="s">
        <v>136</v>
      </c>
      <c r="J751" t="s">
        <v>136</v>
      </c>
      <c r="K751" s="5">
        <f>42 / 86400</f>
        <v>4.861111111111111E-4</v>
      </c>
      <c r="L751" s="5">
        <f>17339 / 86400</f>
        <v>0.20068287037037036</v>
      </c>
    </row>
    <row r="752" spans="1:12" x14ac:dyDescent="0.25">
      <c r="A752" s="3">
        <v>45708.553194444445</v>
      </c>
      <c r="B752" t="s">
        <v>51</v>
      </c>
      <c r="C752" s="3">
        <v>45708.558946759258</v>
      </c>
      <c r="D752" t="s">
        <v>83</v>
      </c>
      <c r="E752" s="4">
        <v>0.52</v>
      </c>
      <c r="F752" s="4">
        <v>139664.359</v>
      </c>
      <c r="G752" s="4">
        <v>139664.87899999999</v>
      </c>
      <c r="H752" s="5">
        <f>319 / 86400</f>
        <v>3.6921296296296298E-3</v>
      </c>
      <c r="I752" t="s">
        <v>134</v>
      </c>
      <c r="J752" t="s">
        <v>143</v>
      </c>
      <c r="K752" s="5">
        <f>497 / 86400</f>
        <v>5.7523148148148151E-3</v>
      </c>
      <c r="L752" s="5">
        <f>242 / 86400</f>
        <v>2.8009259259259259E-3</v>
      </c>
    </row>
    <row r="753" spans="1:12" x14ac:dyDescent="0.25">
      <c r="A753" s="3">
        <v>45708.561747685184</v>
      </c>
      <c r="B753" t="s">
        <v>83</v>
      </c>
      <c r="C753" s="3">
        <v>45708.881053240737</v>
      </c>
      <c r="D753" t="s">
        <v>415</v>
      </c>
      <c r="E753" s="4">
        <v>112.21299999999999</v>
      </c>
      <c r="F753" s="4">
        <v>139664.87899999999</v>
      </c>
      <c r="G753" s="4">
        <v>139777.092</v>
      </c>
      <c r="H753" s="5">
        <f>10698 / 86400</f>
        <v>0.12381944444444444</v>
      </c>
      <c r="I753" t="s">
        <v>52</v>
      </c>
      <c r="J753" t="s">
        <v>44</v>
      </c>
      <c r="K753" s="5">
        <f>27587 / 86400</f>
        <v>0.31929398148148147</v>
      </c>
      <c r="L753" s="5">
        <f>484 / 86400</f>
        <v>5.6018518518518518E-3</v>
      </c>
    </row>
    <row r="754" spans="1:12" x14ac:dyDescent="0.25">
      <c r="A754" s="3">
        <v>45708.886655092589</v>
      </c>
      <c r="B754" t="s">
        <v>415</v>
      </c>
      <c r="C754" s="3">
        <v>45708.89466435185</v>
      </c>
      <c r="D754" t="s">
        <v>63</v>
      </c>
      <c r="E754" s="4">
        <v>3.3660000000000001</v>
      </c>
      <c r="F754" s="4">
        <v>139777.092</v>
      </c>
      <c r="G754" s="4">
        <v>139780.45800000001</v>
      </c>
      <c r="H754" s="5">
        <f>120 / 86400</f>
        <v>1.3888888888888889E-3</v>
      </c>
      <c r="I754" t="s">
        <v>130</v>
      </c>
      <c r="J754" t="s">
        <v>34</v>
      </c>
      <c r="K754" s="5">
        <f>691 / 86400</f>
        <v>7.9976851851851858E-3</v>
      </c>
      <c r="L754" s="5">
        <f>9100 / 86400</f>
        <v>0.10532407407407407</v>
      </c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</row>
    <row r="757" spans="1:12" s="10" customFormat="1" ht="20.100000000000001" customHeight="1" x14ac:dyDescent="0.35">
      <c r="A757" s="15" t="s">
        <v>487</v>
      </c>
      <c r="B757" s="15"/>
      <c r="C757" s="15"/>
      <c r="D757" s="15"/>
      <c r="E757" s="15"/>
      <c r="F757" s="15"/>
      <c r="G757" s="15"/>
      <c r="H757" s="15"/>
      <c r="I757" s="15"/>
      <c r="J757" s="15"/>
    </row>
    <row r="758" spans="1:1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ht="30" x14ac:dyDescent="0.25">
      <c r="A759" s="2" t="s">
        <v>6</v>
      </c>
      <c r="B759" s="2" t="s">
        <v>7</v>
      </c>
      <c r="C759" s="2" t="s">
        <v>8</v>
      </c>
      <c r="D759" s="2" t="s">
        <v>9</v>
      </c>
      <c r="E759" s="2" t="s">
        <v>10</v>
      </c>
      <c r="F759" s="2" t="s">
        <v>11</v>
      </c>
      <c r="G759" s="2" t="s">
        <v>12</v>
      </c>
      <c r="H759" s="2" t="s">
        <v>13</v>
      </c>
      <c r="I759" s="2" t="s">
        <v>14</v>
      </c>
      <c r="J759" s="2" t="s">
        <v>15</v>
      </c>
      <c r="K759" s="2" t="s">
        <v>16</v>
      </c>
      <c r="L759" s="2" t="s">
        <v>17</v>
      </c>
    </row>
    <row r="760" spans="1:12" x14ac:dyDescent="0.25">
      <c r="A760" s="3">
        <v>45708.252268518518</v>
      </c>
      <c r="B760" t="s">
        <v>27</v>
      </c>
      <c r="C760" s="3">
        <v>45708.254583333328</v>
      </c>
      <c r="D760" t="s">
        <v>27</v>
      </c>
      <c r="E760" s="4">
        <v>0</v>
      </c>
      <c r="F760" s="4">
        <v>6493.0429999999997</v>
      </c>
      <c r="G760" s="4">
        <v>6493.0429999999997</v>
      </c>
      <c r="H760" s="5">
        <f>179 / 86400</f>
        <v>2.0717592592592593E-3</v>
      </c>
      <c r="I760" t="s">
        <v>22</v>
      </c>
      <c r="J760" t="s">
        <v>22</v>
      </c>
      <c r="K760" s="5">
        <f>200 / 86400</f>
        <v>2.3148148148148147E-3</v>
      </c>
      <c r="L760" s="5">
        <f>23606 / 86400</f>
        <v>0.2732175925925926</v>
      </c>
    </row>
    <row r="761" spans="1:12" x14ac:dyDescent="0.25">
      <c r="A761" s="3">
        <v>45708.27553240741</v>
      </c>
      <c r="B761" t="s">
        <v>27</v>
      </c>
      <c r="C761" s="3">
        <v>45708.539884259255</v>
      </c>
      <c r="D761" t="s">
        <v>83</v>
      </c>
      <c r="E761" s="4">
        <v>81.570999999999998</v>
      </c>
      <c r="F761" s="4">
        <v>6493.0429999999997</v>
      </c>
      <c r="G761" s="4">
        <v>6574.6139999999996</v>
      </c>
      <c r="H761" s="5">
        <f>11223 / 86400</f>
        <v>0.12989583333333332</v>
      </c>
      <c r="I761" t="s">
        <v>390</v>
      </c>
      <c r="J761" t="s">
        <v>29</v>
      </c>
      <c r="K761" s="5">
        <f>22840 / 86400</f>
        <v>0.26435185185185184</v>
      </c>
      <c r="L761" s="5">
        <f>300 / 86400</f>
        <v>3.472222222222222E-3</v>
      </c>
    </row>
    <row r="762" spans="1:12" x14ac:dyDescent="0.25">
      <c r="A762" s="3">
        <v>45708.543356481481</v>
      </c>
      <c r="B762" t="s">
        <v>83</v>
      </c>
      <c r="C762" s="3">
        <v>45708.548310185186</v>
      </c>
      <c r="D762" t="s">
        <v>149</v>
      </c>
      <c r="E762" s="4">
        <v>1.373</v>
      </c>
      <c r="F762" s="4">
        <v>6574.6139999999996</v>
      </c>
      <c r="G762" s="4">
        <v>6575.9870000000001</v>
      </c>
      <c r="H762" s="5">
        <f>60 / 86400</f>
        <v>6.9444444444444447E-4</v>
      </c>
      <c r="I762" t="s">
        <v>189</v>
      </c>
      <c r="J762" t="s">
        <v>65</v>
      </c>
      <c r="K762" s="5">
        <f>427 / 86400</f>
        <v>4.9421296296296297E-3</v>
      </c>
      <c r="L762" s="5">
        <f>1803 / 86400</f>
        <v>2.0868055555555556E-2</v>
      </c>
    </row>
    <row r="763" spans="1:12" x14ac:dyDescent="0.25">
      <c r="A763" s="3">
        <v>45708.569178240738</v>
      </c>
      <c r="B763" t="s">
        <v>149</v>
      </c>
      <c r="C763" s="3">
        <v>45708.571168981478</v>
      </c>
      <c r="D763" t="s">
        <v>397</v>
      </c>
      <c r="E763" s="4">
        <v>0.64500000000000002</v>
      </c>
      <c r="F763" s="4">
        <v>6575.9870000000001</v>
      </c>
      <c r="G763" s="4">
        <v>6576.6319999999996</v>
      </c>
      <c r="H763" s="5">
        <f>0 / 86400</f>
        <v>0</v>
      </c>
      <c r="I763" t="s">
        <v>131</v>
      </c>
      <c r="J763" t="s">
        <v>58</v>
      </c>
      <c r="K763" s="5">
        <f>172 / 86400</f>
        <v>1.9907407407407408E-3</v>
      </c>
      <c r="L763" s="5">
        <f>3884 / 86400</f>
        <v>4.4953703703703704E-2</v>
      </c>
    </row>
    <row r="764" spans="1:12" x14ac:dyDescent="0.25">
      <c r="A764" s="3">
        <v>45708.616122685184</v>
      </c>
      <c r="B764" t="s">
        <v>397</v>
      </c>
      <c r="C764" s="3">
        <v>45708.929432870369</v>
      </c>
      <c r="D764" t="s">
        <v>24</v>
      </c>
      <c r="E764" s="4">
        <v>92.585999999999999</v>
      </c>
      <c r="F764" s="4">
        <v>6576.6319999999996</v>
      </c>
      <c r="G764" s="4">
        <v>6669.2179999999998</v>
      </c>
      <c r="H764" s="5">
        <f>13897 / 86400</f>
        <v>0.16084490740740739</v>
      </c>
      <c r="I764" t="s">
        <v>64</v>
      </c>
      <c r="J764" t="s">
        <v>65</v>
      </c>
      <c r="K764" s="5">
        <f>27070 / 86400</f>
        <v>0.31331018518518516</v>
      </c>
      <c r="L764" s="5">
        <f>485 / 86400</f>
        <v>5.6134259259259262E-3</v>
      </c>
    </row>
    <row r="765" spans="1:12" x14ac:dyDescent="0.25">
      <c r="A765" s="3">
        <v>45708.935046296298</v>
      </c>
      <c r="B765" t="s">
        <v>24</v>
      </c>
      <c r="C765" s="3">
        <v>45708.940891203703</v>
      </c>
      <c r="D765" t="s">
        <v>27</v>
      </c>
      <c r="E765" s="4">
        <v>0.47899999999999998</v>
      </c>
      <c r="F765" s="4">
        <v>6669.2179999999998</v>
      </c>
      <c r="G765" s="4">
        <v>6669.6970000000001</v>
      </c>
      <c r="H765" s="5">
        <f>299 / 86400</f>
        <v>3.460648148148148E-3</v>
      </c>
      <c r="I765" t="s">
        <v>148</v>
      </c>
      <c r="J765" t="s">
        <v>135</v>
      </c>
      <c r="K765" s="5">
        <f>505 / 86400</f>
        <v>5.8449074074074072E-3</v>
      </c>
      <c r="L765" s="5">
        <f>67 / 86400</f>
        <v>7.7546296296296293E-4</v>
      </c>
    </row>
    <row r="766" spans="1:12" x14ac:dyDescent="0.25">
      <c r="A766" s="3">
        <v>45708.941666666666</v>
      </c>
      <c r="B766" t="s">
        <v>27</v>
      </c>
      <c r="C766" s="3">
        <v>45708.942199074074</v>
      </c>
      <c r="D766" t="s">
        <v>27</v>
      </c>
      <c r="E766" s="4">
        <v>0</v>
      </c>
      <c r="F766" s="4">
        <v>6669.6970000000001</v>
      </c>
      <c r="G766" s="4">
        <v>6669.6970000000001</v>
      </c>
      <c r="H766" s="5">
        <f>39 / 86400</f>
        <v>4.5138888888888887E-4</v>
      </c>
      <c r="I766" t="s">
        <v>22</v>
      </c>
      <c r="J766" t="s">
        <v>22</v>
      </c>
      <c r="K766" s="5">
        <f>45 / 86400</f>
        <v>5.2083333333333333E-4</v>
      </c>
      <c r="L766" s="5">
        <f>4993 / 86400</f>
        <v>5.7789351851851849E-2</v>
      </c>
    </row>
    <row r="767" spans="1:1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</row>
    <row r="768" spans="1:1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</row>
    <row r="769" spans="1:12" s="10" customFormat="1" ht="20.100000000000001" customHeight="1" x14ac:dyDescent="0.35">
      <c r="A769" s="15" t="s">
        <v>488</v>
      </c>
      <c r="B769" s="15"/>
      <c r="C769" s="15"/>
      <c r="D769" s="15"/>
      <c r="E769" s="15"/>
      <c r="F769" s="15"/>
      <c r="G769" s="15"/>
      <c r="H769" s="15"/>
      <c r="I769" s="15"/>
      <c r="J769" s="15"/>
    </row>
    <row r="770" spans="1:1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</row>
    <row r="771" spans="1:12" ht="30" x14ac:dyDescent="0.25">
      <c r="A771" s="2" t="s">
        <v>6</v>
      </c>
      <c r="B771" s="2" t="s">
        <v>7</v>
      </c>
      <c r="C771" s="2" t="s">
        <v>8</v>
      </c>
      <c r="D771" s="2" t="s">
        <v>9</v>
      </c>
      <c r="E771" s="2" t="s">
        <v>10</v>
      </c>
      <c r="F771" s="2" t="s">
        <v>11</v>
      </c>
      <c r="G771" s="2" t="s">
        <v>12</v>
      </c>
      <c r="H771" s="2" t="s">
        <v>13</v>
      </c>
      <c r="I771" s="2" t="s">
        <v>14</v>
      </c>
      <c r="J771" s="2" t="s">
        <v>15</v>
      </c>
      <c r="K771" s="2" t="s">
        <v>16</v>
      </c>
      <c r="L771" s="2" t="s">
        <v>17</v>
      </c>
    </row>
    <row r="772" spans="1:12" x14ac:dyDescent="0.25">
      <c r="A772" s="3">
        <v>45708.146863425922</v>
      </c>
      <c r="B772" t="s">
        <v>66</v>
      </c>
      <c r="C772" s="3">
        <v>45708.294699074075</v>
      </c>
      <c r="D772" t="s">
        <v>127</v>
      </c>
      <c r="E772" s="4">
        <v>80.870999999880794</v>
      </c>
      <c r="F772" s="4">
        <v>524744.63800000004</v>
      </c>
      <c r="G772" s="4">
        <v>524825.50899999996</v>
      </c>
      <c r="H772" s="5">
        <f>2779 / 86400</f>
        <v>3.2164351851851854E-2</v>
      </c>
      <c r="I772" t="s">
        <v>67</v>
      </c>
      <c r="J772" t="s">
        <v>144</v>
      </c>
      <c r="K772" s="5">
        <f>12772 / 86400</f>
        <v>0.14782407407407408</v>
      </c>
      <c r="L772" s="5">
        <f>14419 / 86400</f>
        <v>0.16688657407407406</v>
      </c>
    </row>
    <row r="773" spans="1:12" x14ac:dyDescent="0.25">
      <c r="A773" s="3">
        <v>45708.314722222218</v>
      </c>
      <c r="B773" t="s">
        <v>127</v>
      </c>
      <c r="C773" s="3">
        <v>45708.578958333332</v>
      </c>
      <c r="D773" t="s">
        <v>83</v>
      </c>
      <c r="E773" s="4">
        <v>101.6040000000596</v>
      </c>
      <c r="F773" s="4">
        <v>524825.50899999996</v>
      </c>
      <c r="G773" s="4">
        <v>524927.11300000001</v>
      </c>
      <c r="H773" s="5">
        <f>7718 / 86400</f>
        <v>8.9328703703703702E-2</v>
      </c>
      <c r="I773" t="s">
        <v>411</v>
      </c>
      <c r="J773" t="s">
        <v>49</v>
      </c>
      <c r="K773" s="5">
        <f>22830 / 86400</f>
        <v>0.26423611111111112</v>
      </c>
      <c r="L773" s="5">
        <f>1438 / 86400</f>
        <v>1.6643518518518519E-2</v>
      </c>
    </row>
    <row r="774" spans="1:12" x14ac:dyDescent="0.25">
      <c r="A774" s="3">
        <v>45708.595601851848</v>
      </c>
      <c r="B774" t="s">
        <v>83</v>
      </c>
      <c r="C774" s="3">
        <v>45708.595868055556</v>
      </c>
      <c r="D774" t="s">
        <v>83</v>
      </c>
      <c r="E774" s="4">
        <v>3.0000000596046446E-3</v>
      </c>
      <c r="F774" s="4">
        <v>524927.11300000001</v>
      </c>
      <c r="G774" s="4">
        <v>524927.11600000004</v>
      </c>
      <c r="H774" s="5">
        <f>0 / 86400</f>
        <v>0</v>
      </c>
      <c r="I774" t="s">
        <v>55</v>
      </c>
      <c r="J774" t="s">
        <v>22</v>
      </c>
      <c r="K774" s="5">
        <f>22 / 86400</f>
        <v>2.5462962962962961E-4</v>
      </c>
      <c r="L774" s="5">
        <f>2616 / 86400</f>
        <v>3.0277777777777778E-2</v>
      </c>
    </row>
    <row r="775" spans="1:12" x14ac:dyDescent="0.25">
      <c r="A775" s="3">
        <v>45708.626145833332</v>
      </c>
      <c r="B775" t="s">
        <v>83</v>
      </c>
      <c r="C775" s="3">
        <v>45708.665914351848</v>
      </c>
      <c r="D775" t="s">
        <v>353</v>
      </c>
      <c r="E775" s="4">
        <v>23.076000000000001</v>
      </c>
      <c r="F775" s="4">
        <v>524927.11600000004</v>
      </c>
      <c r="G775" s="4">
        <v>524950.19200000004</v>
      </c>
      <c r="H775" s="5">
        <f>760 / 86400</f>
        <v>8.7962962962962968E-3</v>
      </c>
      <c r="I775" t="s">
        <v>130</v>
      </c>
      <c r="J775" t="s">
        <v>157</v>
      </c>
      <c r="K775" s="5">
        <f>3436 / 86400</f>
        <v>3.9768518518518516E-2</v>
      </c>
      <c r="L775" s="5">
        <f>162 / 86400</f>
        <v>1.8749999999999999E-3</v>
      </c>
    </row>
    <row r="776" spans="1:12" x14ac:dyDescent="0.25">
      <c r="A776" s="3">
        <v>45708.66778935185</v>
      </c>
      <c r="B776" t="s">
        <v>353</v>
      </c>
      <c r="C776" s="3">
        <v>45708.669641203705</v>
      </c>
      <c r="D776" t="s">
        <v>66</v>
      </c>
      <c r="E776" s="4">
        <v>0.41199999999999998</v>
      </c>
      <c r="F776" s="4">
        <v>524950.19200000004</v>
      </c>
      <c r="G776" s="4">
        <v>524950.60400000005</v>
      </c>
      <c r="H776" s="5">
        <f>0 / 86400</f>
        <v>0</v>
      </c>
      <c r="I776" t="s">
        <v>49</v>
      </c>
      <c r="J776" t="s">
        <v>137</v>
      </c>
      <c r="K776" s="5">
        <f>160 / 86400</f>
        <v>1.8518518518518519E-3</v>
      </c>
      <c r="L776" s="5">
        <f>1077 / 86400</f>
        <v>1.2465277777777778E-2</v>
      </c>
    </row>
    <row r="777" spans="1:12" x14ac:dyDescent="0.25">
      <c r="A777" s="3">
        <v>45708.682106481487</v>
      </c>
      <c r="B777" t="s">
        <v>66</v>
      </c>
      <c r="C777" s="3">
        <v>45708.769050925926</v>
      </c>
      <c r="D777" t="s">
        <v>66</v>
      </c>
      <c r="E777" s="4">
        <v>46.981999999940392</v>
      </c>
      <c r="F777" s="4">
        <v>524950.60400000005</v>
      </c>
      <c r="G777" s="4">
        <v>524997.58600000001</v>
      </c>
      <c r="H777" s="5">
        <f>1679 / 86400</f>
        <v>1.9432870370370371E-2</v>
      </c>
      <c r="I777" t="s">
        <v>74</v>
      </c>
      <c r="J777" t="s">
        <v>144</v>
      </c>
      <c r="K777" s="5">
        <f>7511 / 86400</f>
        <v>8.6932870370370369E-2</v>
      </c>
      <c r="L777" s="5">
        <f>19953 / 86400</f>
        <v>0.23093749999999999</v>
      </c>
    </row>
    <row r="778" spans="1:1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</row>
    <row r="779" spans="1:1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s="10" customFormat="1" ht="20.100000000000001" customHeight="1" x14ac:dyDescent="0.35">
      <c r="A780" s="15" t="s">
        <v>489</v>
      </c>
      <c r="B780" s="15"/>
      <c r="C780" s="15"/>
      <c r="D780" s="15"/>
      <c r="E780" s="15"/>
      <c r="F780" s="15"/>
      <c r="G780" s="15"/>
      <c r="H780" s="15"/>
      <c r="I780" s="15"/>
      <c r="J780" s="15"/>
    </row>
    <row r="781" spans="1:1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2" ht="30" x14ac:dyDescent="0.25">
      <c r="A782" s="2" t="s">
        <v>6</v>
      </c>
      <c r="B782" s="2" t="s">
        <v>7</v>
      </c>
      <c r="C782" s="2" t="s">
        <v>8</v>
      </c>
      <c r="D782" s="2" t="s">
        <v>9</v>
      </c>
      <c r="E782" s="2" t="s">
        <v>10</v>
      </c>
      <c r="F782" s="2" t="s">
        <v>11</v>
      </c>
      <c r="G782" s="2" t="s">
        <v>12</v>
      </c>
      <c r="H782" s="2" t="s">
        <v>13</v>
      </c>
      <c r="I782" s="2" t="s">
        <v>14</v>
      </c>
      <c r="J782" s="2" t="s">
        <v>15</v>
      </c>
      <c r="K782" s="2" t="s">
        <v>16</v>
      </c>
      <c r="L782" s="2" t="s">
        <v>17</v>
      </c>
    </row>
    <row r="783" spans="1:12" x14ac:dyDescent="0.25">
      <c r="A783" s="3">
        <v>45708.393391203703</v>
      </c>
      <c r="B783" t="s">
        <v>69</v>
      </c>
      <c r="C783" s="3">
        <v>45708.453599537039</v>
      </c>
      <c r="D783" t="s">
        <v>416</v>
      </c>
      <c r="E783" s="4">
        <v>26.382000000000001</v>
      </c>
      <c r="F783" s="4">
        <v>412818.49599999998</v>
      </c>
      <c r="G783" s="4">
        <v>412844.87800000003</v>
      </c>
      <c r="H783" s="5">
        <f>1399 / 86400</f>
        <v>1.6192129629629629E-2</v>
      </c>
      <c r="I783" t="s">
        <v>207</v>
      </c>
      <c r="J783" t="s">
        <v>34</v>
      </c>
      <c r="K783" s="5">
        <f>5201 / 86400</f>
        <v>6.0196759259259262E-2</v>
      </c>
      <c r="L783" s="5">
        <f>35572 / 86400</f>
        <v>0.41171296296296295</v>
      </c>
    </row>
    <row r="784" spans="1:12" x14ac:dyDescent="0.25">
      <c r="A784" s="3">
        <v>45708.471921296295</v>
      </c>
      <c r="B784" t="s">
        <v>53</v>
      </c>
      <c r="C784" s="3">
        <v>45708.473553240736</v>
      </c>
      <c r="D784" t="s">
        <v>416</v>
      </c>
      <c r="E784" s="4">
        <v>0.182</v>
      </c>
      <c r="F784" s="4">
        <v>412844.87800000003</v>
      </c>
      <c r="G784" s="4">
        <v>412845.06</v>
      </c>
      <c r="H784" s="5">
        <f>59 / 86400</f>
        <v>6.8287037037037036E-4</v>
      </c>
      <c r="I784" t="s">
        <v>34</v>
      </c>
      <c r="J784" t="s">
        <v>55</v>
      </c>
      <c r="K784" s="5">
        <f>140 / 86400</f>
        <v>1.6203703703703703E-3</v>
      </c>
      <c r="L784" s="5">
        <f>4914 / 86400</f>
        <v>5.6875000000000002E-2</v>
      </c>
    </row>
    <row r="785" spans="1:12" x14ac:dyDescent="0.25">
      <c r="A785" s="3">
        <v>45708.530428240745</v>
      </c>
      <c r="B785" t="s">
        <v>416</v>
      </c>
      <c r="C785" s="3">
        <v>45708.533761574072</v>
      </c>
      <c r="D785" t="s">
        <v>83</v>
      </c>
      <c r="E785" s="4">
        <v>0.73699999999999999</v>
      </c>
      <c r="F785" s="4">
        <v>412845.06</v>
      </c>
      <c r="G785" s="4">
        <v>412845.79700000002</v>
      </c>
      <c r="H785" s="5">
        <f>119 / 86400</f>
        <v>1.3773148148148147E-3</v>
      </c>
      <c r="I785" t="s">
        <v>54</v>
      </c>
      <c r="J785" t="s">
        <v>137</v>
      </c>
      <c r="K785" s="5">
        <f>288 / 86400</f>
        <v>3.3333333333333335E-3</v>
      </c>
      <c r="L785" s="5">
        <f>1044 / 86400</f>
        <v>1.2083333333333333E-2</v>
      </c>
    </row>
    <row r="786" spans="1:12" x14ac:dyDescent="0.25">
      <c r="A786" s="3">
        <v>45708.545844907407</v>
      </c>
      <c r="B786" t="s">
        <v>83</v>
      </c>
      <c r="C786" s="3">
        <v>45708.671331018515</v>
      </c>
      <c r="D786" t="s">
        <v>417</v>
      </c>
      <c r="E786" s="4">
        <v>50.207999999999998</v>
      </c>
      <c r="F786" s="4">
        <v>412845.79700000002</v>
      </c>
      <c r="G786" s="4">
        <v>412896.005</v>
      </c>
      <c r="H786" s="5">
        <f>3279 / 86400</f>
        <v>3.7951388888888889E-2</v>
      </c>
      <c r="I786" t="s">
        <v>33</v>
      </c>
      <c r="J786" t="s">
        <v>20</v>
      </c>
      <c r="K786" s="5">
        <f>10842 / 86400</f>
        <v>0.1254861111111111</v>
      </c>
      <c r="L786" s="5">
        <f>57 / 86400</f>
        <v>6.5972222222222224E-4</v>
      </c>
    </row>
    <row r="787" spans="1:12" x14ac:dyDescent="0.25">
      <c r="A787" s="3">
        <v>45708.671990740739</v>
      </c>
      <c r="B787" t="s">
        <v>417</v>
      </c>
      <c r="C787" s="3">
        <v>45708.839340277773</v>
      </c>
      <c r="D787" t="s">
        <v>114</v>
      </c>
      <c r="E787" s="4">
        <v>49.802999999999997</v>
      </c>
      <c r="F787" s="4">
        <v>412896.005</v>
      </c>
      <c r="G787" s="4">
        <v>412945.80800000002</v>
      </c>
      <c r="H787" s="5">
        <f>5077 / 86400</f>
        <v>5.8761574074074077E-2</v>
      </c>
      <c r="I787" t="s">
        <v>104</v>
      </c>
      <c r="J787" t="s">
        <v>65</v>
      </c>
      <c r="K787" s="5">
        <f>14458 / 86400</f>
        <v>0.16733796296296297</v>
      </c>
      <c r="L787" s="5">
        <f>755 / 86400</f>
        <v>8.7384259259259255E-3</v>
      </c>
    </row>
    <row r="788" spans="1:12" x14ac:dyDescent="0.25">
      <c r="A788" s="3">
        <v>45708.848078703704</v>
      </c>
      <c r="B788" t="s">
        <v>114</v>
      </c>
      <c r="C788" s="3">
        <v>45708.99998842593</v>
      </c>
      <c r="D788" t="s">
        <v>70</v>
      </c>
      <c r="E788" s="4">
        <v>60.682000000000002</v>
      </c>
      <c r="F788" s="4">
        <v>412945.80800000002</v>
      </c>
      <c r="G788" s="4">
        <v>413006.49</v>
      </c>
      <c r="H788" s="5">
        <f>3912 / 86400</f>
        <v>4.5277777777777778E-2</v>
      </c>
      <c r="I788" t="s">
        <v>290</v>
      </c>
      <c r="J788" t="s">
        <v>20</v>
      </c>
      <c r="K788" s="5">
        <f>13125 / 86400</f>
        <v>0.15190972222222221</v>
      </c>
      <c r="L788" s="5">
        <f>0 / 86400</f>
        <v>0</v>
      </c>
    </row>
    <row r="789" spans="1:1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s="10" customFormat="1" ht="20.100000000000001" customHeight="1" x14ac:dyDescent="0.35">
      <c r="A791" s="15" t="s">
        <v>490</v>
      </c>
      <c r="B791" s="15"/>
      <c r="C791" s="15"/>
      <c r="D791" s="15"/>
      <c r="E791" s="15"/>
      <c r="F791" s="15"/>
      <c r="G791" s="15"/>
      <c r="H791" s="15"/>
      <c r="I791" s="15"/>
      <c r="J791" s="15"/>
    </row>
    <row r="792" spans="1:1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</row>
    <row r="793" spans="1:12" ht="30" x14ac:dyDescent="0.25">
      <c r="A793" s="2" t="s">
        <v>6</v>
      </c>
      <c r="B793" s="2" t="s">
        <v>7</v>
      </c>
      <c r="C793" s="2" t="s">
        <v>8</v>
      </c>
      <c r="D793" s="2" t="s">
        <v>9</v>
      </c>
      <c r="E793" s="2" t="s">
        <v>10</v>
      </c>
      <c r="F793" s="2" t="s">
        <v>11</v>
      </c>
      <c r="G793" s="2" t="s">
        <v>12</v>
      </c>
      <c r="H793" s="2" t="s">
        <v>13</v>
      </c>
      <c r="I793" s="2" t="s">
        <v>14</v>
      </c>
      <c r="J793" s="2" t="s">
        <v>15</v>
      </c>
      <c r="K793" s="2" t="s">
        <v>16</v>
      </c>
      <c r="L793" s="2" t="s">
        <v>17</v>
      </c>
    </row>
    <row r="794" spans="1:12" x14ac:dyDescent="0.25">
      <c r="A794" s="3">
        <v>45708.239965277782</v>
      </c>
      <c r="B794" t="s">
        <v>71</v>
      </c>
      <c r="C794" s="3">
        <v>45708.250983796301</v>
      </c>
      <c r="D794" t="s">
        <v>395</v>
      </c>
      <c r="E794" s="4">
        <v>1.0640000000000001</v>
      </c>
      <c r="F794" s="4">
        <v>403935.049</v>
      </c>
      <c r="G794" s="4">
        <v>403936.11300000001</v>
      </c>
      <c r="H794" s="5">
        <f>679 / 86400</f>
        <v>7.858796296296296E-3</v>
      </c>
      <c r="I794" t="s">
        <v>142</v>
      </c>
      <c r="J794" t="s">
        <v>143</v>
      </c>
      <c r="K794" s="5">
        <f>951 / 86400</f>
        <v>1.1006944444444444E-2</v>
      </c>
      <c r="L794" s="5">
        <f>20736 / 86400</f>
        <v>0.24</v>
      </c>
    </row>
    <row r="795" spans="1:12" x14ac:dyDescent="0.25">
      <c r="A795" s="3">
        <v>45708.251018518524</v>
      </c>
      <c r="B795" t="s">
        <v>395</v>
      </c>
      <c r="C795" s="3">
        <v>45708.251041666663</v>
      </c>
      <c r="D795" t="s">
        <v>395</v>
      </c>
      <c r="E795" s="4">
        <v>0</v>
      </c>
      <c r="F795" s="4">
        <v>403936.11300000001</v>
      </c>
      <c r="G795" s="4">
        <v>403936.11300000001</v>
      </c>
      <c r="H795" s="5">
        <f>0 / 86400</f>
        <v>0</v>
      </c>
      <c r="I795" t="s">
        <v>22</v>
      </c>
      <c r="J795" t="s">
        <v>22</v>
      </c>
      <c r="K795" s="5">
        <f>2 / 86400</f>
        <v>2.3148148148148147E-5</v>
      </c>
      <c r="L795" s="5">
        <f>210 / 86400</f>
        <v>2.4305555555555556E-3</v>
      </c>
    </row>
    <row r="796" spans="1:12" x14ac:dyDescent="0.25">
      <c r="A796" s="3">
        <v>45708.253472222219</v>
      </c>
      <c r="B796" t="s">
        <v>395</v>
      </c>
      <c r="C796" s="3">
        <v>45708.253587962958</v>
      </c>
      <c r="D796" t="s">
        <v>395</v>
      </c>
      <c r="E796" s="4">
        <v>6.0000000000000001E-3</v>
      </c>
      <c r="F796" s="4">
        <v>403936.11300000001</v>
      </c>
      <c r="G796" s="4">
        <v>403936.11900000001</v>
      </c>
      <c r="H796" s="5">
        <f>0 / 86400</f>
        <v>0</v>
      </c>
      <c r="I796" t="s">
        <v>22</v>
      </c>
      <c r="J796" t="s">
        <v>136</v>
      </c>
      <c r="K796" s="5">
        <f>10 / 86400</f>
        <v>1.1574074074074075E-4</v>
      </c>
      <c r="L796" s="5">
        <f>148 / 86400</f>
        <v>1.712962962962963E-3</v>
      </c>
    </row>
    <row r="797" spans="1:12" x14ac:dyDescent="0.25">
      <c r="A797" s="3">
        <v>45708.255300925928</v>
      </c>
      <c r="B797" t="s">
        <v>395</v>
      </c>
      <c r="C797" s="3">
        <v>45708.255543981482</v>
      </c>
      <c r="D797" t="s">
        <v>418</v>
      </c>
      <c r="E797" s="4">
        <v>6.0000000000000001E-3</v>
      </c>
      <c r="F797" s="4">
        <v>403936.11900000001</v>
      </c>
      <c r="G797" s="4">
        <v>403936.125</v>
      </c>
      <c r="H797" s="5">
        <f>19 / 86400</f>
        <v>2.199074074074074E-4</v>
      </c>
      <c r="I797" t="s">
        <v>22</v>
      </c>
      <c r="J797" t="s">
        <v>145</v>
      </c>
      <c r="K797" s="5">
        <f>21 / 86400</f>
        <v>2.4305555555555555E-4</v>
      </c>
      <c r="L797" s="5">
        <f>199 / 86400</f>
        <v>2.3032407407407407E-3</v>
      </c>
    </row>
    <row r="798" spans="1:12" x14ac:dyDescent="0.25">
      <c r="A798" s="3">
        <v>45708.257847222223</v>
      </c>
      <c r="B798" t="s">
        <v>418</v>
      </c>
      <c r="C798" s="3">
        <v>45708.322974537034</v>
      </c>
      <c r="D798" t="s">
        <v>199</v>
      </c>
      <c r="E798" s="4">
        <v>36.776000000000003</v>
      </c>
      <c r="F798" s="4">
        <v>403936.125</v>
      </c>
      <c r="G798" s="4">
        <v>403972.90100000001</v>
      </c>
      <c r="H798" s="5">
        <f>1357 / 86400</f>
        <v>1.5706018518518518E-2</v>
      </c>
      <c r="I798" t="s">
        <v>57</v>
      </c>
      <c r="J798" t="s">
        <v>157</v>
      </c>
      <c r="K798" s="5">
        <f>5627 / 86400</f>
        <v>6.5127314814814818E-2</v>
      </c>
      <c r="L798" s="5">
        <f>98 / 86400</f>
        <v>1.1342592592592593E-3</v>
      </c>
    </row>
    <row r="799" spans="1:12" x14ac:dyDescent="0.25">
      <c r="A799" s="3">
        <v>45708.324108796296</v>
      </c>
      <c r="B799" t="s">
        <v>199</v>
      </c>
      <c r="C799" s="3">
        <v>45708.380381944444</v>
      </c>
      <c r="D799" t="s">
        <v>419</v>
      </c>
      <c r="E799" s="4">
        <v>14.346</v>
      </c>
      <c r="F799" s="4">
        <v>403972.90100000001</v>
      </c>
      <c r="G799" s="4">
        <v>403987.24699999997</v>
      </c>
      <c r="H799" s="5">
        <f>2140 / 86400</f>
        <v>2.476851851851852E-2</v>
      </c>
      <c r="I799" t="s">
        <v>171</v>
      </c>
      <c r="J799" t="s">
        <v>86</v>
      </c>
      <c r="K799" s="5">
        <f>4862 / 86400</f>
        <v>5.6273148148148149E-2</v>
      </c>
      <c r="L799" s="5">
        <f>779 / 86400</f>
        <v>9.0162037037037034E-3</v>
      </c>
    </row>
    <row r="800" spans="1:12" x14ac:dyDescent="0.25">
      <c r="A800" s="3">
        <v>45708.389398148152</v>
      </c>
      <c r="B800" t="s">
        <v>419</v>
      </c>
      <c r="C800" s="3">
        <v>45708.529085648144</v>
      </c>
      <c r="D800" t="s">
        <v>397</v>
      </c>
      <c r="E800" s="4">
        <v>50.301000000000002</v>
      </c>
      <c r="F800" s="4">
        <v>403987.24699999997</v>
      </c>
      <c r="G800" s="4">
        <v>404037.54800000001</v>
      </c>
      <c r="H800" s="5">
        <f>4319 / 86400</f>
        <v>4.9988425925925929E-2</v>
      </c>
      <c r="I800" t="s">
        <v>64</v>
      </c>
      <c r="J800" t="s">
        <v>44</v>
      </c>
      <c r="K800" s="5">
        <f>12069 / 86400</f>
        <v>0.13968749999999999</v>
      </c>
      <c r="L800" s="5">
        <f>203 / 86400</f>
        <v>2.3495370370370371E-3</v>
      </c>
    </row>
    <row r="801" spans="1:12" x14ac:dyDescent="0.25">
      <c r="A801" s="3">
        <v>45708.531435185185</v>
      </c>
      <c r="B801" t="s">
        <v>397</v>
      </c>
      <c r="C801" s="3">
        <v>45708.537187499998</v>
      </c>
      <c r="D801" t="s">
        <v>53</v>
      </c>
      <c r="E801" s="4">
        <v>1.5449999999999999</v>
      </c>
      <c r="F801" s="4">
        <v>404037.54800000001</v>
      </c>
      <c r="G801" s="4">
        <v>404039.09299999999</v>
      </c>
      <c r="H801" s="5">
        <f>120 / 86400</f>
        <v>1.3888888888888889E-3</v>
      </c>
      <c r="I801" t="s">
        <v>157</v>
      </c>
      <c r="J801" t="s">
        <v>86</v>
      </c>
      <c r="K801" s="5">
        <f>497 / 86400</f>
        <v>5.7523148148148151E-3</v>
      </c>
      <c r="L801" s="5">
        <f>569 / 86400</f>
        <v>6.5856481481481478E-3</v>
      </c>
    </row>
    <row r="802" spans="1:12" x14ac:dyDescent="0.25">
      <c r="A802" s="3">
        <v>45708.543773148151</v>
      </c>
      <c r="B802" t="s">
        <v>53</v>
      </c>
      <c r="C802" s="3">
        <v>45708.543946759259</v>
      </c>
      <c r="D802" t="s">
        <v>53</v>
      </c>
      <c r="E802" s="4">
        <v>3.0000000000000001E-3</v>
      </c>
      <c r="F802" s="4">
        <v>404039.09299999999</v>
      </c>
      <c r="G802" s="4">
        <v>404039.09600000002</v>
      </c>
      <c r="H802" s="5">
        <f>0 / 86400</f>
        <v>0</v>
      </c>
      <c r="I802" t="s">
        <v>22</v>
      </c>
      <c r="J802" t="s">
        <v>145</v>
      </c>
      <c r="K802" s="5">
        <f>14 / 86400</f>
        <v>1.6203703703703703E-4</v>
      </c>
      <c r="L802" s="5">
        <f>2033 / 86400</f>
        <v>2.3530092592592592E-2</v>
      </c>
    </row>
    <row r="803" spans="1:12" x14ac:dyDescent="0.25">
      <c r="A803" s="3">
        <v>45708.567476851851</v>
      </c>
      <c r="B803" t="s">
        <v>53</v>
      </c>
      <c r="C803" s="3">
        <v>45708.701388888891</v>
      </c>
      <c r="D803" t="s">
        <v>419</v>
      </c>
      <c r="E803" s="4">
        <v>51.325000000000003</v>
      </c>
      <c r="F803" s="4">
        <v>404039.09600000002</v>
      </c>
      <c r="G803" s="4">
        <v>404090.42099999997</v>
      </c>
      <c r="H803" s="5">
        <f>4138 / 86400</f>
        <v>4.7893518518518516E-2</v>
      </c>
      <c r="I803" t="s">
        <v>64</v>
      </c>
      <c r="J803" t="s">
        <v>49</v>
      </c>
      <c r="K803" s="5">
        <f>11570 / 86400</f>
        <v>0.13391203703703702</v>
      </c>
      <c r="L803" s="5">
        <f>521 / 86400</f>
        <v>6.030092592592593E-3</v>
      </c>
    </row>
    <row r="804" spans="1:12" x14ac:dyDescent="0.25">
      <c r="A804" s="3">
        <v>45708.707418981481</v>
      </c>
      <c r="B804" t="s">
        <v>419</v>
      </c>
      <c r="C804" s="3">
        <v>45708.856979166667</v>
      </c>
      <c r="D804" t="s">
        <v>83</v>
      </c>
      <c r="E804" s="4">
        <v>50.741</v>
      </c>
      <c r="F804" s="4">
        <v>404090.42099999997</v>
      </c>
      <c r="G804" s="4">
        <v>404141.16200000001</v>
      </c>
      <c r="H804" s="5">
        <f>4219 / 86400</f>
        <v>4.8831018518518517E-2</v>
      </c>
      <c r="I804" t="s">
        <v>187</v>
      </c>
      <c r="J804" t="s">
        <v>58</v>
      </c>
      <c r="K804" s="5">
        <f>12922 / 86400</f>
        <v>0.14956018518518518</v>
      </c>
      <c r="L804" s="5">
        <f>195 / 86400</f>
        <v>2.2569444444444442E-3</v>
      </c>
    </row>
    <row r="805" spans="1:12" x14ac:dyDescent="0.25">
      <c r="A805" s="3">
        <v>45708.859236111108</v>
      </c>
      <c r="B805" t="s">
        <v>83</v>
      </c>
      <c r="C805" s="3">
        <v>45708.861030092594</v>
      </c>
      <c r="D805" t="s">
        <v>408</v>
      </c>
      <c r="E805" s="4">
        <v>0.32100000000000001</v>
      </c>
      <c r="F805" s="4">
        <v>404141.16200000001</v>
      </c>
      <c r="G805" s="4">
        <v>404141.48300000001</v>
      </c>
      <c r="H805" s="5">
        <f>60 / 86400</f>
        <v>6.9444444444444447E-4</v>
      </c>
      <c r="I805" t="s">
        <v>131</v>
      </c>
      <c r="J805" t="s">
        <v>26</v>
      </c>
      <c r="K805" s="5">
        <f>155 / 86400</f>
        <v>1.7939814814814815E-3</v>
      </c>
      <c r="L805" s="5">
        <f>269 / 86400</f>
        <v>3.1134259259259257E-3</v>
      </c>
    </row>
    <row r="806" spans="1:12" x14ac:dyDescent="0.25">
      <c r="A806" s="3">
        <v>45708.86414351852</v>
      </c>
      <c r="B806" t="s">
        <v>408</v>
      </c>
      <c r="C806" s="3">
        <v>45708.86418981482</v>
      </c>
      <c r="D806" t="s">
        <v>408</v>
      </c>
      <c r="E806" s="4">
        <v>0</v>
      </c>
      <c r="F806" s="4">
        <v>404141.48300000001</v>
      </c>
      <c r="G806" s="4">
        <v>404141.48300000001</v>
      </c>
      <c r="H806" s="5">
        <f>0 / 86400</f>
        <v>0</v>
      </c>
      <c r="I806" t="s">
        <v>22</v>
      </c>
      <c r="J806" t="s">
        <v>22</v>
      </c>
      <c r="K806" s="5">
        <f>3 / 86400</f>
        <v>3.4722222222222222E-5</v>
      </c>
      <c r="L806" s="5">
        <f>201 / 86400</f>
        <v>2.3263888888888887E-3</v>
      </c>
    </row>
    <row r="807" spans="1:12" x14ac:dyDescent="0.25">
      <c r="A807" s="3">
        <v>45708.866516203707</v>
      </c>
      <c r="B807" t="s">
        <v>408</v>
      </c>
      <c r="C807" s="3">
        <v>45708.869942129633</v>
      </c>
      <c r="D807" t="s">
        <v>72</v>
      </c>
      <c r="E807" s="4">
        <v>0.46800000000000003</v>
      </c>
      <c r="F807" s="4">
        <v>404141.48300000001</v>
      </c>
      <c r="G807" s="4">
        <v>404141.951</v>
      </c>
      <c r="H807" s="5">
        <f>119 / 86400</f>
        <v>1.3773148148148147E-3</v>
      </c>
      <c r="I807" t="s">
        <v>144</v>
      </c>
      <c r="J807" t="s">
        <v>32</v>
      </c>
      <c r="K807" s="5">
        <f>295 / 86400</f>
        <v>3.414351851851852E-3</v>
      </c>
      <c r="L807" s="5">
        <f>11236 / 86400</f>
        <v>0.1300462962962963</v>
      </c>
    </row>
    <row r="808" spans="1:1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s="10" customFormat="1" ht="20.100000000000001" customHeight="1" x14ac:dyDescent="0.35">
      <c r="A810" s="15" t="s">
        <v>491</v>
      </c>
      <c r="B810" s="15"/>
      <c r="C810" s="15"/>
      <c r="D810" s="15"/>
      <c r="E810" s="15"/>
      <c r="F810" s="15"/>
      <c r="G810" s="15"/>
      <c r="H810" s="15"/>
      <c r="I810" s="15"/>
      <c r="J810" s="15"/>
    </row>
    <row r="811" spans="1:1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2" ht="30" x14ac:dyDescent="0.25">
      <c r="A812" s="2" t="s">
        <v>6</v>
      </c>
      <c r="B812" s="2" t="s">
        <v>7</v>
      </c>
      <c r="C812" s="2" t="s">
        <v>8</v>
      </c>
      <c r="D812" s="2" t="s">
        <v>9</v>
      </c>
      <c r="E812" s="2" t="s">
        <v>10</v>
      </c>
      <c r="F812" s="2" t="s">
        <v>11</v>
      </c>
      <c r="G812" s="2" t="s">
        <v>12</v>
      </c>
      <c r="H812" s="2" t="s">
        <v>13</v>
      </c>
      <c r="I812" s="2" t="s">
        <v>14</v>
      </c>
      <c r="J812" s="2" t="s">
        <v>15</v>
      </c>
      <c r="K812" s="2" t="s">
        <v>16</v>
      </c>
      <c r="L812" s="2" t="s">
        <v>17</v>
      </c>
    </row>
    <row r="813" spans="1:12" x14ac:dyDescent="0.25">
      <c r="A813" s="3">
        <v>45708.26189814815</v>
      </c>
      <c r="B813" t="s">
        <v>73</v>
      </c>
      <c r="C813" s="3">
        <v>45708.262233796297</v>
      </c>
      <c r="D813" t="s">
        <v>73</v>
      </c>
      <c r="E813" s="4">
        <v>0</v>
      </c>
      <c r="F813" s="4">
        <v>408156.56599999999</v>
      </c>
      <c r="G813" s="4">
        <v>408156.56599999999</v>
      </c>
      <c r="H813" s="5">
        <f>19 / 86400</f>
        <v>2.199074074074074E-4</v>
      </c>
      <c r="I813" t="s">
        <v>22</v>
      </c>
      <c r="J813" t="s">
        <v>22</v>
      </c>
      <c r="K813" s="5">
        <f>28 / 86400</f>
        <v>3.2407407407407406E-4</v>
      </c>
      <c r="L813" s="5">
        <f>22655 / 86400</f>
        <v>0.26221064814814815</v>
      </c>
    </row>
    <row r="814" spans="1:12" x14ac:dyDescent="0.25">
      <c r="A814" s="3">
        <v>45708.262546296297</v>
      </c>
      <c r="B814" t="s">
        <v>73</v>
      </c>
      <c r="C814" s="3">
        <v>45708.263819444444</v>
      </c>
      <c r="D814" t="s">
        <v>73</v>
      </c>
      <c r="E814" s="4">
        <v>0</v>
      </c>
      <c r="F814" s="4">
        <v>408156.56599999999</v>
      </c>
      <c r="G814" s="4">
        <v>408156.56599999999</v>
      </c>
      <c r="H814" s="5">
        <f>99 / 86400</f>
        <v>1.1458333333333333E-3</v>
      </c>
      <c r="I814" t="s">
        <v>32</v>
      </c>
      <c r="J814" t="s">
        <v>22</v>
      </c>
      <c r="K814" s="5">
        <f>110 / 86400</f>
        <v>1.2731481481481483E-3</v>
      </c>
      <c r="L814" s="5">
        <f>581 / 86400</f>
        <v>6.7245370370370367E-3</v>
      </c>
    </row>
    <row r="815" spans="1:12" x14ac:dyDescent="0.25">
      <c r="A815" s="3">
        <v>45708.270543981482</v>
      </c>
      <c r="B815" t="s">
        <v>73</v>
      </c>
      <c r="C815" s="3">
        <v>45708.333113425921</v>
      </c>
      <c r="D815" t="s">
        <v>121</v>
      </c>
      <c r="E815" s="4">
        <v>34.735999999999997</v>
      </c>
      <c r="F815" s="4">
        <v>408156.56599999999</v>
      </c>
      <c r="G815" s="4">
        <v>408191.30200000003</v>
      </c>
      <c r="H815" s="5">
        <f>1200 / 86400</f>
        <v>1.3888888888888888E-2</v>
      </c>
      <c r="I815" t="s">
        <v>298</v>
      </c>
      <c r="J815" t="s">
        <v>144</v>
      </c>
      <c r="K815" s="5">
        <f>5405 / 86400</f>
        <v>6.2557870370370375E-2</v>
      </c>
      <c r="L815" s="5">
        <f>3033 / 86400</f>
        <v>3.5104166666666665E-2</v>
      </c>
    </row>
    <row r="816" spans="1:12" x14ac:dyDescent="0.25">
      <c r="A816" s="3">
        <v>45708.368217592593</v>
      </c>
      <c r="B816" t="s">
        <v>121</v>
      </c>
      <c r="C816" s="3">
        <v>45708.372557870374</v>
      </c>
      <c r="D816" t="s">
        <v>149</v>
      </c>
      <c r="E816" s="4">
        <v>0.98399999999999999</v>
      </c>
      <c r="F816" s="4">
        <v>408191.30200000003</v>
      </c>
      <c r="G816" s="4">
        <v>408192.28600000002</v>
      </c>
      <c r="H816" s="5">
        <f>60 / 86400</f>
        <v>6.9444444444444447E-4</v>
      </c>
      <c r="I816" t="s">
        <v>31</v>
      </c>
      <c r="J816" t="s">
        <v>137</v>
      </c>
      <c r="K816" s="5">
        <f>374 / 86400</f>
        <v>4.3287037037037035E-3</v>
      </c>
      <c r="L816" s="5">
        <f>1556 / 86400</f>
        <v>1.800925925925926E-2</v>
      </c>
    </row>
    <row r="817" spans="1:12" x14ac:dyDescent="0.25">
      <c r="A817" s="3">
        <v>45708.390567129631</v>
      </c>
      <c r="B817" t="s">
        <v>149</v>
      </c>
      <c r="C817" s="3">
        <v>45708.392083333332</v>
      </c>
      <c r="D817" t="s">
        <v>149</v>
      </c>
      <c r="E817" s="4">
        <v>2.5999999999999999E-2</v>
      </c>
      <c r="F817" s="4">
        <v>408192.28600000002</v>
      </c>
      <c r="G817" s="4">
        <v>408192.31199999998</v>
      </c>
      <c r="H817" s="5">
        <f>120 / 86400</f>
        <v>1.3888888888888889E-3</v>
      </c>
      <c r="I817" t="s">
        <v>55</v>
      </c>
      <c r="J817" t="s">
        <v>145</v>
      </c>
      <c r="K817" s="5">
        <f>130 / 86400</f>
        <v>1.5046296296296296E-3</v>
      </c>
      <c r="L817" s="5">
        <f>258 / 86400</f>
        <v>2.9861111111111113E-3</v>
      </c>
    </row>
    <row r="818" spans="1:12" x14ac:dyDescent="0.25">
      <c r="A818" s="3">
        <v>45708.395069444443</v>
      </c>
      <c r="B818" t="s">
        <v>149</v>
      </c>
      <c r="C818" s="3">
        <v>45708.639814814815</v>
      </c>
      <c r="D818" t="s">
        <v>83</v>
      </c>
      <c r="E818" s="4">
        <v>101.108</v>
      </c>
      <c r="F818" s="4">
        <v>408192.31199999998</v>
      </c>
      <c r="G818" s="4">
        <v>408293.42</v>
      </c>
      <c r="H818" s="5">
        <f>7322 / 86400</f>
        <v>8.4745370370370374E-2</v>
      </c>
      <c r="I818" t="s">
        <v>74</v>
      </c>
      <c r="J818" t="s">
        <v>20</v>
      </c>
      <c r="K818" s="5">
        <f>21145 / 86400</f>
        <v>0.2447337962962963</v>
      </c>
      <c r="L818" s="5">
        <f>1113 / 86400</f>
        <v>1.2881944444444444E-2</v>
      </c>
    </row>
    <row r="819" spans="1:12" x14ac:dyDescent="0.25">
      <c r="A819" s="3">
        <v>45708.652696759258</v>
      </c>
      <c r="B819" t="s">
        <v>83</v>
      </c>
      <c r="C819" s="3">
        <v>45708.653912037036</v>
      </c>
      <c r="D819" t="s">
        <v>83</v>
      </c>
      <c r="E819" s="4">
        <v>2.8000000000000001E-2</v>
      </c>
      <c r="F819" s="4">
        <v>408293.42</v>
      </c>
      <c r="G819" s="4">
        <v>408293.44799999997</v>
      </c>
      <c r="H819" s="5">
        <f>60 / 86400</f>
        <v>6.9444444444444447E-4</v>
      </c>
      <c r="I819" t="s">
        <v>55</v>
      </c>
      <c r="J819" t="s">
        <v>145</v>
      </c>
      <c r="K819" s="5">
        <f>104 / 86400</f>
        <v>1.2037037037037038E-3</v>
      </c>
      <c r="L819" s="5">
        <f>774 / 86400</f>
        <v>8.9583333333333338E-3</v>
      </c>
    </row>
    <row r="820" spans="1:12" x14ac:dyDescent="0.25">
      <c r="A820" s="3">
        <v>45708.662870370375</v>
      </c>
      <c r="B820" t="s">
        <v>83</v>
      </c>
      <c r="C820" s="3">
        <v>45708.6637962963</v>
      </c>
      <c r="D820" t="s">
        <v>83</v>
      </c>
      <c r="E820" s="4">
        <v>2.5000000000000001E-2</v>
      </c>
      <c r="F820" s="4">
        <v>408293.44799999997</v>
      </c>
      <c r="G820" s="4">
        <v>408293.473</v>
      </c>
      <c r="H820" s="5">
        <f>19 / 86400</f>
        <v>2.199074074074074E-4</v>
      </c>
      <c r="I820" t="s">
        <v>55</v>
      </c>
      <c r="J820" t="s">
        <v>145</v>
      </c>
      <c r="K820" s="5">
        <f>79 / 86400</f>
        <v>9.1435185185185185E-4</v>
      </c>
      <c r="L820" s="5">
        <f>822 / 86400</f>
        <v>9.5138888888888894E-3</v>
      </c>
    </row>
    <row r="821" spans="1:12" x14ac:dyDescent="0.25">
      <c r="A821" s="3">
        <v>45708.673310185186</v>
      </c>
      <c r="B821" t="s">
        <v>83</v>
      </c>
      <c r="C821" s="3">
        <v>45708.675798611112</v>
      </c>
      <c r="D821" t="s">
        <v>83</v>
      </c>
      <c r="E821" s="4">
        <v>5.8999999999999997E-2</v>
      </c>
      <c r="F821" s="4">
        <v>408293.473</v>
      </c>
      <c r="G821" s="4">
        <v>408293.53200000001</v>
      </c>
      <c r="H821" s="5">
        <f>120 / 86400</f>
        <v>1.3888888888888889E-3</v>
      </c>
      <c r="I821" t="s">
        <v>26</v>
      </c>
      <c r="J821" t="s">
        <v>145</v>
      </c>
      <c r="K821" s="5">
        <f>215 / 86400</f>
        <v>2.488425925925926E-3</v>
      </c>
      <c r="L821" s="5">
        <f>320 / 86400</f>
        <v>3.7037037037037038E-3</v>
      </c>
    </row>
    <row r="822" spans="1:12" x14ac:dyDescent="0.25">
      <c r="A822" s="3">
        <v>45708.679502314815</v>
      </c>
      <c r="B822" t="s">
        <v>83</v>
      </c>
      <c r="C822" s="3">
        <v>45708.758726851855</v>
      </c>
      <c r="D822" t="s">
        <v>73</v>
      </c>
      <c r="E822" s="4">
        <v>34.581000000000003</v>
      </c>
      <c r="F822" s="4">
        <v>408293.53200000001</v>
      </c>
      <c r="G822" s="4">
        <v>408328.11300000001</v>
      </c>
      <c r="H822" s="5">
        <f>2199 / 86400</f>
        <v>2.5451388888888888E-2</v>
      </c>
      <c r="I822" t="s">
        <v>90</v>
      </c>
      <c r="J822" t="s">
        <v>34</v>
      </c>
      <c r="K822" s="5">
        <f>6844 / 86400</f>
        <v>7.9212962962962957E-2</v>
      </c>
      <c r="L822" s="5">
        <f>425 / 86400</f>
        <v>4.9189814814814816E-3</v>
      </c>
    </row>
    <row r="823" spans="1:12" x14ac:dyDescent="0.25">
      <c r="A823" s="3">
        <v>45708.763645833329</v>
      </c>
      <c r="B823" t="s">
        <v>73</v>
      </c>
      <c r="C823" s="3">
        <v>45708.764675925922</v>
      </c>
      <c r="D823" t="s">
        <v>73</v>
      </c>
      <c r="E823" s="4">
        <v>3.5999999999999997E-2</v>
      </c>
      <c r="F823" s="4">
        <v>408328.11300000001</v>
      </c>
      <c r="G823" s="4">
        <v>408328.14899999998</v>
      </c>
      <c r="H823" s="5">
        <f>59 / 86400</f>
        <v>6.8287037037037036E-4</v>
      </c>
      <c r="I823" t="s">
        <v>168</v>
      </c>
      <c r="J823" t="s">
        <v>145</v>
      </c>
      <c r="K823" s="5">
        <f>88 / 86400</f>
        <v>1.0185185185185184E-3</v>
      </c>
      <c r="L823" s="5">
        <f>20331 / 86400</f>
        <v>0.23531250000000001</v>
      </c>
    </row>
    <row r="824" spans="1:1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</row>
    <row r="825" spans="1:1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 spans="1:12" s="10" customFormat="1" ht="20.100000000000001" customHeight="1" x14ac:dyDescent="0.35">
      <c r="A826" s="15" t="s">
        <v>492</v>
      </c>
      <c r="B826" s="15"/>
      <c r="C826" s="15"/>
      <c r="D826" s="15"/>
      <c r="E826" s="15"/>
      <c r="F826" s="15"/>
      <c r="G826" s="15"/>
      <c r="H826" s="15"/>
      <c r="I826" s="15"/>
      <c r="J826" s="15"/>
    </row>
    <row r="827" spans="1:1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</row>
    <row r="828" spans="1:12" ht="30" x14ac:dyDescent="0.25">
      <c r="A828" s="2" t="s">
        <v>6</v>
      </c>
      <c r="B828" s="2" t="s">
        <v>7</v>
      </c>
      <c r="C828" s="2" t="s">
        <v>8</v>
      </c>
      <c r="D828" s="2" t="s">
        <v>9</v>
      </c>
      <c r="E828" s="2" t="s">
        <v>10</v>
      </c>
      <c r="F828" s="2" t="s">
        <v>11</v>
      </c>
      <c r="G828" s="2" t="s">
        <v>12</v>
      </c>
      <c r="H828" s="2" t="s">
        <v>13</v>
      </c>
      <c r="I828" s="2" t="s">
        <v>14</v>
      </c>
      <c r="J828" s="2" t="s">
        <v>15</v>
      </c>
      <c r="K828" s="2" t="s">
        <v>16</v>
      </c>
      <c r="L828" s="2" t="s">
        <v>17</v>
      </c>
    </row>
    <row r="829" spans="1:12" x14ac:dyDescent="0.25">
      <c r="A829" s="3">
        <v>45708.296469907407</v>
      </c>
      <c r="B829" t="s">
        <v>75</v>
      </c>
      <c r="C829" s="3">
        <v>45708.399884259255</v>
      </c>
      <c r="D829" t="s">
        <v>83</v>
      </c>
      <c r="E829" s="4">
        <v>44.454999999999998</v>
      </c>
      <c r="F829" s="4">
        <v>348657.80300000001</v>
      </c>
      <c r="G829" s="4">
        <v>348702.25799999997</v>
      </c>
      <c r="H829" s="5">
        <f>2182 / 86400</f>
        <v>2.525462962962963E-2</v>
      </c>
      <c r="I829" t="s">
        <v>263</v>
      </c>
      <c r="J829" t="s">
        <v>34</v>
      </c>
      <c r="K829" s="5">
        <f>8935 / 86400</f>
        <v>0.10341435185185185</v>
      </c>
      <c r="L829" s="5">
        <f>25858 / 86400</f>
        <v>0.29928240740740741</v>
      </c>
    </row>
    <row r="830" spans="1:12" x14ac:dyDescent="0.25">
      <c r="A830" s="3">
        <v>45708.402696759258</v>
      </c>
      <c r="B830" t="s">
        <v>83</v>
      </c>
      <c r="C830" s="3">
        <v>45708.407766203702</v>
      </c>
      <c r="D830" t="s">
        <v>149</v>
      </c>
      <c r="E830" s="4">
        <v>1.296</v>
      </c>
      <c r="F830" s="4">
        <v>348702.25799999997</v>
      </c>
      <c r="G830" s="4">
        <v>348703.554</v>
      </c>
      <c r="H830" s="5">
        <f>60 / 86400</f>
        <v>6.9444444444444447E-4</v>
      </c>
      <c r="I830" t="s">
        <v>217</v>
      </c>
      <c r="J830" t="s">
        <v>86</v>
      </c>
      <c r="K830" s="5">
        <f>438 / 86400</f>
        <v>5.0694444444444441E-3</v>
      </c>
      <c r="L830" s="5">
        <f>5993 / 86400</f>
        <v>6.9363425925925926E-2</v>
      </c>
    </row>
    <row r="831" spans="1:12" x14ac:dyDescent="0.25">
      <c r="A831" s="3">
        <v>45708.477129629631</v>
      </c>
      <c r="B831" t="s">
        <v>149</v>
      </c>
      <c r="C831" s="3">
        <v>45708.720138888893</v>
      </c>
      <c r="D831" t="s">
        <v>75</v>
      </c>
      <c r="E831" s="4">
        <v>74.222999999999999</v>
      </c>
      <c r="F831" s="4">
        <v>348703.554</v>
      </c>
      <c r="G831" s="4">
        <v>348777.777</v>
      </c>
      <c r="H831" s="5">
        <f>8337 / 86400</f>
        <v>9.6493055555555554E-2</v>
      </c>
      <c r="I831" t="s">
        <v>64</v>
      </c>
      <c r="J831" t="s">
        <v>29</v>
      </c>
      <c r="K831" s="5">
        <f>20996 / 86400</f>
        <v>0.24300925925925926</v>
      </c>
      <c r="L831" s="5">
        <f>4395 / 86400</f>
        <v>5.0868055555555555E-2</v>
      </c>
    </row>
    <row r="832" spans="1:12" x14ac:dyDescent="0.25">
      <c r="A832" s="3">
        <v>45708.771006944444</v>
      </c>
      <c r="B832" t="s">
        <v>75</v>
      </c>
      <c r="C832" s="3">
        <v>45708.771990740745</v>
      </c>
      <c r="D832" t="s">
        <v>75</v>
      </c>
      <c r="E832" s="4">
        <v>3.0000000000000001E-3</v>
      </c>
      <c r="F832" s="4">
        <v>348777.777</v>
      </c>
      <c r="G832" s="4">
        <v>348777.78</v>
      </c>
      <c r="H832" s="5">
        <f>60 / 86400</f>
        <v>6.9444444444444447E-4</v>
      </c>
      <c r="I832" t="s">
        <v>136</v>
      </c>
      <c r="J832" t="s">
        <v>22</v>
      </c>
      <c r="K832" s="5">
        <f>84 / 86400</f>
        <v>9.7222222222222219E-4</v>
      </c>
      <c r="L832" s="5">
        <f>19699 / 86400</f>
        <v>0.22799768518518518</v>
      </c>
    </row>
    <row r="833" spans="1:1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 spans="1:1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</row>
    <row r="835" spans="1:12" s="10" customFormat="1" ht="20.100000000000001" customHeight="1" x14ac:dyDescent="0.35">
      <c r="A835" s="15" t="s">
        <v>493</v>
      </c>
      <c r="B835" s="15"/>
      <c r="C835" s="15"/>
      <c r="D835" s="15"/>
      <c r="E835" s="15"/>
      <c r="F835" s="15"/>
      <c r="G835" s="15"/>
      <c r="H835" s="15"/>
      <c r="I835" s="15"/>
      <c r="J835" s="15"/>
    </row>
    <row r="836" spans="1:1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2" ht="30" x14ac:dyDescent="0.25">
      <c r="A837" s="2" t="s">
        <v>6</v>
      </c>
      <c r="B837" s="2" t="s">
        <v>7</v>
      </c>
      <c r="C837" s="2" t="s">
        <v>8</v>
      </c>
      <c r="D837" s="2" t="s">
        <v>9</v>
      </c>
      <c r="E837" s="2" t="s">
        <v>10</v>
      </c>
      <c r="F837" s="2" t="s">
        <v>11</v>
      </c>
      <c r="G837" s="2" t="s">
        <v>12</v>
      </c>
      <c r="H837" s="2" t="s">
        <v>13</v>
      </c>
      <c r="I837" s="2" t="s">
        <v>14</v>
      </c>
      <c r="J837" s="2" t="s">
        <v>15</v>
      </c>
      <c r="K837" s="2" t="s">
        <v>16</v>
      </c>
      <c r="L837" s="2" t="s">
        <v>17</v>
      </c>
    </row>
    <row r="838" spans="1:12" x14ac:dyDescent="0.25">
      <c r="A838" s="3">
        <v>45708.122696759259</v>
      </c>
      <c r="B838" t="s">
        <v>76</v>
      </c>
      <c r="C838" s="3">
        <v>45708.194490740745</v>
      </c>
      <c r="D838" t="s">
        <v>325</v>
      </c>
      <c r="E838" s="4">
        <v>39.143999999999998</v>
      </c>
      <c r="F838" s="4">
        <v>42393.917999999998</v>
      </c>
      <c r="G838" s="4">
        <v>42433.061999999998</v>
      </c>
      <c r="H838" s="5">
        <f>1219 / 86400</f>
        <v>1.4108796296296296E-2</v>
      </c>
      <c r="I838" t="s">
        <v>101</v>
      </c>
      <c r="J838" t="s">
        <v>144</v>
      </c>
      <c r="K838" s="5">
        <f>6202 / 86400</f>
        <v>7.1782407407407406E-2</v>
      </c>
      <c r="L838" s="5">
        <f>11014 / 86400</f>
        <v>0.12747685185185184</v>
      </c>
    </row>
    <row r="839" spans="1:12" x14ac:dyDescent="0.25">
      <c r="A839" s="3">
        <v>45708.199270833335</v>
      </c>
      <c r="B839" t="s">
        <v>325</v>
      </c>
      <c r="C839" s="3">
        <v>45708.294432870374</v>
      </c>
      <c r="D839" t="s">
        <v>149</v>
      </c>
      <c r="E839" s="4">
        <v>52.914000000000001</v>
      </c>
      <c r="F839" s="4">
        <v>42433.061999999998</v>
      </c>
      <c r="G839" s="4">
        <v>42485.976000000002</v>
      </c>
      <c r="H839" s="5">
        <f>1499 / 86400</f>
        <v>1.7349537037037038E-2</v>
      </c>
      <c r="I839" t="s">
        <v>37</v>
      </c>
      <c r="J839" t="s">
        <v>144</v>
      </c>
      <c r="K839" s="5">
        <f>8222 / 86400</f>
        <v>9.5162037037037031E-2</v>
      </c>
      <c r="L839" s="5">
        <f>721 / 86400</f>
        <v>8.3449074074074068E-3</v>
      </c>
    </row>
    <row r="840" spans="1:12" x14ac:dyDescent="0.25">
      <c r="A840" s="3">
        <v>45708.302777777775</v>
      </c>
      <c r="B840" t="s">
        <v>149</v>
      </c>
      <c r="C840" s="3">
        <v>45708.307291666672</v>
      </c>
      <c r="D840" t="s">
        <v>121</v>
      </c>
      <c r="E840" s="4">
        <v>1.115</v>
      </c>
      <c r="F840" s="4">
        <v>42485.976000000002</v>
      </c>
      <c r="G840" s="4">
        <v>42487.091</v>
      </c>
      <c r="H840" s="5">
        <f>119 / 86400</f>
        <v>1.3773148148148147E-3</v>
      </c>
      <c r="I840" t="s">
        <v>157</v>
      </c>
      <c r="J840" t="s">
        <v>97</v>
      </c>
      <c r="K840" s="5">
        <f>390 / 86400</f>
        <v>4.5138888888888885E-3</v>
      </c>
      <c r="L840" s="5">
        <f>1216 / 86400</f>
        <v>1.4074074074074074E-2</v>
      </c>
    </row>
    <row r="841" spans="1:12" x14ac:dyDescent="0.25">
      <c r="A841" s="3">
        <v>45708.32136574074</v>
      </c>
      <c r="B841" t="s">
        <v>121</v>
      </c>
      <c r="C841" s="3">
        <v>45708.322268518517</v>
      </c>
      <c r="D841" t="s">
        <v>121</v>
      </c>
      <c r="E841" s="4">
        <v>0</v>
      </c>
      <c r="F841" s="4">
        <v>42487.091</v>
      </c>
      <c r="G841" s="4">
        <v>42487.091</v>
      </c>
      <c r="H841" s="5">
        <f>59 / 86400</f>
        <v>6.8287037037037036E-4</v>
      </c>
      <c r="I841" t="s">
        <v>22</v>
      </c>
      <c r="J841" t="s">
        <v>22</v>
      </c>
      <c r="K841" s="5">
        <f>77 / 86400</f>
        <v>8.9120370370370373E-4</v>
      </c>
      <c r="L841" s="5">
        <f>3 / 86400</f>
        <v>3.4722222222222222E-5</v>
      </c>
    </row>
    <row r="842" spans="1:12" x14ac:dyDescent="0.25">
      <c r="A842" s="3">
        <v>45708.32230324074</v>
      </c>
      <c r="B842" t="s">
        <v>121</v>
      </c>
      <c r="C842" s="3">
        <v>45708.324675925927</v>
      </c>
      <c r="D842" t="s">
        <v>121</v>
      </c>
      <c r="E842" s="4">
        <v>0</v>
      </c>
      <c r="F842" s="4">
        <v>42487.091</v>
      </c>
      <c r="G842" s="4">
        <v>42487.091</v>
      </c>
      <c r="H842" s="5">
        <f>199 / 86400</f>
        <v>2.3032407407407407E-3</v>
      </c>
      <c r="I842" t="s">
        <v>22</v>
      </c>
      <c r="J842" t="s">
        <v>22</v>
      </c>
      <c r="K842" s="5">
        <f>204 / 86400</f>
        <v>2.3611111111111111E-3</v>
      </c>
      <c r="L842" s="5">
        <f>236 / 86400</f>
        <v>2.7314814814814814E-3</v>
      </c>
    </row>
    <row r="843" spans="1:12" x14ac:dyDescent="0.25">
      <c r="A843" s="3">
        <v>45708.327407407407</v>
      </c>
      <c r="B843" t="s">
        <v>121</v>
      </c>
      <c r="C843" s="3">
        <v>45708.330879629633</v>
      </c>
      <c r="D843" t="s">
        <v>152</v>
      </c>
      <c r="E843" s="4">
        <v>0.74</v>
      </c>
      <c r="F843" s="4">
        <v>42487.091</v>
      </c>
      <c r="G843" s="4">
        <v>42487.830999999998</v>
      </c>
      <c r="H843" s="5">
        <f>139 / 86400</f>
        <v>1.6087962962962963E-3</v>
      </c>
      <c r="I843" t="s">
        <v>25</v>
      </c>
      <c r="J843" t="s">
        <v>137</v>
      </c>
      <c r="K843" s="5">
        <f>300 / 86400</f>
        <v>3.472222222222222E-3</v>
      </c>
      <c r="L843" s="5">
        <f>4 / 86400</f>
        <v>4.6296296296296294E-5</v>
      </c>
    </row>
    <row r="844" spans="1:12" x14ac:dyDescent="0.25">
      <c r="A844" s="3">
        <v>45708.330925925926</v>
      </c>
      <c r="B844" t="s">
        <v>152</v>
      </c>
      <c r="C844" s="3">
        <v>45708.331319444449</v>
      </c>
      <c r="D844" t="s">
        <v>152</v>
      </c>
      <c r="E844" s="4">
        <v>0</v>
      </c>
      <c r="F844" s="4">
        <v>42487.830999999998</v>
      </c>
      <c r="G844" s="4">
        <v>42487.830999999998</v>
      </c>
      <c r="H844" s="5">
        <f>26 / 86400</f>
        <v>3.0092592592592595E-4</v>
      </c>
      <c r="I844" t="s">
        <v>22</v>
      </c>
      <c r="J844" t="s">
        <v>22</v>
      </c>
      <c r="K844" s="5">
        <f>34 / 86400</f>
        <v>3.9351851851851852E-4</v>
      </c>
      <c r="L844" s="5">
        <f>171 / 86400</f>
        <v>1.9791666666666668E-3</v>
      </c>
    </row>
    <row r="845" spans="1:12" x14ac:dyDescent="0.25">
      <c r="A845" s="3">
        <v>45708.333298611113</v>
      </c>
      <c r="B845" t="s">
        <v>152</v>
      </c>
      <c r="C845" s="3">
        <v>45708.333425925928</v>
      </c>
      <c r="D845" t="s">
        <v>152</v>
      </c>
      <c r="E845" s="4">
        <v>0</v>
      </c>
      <c r="F845" s="4">
        <v>42487.830999999998</v>
      </c>
      <c r="G845" s="4">
        <v>42487.830999999998</v>
      </c>
      <c r="H845" s="5">
        <f>0 / 86400</f>
        <v>0</v>
      </c>
      <c r="I845" t="s">
        <v>22</v>
      </c>
      <c r="J845" t="s">
        <v>22</v>
      </c>
      <c r="K845" s="5">
        <f>11 / 86400</f>
        <v>1.273148148148148E-4</v>
      </c>
      <c r="L845" s="5">
        <f>104 / 86400</f>
        <v>1.2037037037037038E-3</v>
      </c>
    </row>
    <row r="846" spans="1:12" x14ac:dyDescent="0.25">
      <c r="A846" s="3">
        <v>45708.334629629629</v>
      </c>
      <c r="B846" t="s">
        <v>152</v>
      </c>
      <c r="C846" s="3">
        <v>45708.334814814814</v>
      </c>
      <c r="D846" t="s">
        <v>152</v>
      </c>
      <c r="E846" s="4">
        <v>0</v>
      </c>
      <c r="F846" s="4">
        <v>42487.830999999998</v>
      </c>
      <c r="G846" s="4">
        <v>42487.830999999998</v>
      </c>
      <c r="H846" s="5">
        <f>0 / 86400</f>
        <v>0</v>
      </c>
      <c r="I846" t="s">
        <v>22</v>
      </c>
      <c r="J846" t="s">
        <v>22</v>
      </c>
      <c r="K846" s="5">
        <f>16 / 86400</f>
        <v>1.8518518518518518E-4</v>
      </c>
      <c r="L846" s="5">
        <f>6 / 86400</f>
        <v>6.9444444444444444E-5</v>
      </c>
    </row>
    <row r="847" spans="1:12" x14ac:dyDescent="0.25">
      <c r="A847" s="3">
        <v>45708.33488425926</v>
      </c>
      <c r="B847" t="s">
        <v>152</v>
      </c>
      <c r="C847" s="3">
        <v>45708.335289351853</v>
      </c>
      <c r="D847" t="s">
        <v>152</v>
      </c>
      <c r="E847" s="4">
        <v>0</v>
      </c>
      <c r="F847" s="4">
        <v>42487.830999999998</v>
      </c>
      <c r="G847" s="4">
        <v>42487.830999999998</v>
      </c>
      <c r="H847" s="5">
        <f>19 / 86400</f>
        <v>2.199074074074074E-4</v>
      </c>
      <c r="I847" t="s">
        <v>22</v>
      </c>
      <c r="J847" t="s">
        <v>22</v>
      </c>
      <c r="K847" s="5">
        <f>35 / 86400</f>
        <v>4.0509259259259258E-4</v>
      </c>
      <c r="L847" s="5">
        <f>5481 / 86400</f>
        <v>6.3437499999999994E-2</v>
      </c>
    </row>
    <row r="848" spans="1:12" x14ac:dyDescent="0.25">
      <c r="A848" s="3">
        <v>45708.398726851854</v>
      </c>
      <c r="B848" t="s">
        <v>152</v>
      </c>
      <c r="C848" s="3">
        <v>45708.403344907405</v>
      </c>
      <c r="D848" t="s">
        <v>83</v>
      </c>
      <c r="E848" s="4">
        <v>0.28599999999999998</v>
      </c>
      <c r="F848" s="4">
        <v>42487.830999999998</v>
      </c>
      <c r="G848" s="4">
        <v>42488.116999999998</v>
      </c>
      <c r="H848" s="5">
        <f>259 / 86400</f>
        <v>2.9976851851851853E-3</v>
      </c>
      <c r="I848" t="s">
        <v>157</v>
      </c>
      <c r="J848" t="s">
        <v>135</v>
      </c>
      <c r="K848" s="5">
        <f>398 / 86400</f>
        <v>4.6064814814814814E-3</v>
      </c>
      <c r="L848" s="5">
        <f>252 / 86400</f>
        <v>2.9166666666666668E-3</v>
      </c>
    </row>
    <row r="849" spans="1:12" x14ac:dyDescent="0.25">
      <c r="A849" s="3">
        <v>45708.40626157407</v>
      </c>
      <c r="B849" t="s">
        <v>83</v>
      </c>
      <c r="C849" s="3">
        <v>45708.434918981482</v>
      </c>
      <c r="D849" t="s">
        <v>76</v>
      </c>
      <c r="E849" s="4">
        <v>15.521000000000001</v>
      </c>
      <c r="F849" s="4">
        <v>42488.116999999998</v>
      </c>
      <c r="G849" s="4">
        <v>42503.637999999999</v>
      </c>
      <c r="H849" s="5">
        <f>460 / 86400</f>
        <v>5.324074074074074E-3</v>
      </c>
      <c r="I849" t="s">
        <v>263</v>
      </c>
      <c r="J849" t="s">
        <v>144</v>
      </c>
      <c r="K849" s="5">
        <f>2475 / 86400</f>
        <v>2.8645833333333332E-2</v>
      </c>
      <c r="L849" s="5">
        <f>812 / 86400</f>
        <v>9.3981481481481485E-3</v>
      </c>
    </row>
    <row r="850" spans="1:12" x14ac:dyDescent="0.25">
      <c r="A850" s="3">
        <v>45708.44431712963</v>
      </c>
      <c r="B850" t="s">
        <v>76</v>
      </c>
      <c r="C850" s="3">
        <v>45708.445034722223</v>
      </c>
      <c r="D850" t="s">
        <v>76</v>
      </c>
      <c r="E850" s="4">
        <v>8.0000000000000002E-3</v>
      </c>
      <c r="F850" s="4">
        <v>42503.637999999999</v>
      </c>
      <c r="G850" s="4">
        <v>42503.646000000001</v>
      </c>
      <c r="H850" s="5">
        <f>59 / 86400</f>
        <v>6.8287037037037036E-4</v>
      </c>
      <c r="I850" t="s">
        <v>22</v>
      </c>
      <c r="J850" t="s">
        <v>22</v>
      </c>
      <c r="K850" s="5">
        <f>61 / 86400</f>
        <v>7.0601851851851847E-4</v>
      </c>
      <c r="L850" s="5">
        <f>47948 / 86400</f>
        <v>0.55495370370370367</v>
      </c>
    </row>
    <row r="851" spans="1:1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 spans="1:1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</row>
    <row r="853" spans="1:12" s="10" customFormat="1" ht="20.100000000000001" customHeight="1" x14ac:dyDescent="0.35">
      <c r="A853" s="15" t="s">
        <v>494</v>
      </c>
      <c r="B853" s="15"/>
      <c r="C853" s="15"/>
      <c r="D853" s="15"/>
      <c r="E853" s="15"/>
      <c r="F853" s="15"/>
      <c r="G853" s="15"/>
      <c r="H853" s="15"/>
      <c r="I853" s="15"/>
      <c r="J853" s="15"/>
    </row>
    <row r="854" spans="1:1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</row>
    <row r="855" spans="1:12" ht="30" x14ac:dyDescent="0.25">
      <c r="A855" s="2" t="s">
        <v>6</v>
      </c>
      <c r="B855" s="2" t="s">
        <v>7</v>
      </c>
      <c r="C855" s="2" t="s">
        <v>8</v>
      </c>
      <c r="D855" s="2" t="s">
        <v>9</v>
      </c>
      <c r="E855" s="2" t="s">
        <v>10</v>
      </c>
      <c r="F855" s="2" t="s">
        <v>11</v>
      </c>
      <c r="G855" s="2" t="s">
        <v>12</v>
      </c>
      <c r="H855" s="2" t="s">
        <v>13</v>
      </c>
      <c r="I855" s="2" t="s">
        <v>14</v>
      </c>
      <c r="J855" s="2" t="s">
        <v>15</v>
      </c>
      <c r="K855" s="2" t="s">
        <v>16</v>
      </c>
      <c r="L855" s="2" t="s">
        <v>17</v>
      </c>
    </row>
    <row r="856" spans="1:12" x14ac:dyDescent="0.25">
      <c r="A856" s="3">
        <v>45708.004050925927</v>
      </c>
      <c r="B856" t="s">
        <v>77</v>
      </c>
      <c r="C856" s="3">
        <v>45708.004606481481</v>
      </c>
      <c r="D856" t="s">
        <v>420</v>
      </c>
      <c r="E856" s="4">
        <v>6.4000000000000001E-2</v>
      </c>
      <c r="F856" s="4">
        <v>48236.67</v>
      </c>
      <c r="G856" s="4">
        <v>48236.733999999997</v>
      </c>
      <c r="H856" s="5">
        <f>0 / 86400</f>
        <v>0</v>
      </c>
      <c r="I856" t="s">
        <v>137</v>
      </c>
      <c r="J856" t="s">
        <v>55</v>
      </c>
      <c r="K856" s="5">
        <f>48 / 86400</f>
        <v>5.5555555555555556E-4</v>
      </c>
      <c r="L856" s="5">
        <f>1141 / 86400</f>
        <v>1.3206018518518518E-2</v>
      </c>
    </row>
    <row r="857" spans="1:12" x14ac:dyDescent="0.25">
      <c r="A857" s="3">
        <v>45708.013761574075</v>
      </c>
      <c r="B857" t="s">
        <v>420</v>
      </c>
      <c r="C857" s="3">
        <v>45708.020671296297</v>
      </c>
      <c r="D857" t="s">
        <v>111</v>
      </c>
      <c r="E857" s="4">
        <v>1.2150000000000001</v>
      </c>
      <c r="F857" s="4">
        <v>48236.733999999997</v>
      </c>
      <c r="G857" s="4">
        <v>48237.949000000001</v>
      </c>
      <c r="H857" s="5">
        <f>240 / 86400</f>
        <v>2.7777777777777779E-3</v>
      </c>
      <c r="I857" t="s">
        <v>217</v>
      </c>
      <c r="J857" t="s">
        <v>26</v>
      </c>
      <c r="K857" s="5">
        <f>597 / 86400</f>
        <v>6.9097222222222225E-3</v>
      </c>
      <c r="L857" s="5">
        <f>13783 / 86400</f>
        <v>0.15952546296296297</v>
      </c>
    </row>
    <row r="858" spans="1:12" x14ac:dyDescent="0.25">
      <c r="A858" s="3">
        <v>45708.180196759262</v>
      </c>
      <c r="B858" t="s">
        <v>111</v>
      </c>
      <c r="C858" s="3">
        <v>45708.363773148143</v>
      </c>
      <c r="D858" t="s">
        <v>105</v>
      </c>
      <c r="E858" s="4">
        <v>92.867999999999995</v>
      </c>
      <c r="F858" s="4">
        <v>48237.949000000001</v>
      </c>
      <c r="G858" s="4">
        <v>48330.817000000003</v>
      </c>
      <c r="H858" s="5">
        <f>3319 / 86400</f>
        <v>3.8414351851851852E-2</v>
      </c>
      <c r="I858" t="s">
        <v>90</v>
      </c>
      <c r="J858" t="s">
        <v>38</v>
      </c>
      <c r="K858" s="5">
        <f>15860 / 86400</f>
        <v>0.18356481481481482</v>
      </c>
      <c r="L858" s="5">
        <f>3608 / 86400</f>
        <v>4.175925925925926E-2</v>
      </c>
    </row>
    <row r="859" spans="1:12" x14ac:dyDescent="0.25">
      <c r="A859" s="3">
        <v>45708.405532407407</v>
      </c>
      <c r="B859" t="s">
        <v>105</v>
      </c>
      <c r="C859" s="3">
        <v>45708.406284722223</v>
      </c>
      <c r="D859" t="s">
        <v>105</v>
      </c>
      <c r="E859" s="4">
        <v>0</v>
      </c>
      <c r="F859" s="4">
        <v>48330.817000000003</v>
      </c>
      <c r="G859" s="4">
        <v>48330.817000000003</v>
      </c>
      <c r="H859" s="5">
        <f>59 / 86400</f>
        <v>6.8287037037037036E-4</v>
      </c>
      <c r="I859" t="s">
        <v>22</v>
      </c>
      <c r="J859" t="s">
        <v>22</v>
      </c>
      <c r="K859" s="5">
        <f>65 / 86400</f>
        <v>7.5231481481481482E-4</v>
      </c>
      <c r="L859" s="5">
        <f>321 / 86400</f>
        <v>3.7152777777777778E-3</v>
      </c>
    </row>
    <row r="860" spans="1:12" x14ac:dyDescent="0.25">
      <c r="A860" s="3">
        <v>45708.41</v>
      </c>
      <c r="B860" t="s">
        <v>105</v>
      </c>
      <c r="C860" s="3">
        <v>45708.412800925929</v>
      </c>
      <c r="D860" t="s">
        <v>83</v>
      </c>
      <c r="E860" s="4">
        <v>0.59799999999999998</v>
      </c>
      <c r="F860" s="4">
        <v>48330.817000000003</v>
      </c>
      <c r="G860" s="4">
        <v>48331.415000000001</v>
      </c>
      <c r="H860" s="5">
        <f>59 / 86400</f>
        <v>6.8287037037037036E-4</v>
      </c>
      <c r="I860" t="s">
        <v>131</v>
      </c>
      <c r="J860" t="s">
        <v>137</v>
      </c>
      <c r="K860" s="5">
        <f>241 / 86400</f>
        <v>2.7893518518518519E-3</v>
      </c>
      <c r="L860" s="5">
        <f>201 / 86400</f>
        <v>2.3263888888888887E-3</v>
      </c>
    </row>
    <row r="861" spans="1:12" x14ac:dyDescent="0.25">
      <c r="A861" s="3">
        <v>45708.415127314816</v>
      </c>
      <c r="B861" t="s">
        <v>83</v>
      </c>
      <c r="C861" s="3">
        <v>45708.415659722217</v>
      </c>
      <c r="D861" t="s">
        <v>83</v>
      </c>
      <c r="E861" s="4">
        <v>4.7E-2</v>
      </c>
      <c r="F861" s="4">
        <v>48331.415000000001</v>
      </c>
      <c r="G861" s="4">
        <v>48331.462</v>
      </c>
      <c r="H861" s="5">
        <f>0 / 86400</f>
        <v>0</v>
      </c>
      <c r="I861" t="s">
        <v>32</v>
      </c>
      <c r="J861" t="s">
        <v>143</v>
      </c>
      <c r="K861" s="5">
        <f>46 / 86400</f>
        <v>5.3240740740740744E-4</v>
      </c>
      <c r="L861" s="5">
        <f>986 / 86400</f>
        <v>1.1412037037037037E-2</v>
      </c>
    </row>
    <row r="862" spans="1:12" x14ac:dyDescent="0.25">
      <c r="A862" s="3">
        <v>45708.427071759259</v>
      </c>
      <c r="B862" t="s">
        <v>83</v>
      </c>
      <c r="C862" s="3">
        <v>45708.429108796292</v>
      </c>
      <c r="D862" t="s">
        <v>83</v>
      </c>
      <c r="E862" s="4">
        <v>0.17100000000000001</v>
      </c>
      <c r="F862" s="4">
        <v>48331.462</v>
      </c>
      <c r="G862" s="4">
        <v>48331.633000000002</v>
      </c>
      <c r="H862" s="5">
        <f>99 / 86400</f>
        <v>1.1458333333333333E-3</v>
      </c>
      <c r="I862" t="s">
        <v>86</v>
      </c>
      <c r="J862" t="s">
        <v>135</v>
      </c>
      <c r="K862" s="5">
        <f>176 / 86400</f>
        <v>2.0370370370370369E-3</v>
      </c>
      <c r="L862" s="5">
        <f>398 / 86400</f>
        <v>4.6064814814814814E-3</v>
      </c>
    </row>
    <row r="863" spans="1:12" x14ac:dyDescent="0.25">
      <c r="A863" s="3">
        <v>45708.433715277773</v>
      </c>
      <c r="B863" t="s">
        <v>83</v>
      </c>
      <c r="C863" s="3">
        <v>45708.434166666666</v>
      </c>
      <c r="D863" t="s">
        <v>83</v>
      </c>
      <c r="E863" s="4">
        <v>0</v>
      </c>
      <c r="F863" s="4">
        <v>48331.633000000002</v>
      </c>
      <c r="G863" s="4">
        <v>48331.633000000002</v>
      </c>
      <c r="H863" s="5">
        <f>19 / 86400</f>
        <v>2.199074074074074E-4</v>
      </c>
      <c r="I863" t="s">
        <v>22</v>
      </c>
      <c r="J863" t="s">
        <v>22</v>
      </c>
      <c r="K863" s="5">
        <f>38 / 86400</f>
        <v>4.3981481481481481E-4</v>
      </c>
      <c r="L863" s="5">
        <f>22 / 86400</f>
        <v>2.5462962962962961E-4</v>
      </c>
    </row>
    <row r="864" spans="1:12" x14ac:dyDescent="0.25">
      <c r="A864" s="3">
        <v>45708.434421296297</v>
      </c>
      <c r="B864" t="s">
        <v>83</v>
      </c>
      <c r="C864" s="3">
        <v>45708.434641203705</v>
      </c>
      <c r="D864" t="s">
        <v>83</v>
      </c>
      <c r="E864" s="4">
        <v>0</v>
      </c>
      <c r="F864" s="4">
        <v>48331.633000000002</v>
      </c>
      <c r="G864" s="4">
        <v>48331.633000000002</v>
      </c>
      <c r="H864" s="5">
        <f>0 / 86400</f>
        <v>0</v>
      </c>
      <c r="I864" t="s">
        <v>22</v>
      </c>
      <c r="J864" t="s">
        <v>22</v>
      </c>
      <c r="K864" s="5">
        <f>19 / 86400</f>
        <v>2.199074074074074E-4</v>
      </c>
      <c r="L864" s="5">
        <f>24 / 86400</f>
        <v>2.7777777777777778E-4</v>
      </c>
    </row>
    <row r="865" spans="1:12" x14ac:dyDescent="0.25">
      <c r="A865" s="3">
        <v>45708.434918981482</v>
      </c>
      <c r="B865" t="s">
        <v>83</v>
      </c>
      <c r="C865" s="3">
        <v>45708.435057870374</v>
      </c>
      <c r="D865" t="s">
        <v>83</v>
      </c>
      <c r="E865" s="4">
        <v>0</v>
      </c>
      <c r="F865" s="4">
        <v>48331.633000000002</v>
      </c>
      <c r="G865" s="4">
        <v>48331.633000000002</v>
      </c>
      <c r="H865" s="5">
        <f>0 / 86400</f>
        <v>0</v>
      </c>
      <c r="I865" t="s">
        <v>22</v>
      </c>
      <c r="J865" t="s">
        <v>22</v>
      </c>
      <c r="K865" s="5">
        <f>11 / 86400</f>
        <v>1.273148148148148E-4</v>
      </c>
      <c r="L865" s="5">
        <f>102 / 86400</f>
        <v>1.1805555555555556E-3</v>
      </c>
    </row>
    <row r="866" spans="1:12" x14ac:dyDescent="0.25">
      <c r="A866" s="3">
        <v>45708.436238425929</v>
      </c>
      <c r="B866" t="s">
        <v>83</v>
      </c>
      <c r="C866" s="3">
        <v>45708.442013888889</v>
      </c>
      <c r="D866" t="s">
        <v>83</v>
      </c>
      <c r="E866" s="4">
        <v>0.17299999999999999</v>
      </c>
      <c r="F866" s="4">
        <v>48331.633000000002</v>
      </c>
      <c r="G866" s="4">
        <v>48331.805999999997</v>
      </c>
      <c r="H866" s="5">
        <f>399 / 86400</f>
        <v>4.6180555555555558E-3</v>
      </c>
      <c r="I866" t="s">
        <v>97</v>
      </c>
      <c r="J866" t="s">
        <v>145</v>
      </c>
      <c r="K866" s="5">
        <f>499 / 86400</f>
        <v>5.7754629629629631E-3</v>
      </c>
      <c r="L866" s="5">
        <f>153 / 86400</f>
        <v>1.7708333333333332E-3</v>
      </c>
    </row>
    <row r="867" spans="1:12" x14ac:dyDescent="0.25">
      <c r="A867" s="3">
        <v>45708.443784722222</v>
      </c>
      <c r="B867" t="s">
        <v>83</v>
      </c>
      <c r="C867" s="3">
        <v>45708.445057870369</v>
      </c>
      <c r="D867" t="s">
        <v>114</v>
      </c>
      <c r="E867" s="4">
        <v>0.29199999999999998</v>
      </c>
      <c r="F867" s="4">
        <v>48331.805999999997</v>
      </c>
      <c r="G867" s="4">
        <v>48332.097999999998</v>
      </c>
      <c r="H867" s="5">
        <f>0 / 86400</f>
        <v>0</v>
      </c>
      <c r="I867" t="s">
        <v>142</v>
      </c>
      <c r="J867" t="s">
        <v>97</v>
      </c>
      <c r="K867" s="5">
        <f>109 / 86400</f>
        <v>1.261574074074074E-3</v>
      </c>
      <c r="L867" s="5">
        <f>1288 / 86400</f>
        <v>1.4907407407407407E-2</v>
      </c>
    </row>
    <row r="868" spans="1:12" x14ac:dyDescent="0.25">
      <c r="A868" s="3">
        <v>45708.459965277776</v>
      </c>
      <c r="B868" t="s">
        <v>114</v>
      </c>
      <c r="C868" s="3">
        <v>45708.461377314816</v>
      </c>
      <c r="D868" t="s">
        <v>83</v>
      </c>
      <c r="E868" s="4">
        <v>0.29199999999999998</v>
      </c>
      <c r="F868" s="4">
        <v>48332.097999999998</v>
      </c>
      <c r="G868" s="4">
        <v>48332.39</v>
      </c>
      <c r="H868" s="5">
        <f>19 / 86400</f>
        <v>2.199074074074074E-4</v>
      </c>
      <c r="I868" t="s">
        <v>150</v>
      </c>
      <c r="J868" t="s">
        <v>137</v>
      </c>
      <c r="K868" s="5">
        <f>122 / 86400</f>
        <v>1.4120370370370369E-3</v>
      </c>
      <c r="L868" s="5">
        <f>172 / 86400</f>
        <v>1.9907407407407408E-3</v>
      </c>
    </row>
    <row r="869" spans="1:12" x14ac:dyDescent="0.25">
      <c r="A869" s="3">
        <v>45708.463368055556</v>
      </c>
      <c r="B869" t="s">
        <v>83</v>
      </c>
      <c r="C869" s="3">
        <v>45708.516863425924</v>
      </c>
      <c r="D869" t="s">
        <v>39</v>
      </c>
      <c r="E869" s="4">
        <v>27.173999999999999</v>
      </c>
      <c r="F869" s="4">
        <v>48332.39</v>
      </c>
      <c r="G869" s="4">
        <v>48359.563999999998</v>
      </c>
      <c r="H869" s="5">
        <f>1179 / 86400</f>
        <v>1.3645833333333333E-2</v>
      </c>
      <c r="I869" t="s">
        <v>120</v>
      </c>
      <c r="J869" t="s">
        <v>38</v>
      </c>
      <c r="K869" s="5">
        <f>4621 / 86400</f>
        <v>5.3483796296296293E-2</v>
      </c>
      <c r="L869" s="5">
        <f>423 / 86400</f>
        <v>4.8958333333333336E-3</v>
      </c>
    </row>
    <row r="870" spans="1:12" x14ac:dyDescent="0.25">
      <c r="A870" s="3">
        <v>45708.52175925926</v>
      </c>
      <c r="B870" t="s">
        <v>39</v>
      </c>
      <c r="C870" s="3">
        <v>45708.533553240741</v>
      </c>
      <c r="D870" t="s">
        <v>27</v>
      </c>
      <c r="E870" s="4">
        <v>5.5519999999999996</v>
      </c>
      <c r="F870" s="4">
        <v>48359.563999999998</v>
      </c>
      <c r="G870" s="4">
        <v>48365.116000000002</v>
      </c>
      <c r="H870" s="5">
        <f>299 / 86400</f>
        <v>3.460648148148148E-3</v>
      </c>
      <c r="I870" t="s">
        <v>116</v>
      </c>
      <c r="J870" t="s">
        <v>131</v>
      </c>
      <c r="K870" s="5">
        <f>1018 / 86400</f>
        <v>1.1782407407407408E-2</v>
      </c>
      <c r="L870" s="5">
        <f>112 / 86400</f>
        <v>1.2962962962962963E-3</v>
      </c>
    </row>
    <row r="871" spans="1:12" x14ac:dyDescent="0.25">
      <c r="A871" s="3">
        <v>45708.534849537042</v>
      </c>
      <c r="B871" t="s">
        <v>27</v>
      </c>
      <c r="C871" s="3">
        <v>45708.534930555557</v>
      </c>
      <c r="D871" t="s">
        <v>27</v>
      </c>
      <c r="E871" s="4">
        <v>0</v>
      </c>
      <c r="F871" s="4">
        <v>48365.116000000002</v>
      </c>
      <c r="G871" s="4">
        <v>48365.116000000002</v>
      </c>
      <c r="H871" s="5">
        <f>0 / 86400</f>
        <v>0</v>
      </c>
      <c r="I871" t="s">
        <v>22</v>
      </c>
      <c r="J871" t="s">
        <v>22</v>
      </c>
      <c r="K871" s="5">
        <f>6 / 86400</f>
        <v>6.9444444444444444E-5</v>
      </c>
      <c r="L871" s="5">
        <f>739 / 86400</f>
        <v>8.5532407407407415E-3</v>
      </c>
    </row>
    <row r="872" spans="1:12" x14ac:dyDescent="0.25">
      <c r="A872" s="3">
        <v>45708.543483796297</v>
      </c>
      <c r="B872" t="s">
        <v>27</v>
      </c>
      <c r="C872" s="3">
        <v>45708.543946759259</v>
      </c>
      <c r="D872" t="s">
        <v>27</v>
      </c>
      <c r="E872" s="4">
        <v>2.1000000000000001E-2</v>
      </c>
      <c r="F872" s="4">
        <v>48365.116000000002</v>
      </c>
      <c r="G872" s="4">
        <v>48365.137000000002</v>
      </c>
      <c r="H872" s="5">
        <f>0 / 86400</f>
        <v>0</v>
      </c>
      <c r="I872" t="s">
        <v>145</v>
      </c>
      <c r="J872" t="s">
        <v>136</v>
      </c>
      <c r="K872" s="5">
        <f>39 / 86400</f>
        <v>4.5138888888888887E-4</v>
      </c>
      <c r="L872" s="5">
        <f>131 / 86400</f>
        <v>1.5162037037037036E-3</v>
      </c>
    </row>
    <row r="873" spans="1:12" x14ac:dyDescent="0.25">
      <c r="A873" s="3">
        <v>45708.545462962968</v>
      </c>
      <c r="B873" t="s">
        <v>27</v>
      </c>
      <c r="C873" s="3">
        <v>45708.545787037037</v>
      </c>
      <c r="D873" t="s">
        <v>27</v>
      </c>
      <c r="E873" s="4">
        <v>0</v>
      </c>
      <c r="F873" s="4">
        <v>48365.137000000002</v>
      </c>
      <c r="G873" s="4">
        <v>48365.137000000002</v>
      </c>
      <c r="H873" s="5">
        <f>19 / 86400</f>
        <v>2.199074074074074E-4</v>
      </c>
      <c r="I873" t="s">
        <v>22</v>
      </c>
      <c r="J873" t="s">
        <v>22</v>
      </c>
      <c r="K873" s="5">
        <f>27 / 86400</f>
        <v>3.1250000000000001E-4</v>
      </c>
      <c r="L873" s="5">
        <f>2261 / 86400</f>
        <v>2.6168981481481481E-2</v>
      </c>
    </row>
    <row r="874" spans="1:12" x14ac:dyDescent="0.25">
      <c r="A874" s="3">
        <v>45708.571956018517</v>
      </c>
      <c r="B874" t="s">
        <v>27</v>
      </c>
      <c r="C874" s="3">
        <v>45708.58017361111</v>
      </c>
      <c r="D874" t="s">
        <v>141</v>
      </c>
      <c r="E874" s="4">
        <v>1.8180000000000001</v>
      </c>
      <c r="F874" s="4">
        <v>48365.137000000002</v>
      </c>
      <c r="G874" s="4">
        <v>48366.955000000002</v>
      </c>
      <c r="H874" s="5">
        <f>280 / 86400</f>
        <v>3.2407407407407406E-3</v>
      </c>
      <c r="I874" t="s">
        <v>192</v>
      </c>
      <c r="J874" t="s">
        <v>137</v>
      </c>
      <c r="K874" s="5">
        <f>709 / 86400</f>
        <v>8.2060185185185187E-3</v>
      </c>
      <c r="L874" s="5">
        <f>27 / 86400</f>
        <v>3.1250000000000001E-4</v>
      </c>
    </row>
    <row r="875" spans="1:12" x14ac:dyDescent="0.25">
      <c r="A875" s="3">
        <v>45708.58048611111</v>
      </c>
      <c r="B875" t="s">
        <v>141</v>
      </c>
      <c r="C875" s="3">
        <v>45708.589108796295</v>
      </c>
      <c r="D875" t="s">
        <v>39</v>
      </c>
      <c r="E875" s="4">
        <v>3.86</v>
      </c>
      <c r="F875" s="4">
        <v>48366.955000000002</v>
      </c>
      <c r="G875" s="4">
        <v>48370.815000000002</v>
      </c>
      <c r="H875" s="5">
        <f>220 / 86400</f>
        <v>2.5462962962962965E-3</v>
      </c>
      <c r="I875" t="s">
        <v>104</v>
      </c>
      <c r="J875" t="s">
        <v>68</v>
      </c>
      <c r="K875" s="5">
        <f>745 / 86400</f>
        <v>8.6226851851851846E-3</v>
      </c>
      <c r="L875" s="5">
        <f>4389 / 86400</f>
        <v>5.0798611111111114E-2</v>
      </c>
    </row>
    <row r="876" spans="1:12" x14ac:dyDescent="0.25">
      <c r="A876" s="3">
        <v>45708.639907407407</v>
      </c>
      <c r="B876" t="s">
        <v>39</v>
      </c>
      <c r="C876" s="3">
        <v>45708.640381944446</v>
      </c>
      <c r="D876" t="s">
        <v>39</v>
      </c>
      <c r="E876" s="4">
        <v>1.4E-2</v>
      </c>
      <c r="F876" s="4">
        <v>48370.815000000002</v>
      </c>
      <c r="G876" s="4">
        <v>48370.828999999998</v>
      </c>
      <c r="H876" s="5">
        <f>19 / 86400</f>
        <v>2.199074074074074E-4</v>
      </c>
      <c r="I876" t="s">
        <v>137</v>
      </c>
      <c r="J876" t="s">
        <v>145</v>
      </c>
      <c r="K876" s="5">
        <f>41 / 86400</f>
        <v>4.7453703703703704E-4</v>
      </c>
      <c r="L876" s="5">
        <f>42 / 86400</f>
        <v>4.861111111111111E-4</v>
      </c>
    </row>
    <row r="877" spans="1:12" x14ac:dyDescent="0.25">
      <c r="A877" s="3">
        <v>45708.640868055554</v>
      </c>
      <c r="B877" t="s">
        <v>39</v>
      </c>
      <c r="C877" s="3">
        <v>45708.853020833332</v>
      </c>
      <c r="D877" t="s">
        <v>280</v>
      </c>
      <c r="E877" s="4">
        <v>74.334999999999994</v>
      </c>
      <c r="F877" s="4">
        <v>48370.828999999998</v>
      </c>
      <c r="G877" s="4">
        <v>48445.163999999997</v>
      </c>
      <c r="H877" s="5">
        <f>6962 / 86400</f>
        <v>8.0578703703703708E-2</v>
      </c>
      <c r="I877" t="s">
        <v>79</v>
      </c>
      <c r="J877" t="s">
        <v>44</v>
      </c>
      <c r="K877" s="5">
        <f>18330 / 86400</f>
        <v>0.21215277777777777</v>
      </c>
      <c r="L877" s="5">
        <f>31 / 86400</f>
        <v>3.5879629629629629E-4</v>
      </c>
    </row>
    <row r="878" spans="1:12" x14ac:dyDescent="0.25">
      <c r="A878" s="3">
        <v>45708.853379629625</v>
      </c>
      <c r="B878" t="s">
        <v>280</v>
      </c>
      <c r="C878" s="3">
        <v>45708.856180555551</v>
      </c>
      <c r="D878" t="s">
        <v>280</v>
      </c>
      <c r="E878" s="4">
        <v>5.0000000000000001E-3</v>
      </c>
      <c r="F878" s="4">
        <v>48445.163999999997</v>
      </c>
      <c r="G878" s="4">
        <v>48445.169000000002</v>
      </c>
      <c r="H878" s="5">
        <f>239 / 86400</f>
        <v>2.7662037037037039E-3</v>
      </c>
      <c r="I878" t="s">
        <v>22</v>
      </c>
      <c r="J878" t="s">
        <v>22</v>
      </c>
      <c r="K878" s="5">
        <f>242 / 86400</f>
        <v>2.8009259259259259E-3</v>
      </c>
      <c r="L878" s="5">
        <f>25 / 86400</f>
        <v>2.8935185185185184E-4</v>
      </c>
    </row>
    <row r="879" spans="1:12" x14ac:dyDescent="0.25">
      <c r="A879" s="3">
        <v>45708.856469907405</v>
      </c>
      <c r="B879" t="s">
        <v>280</v>
      </c>
      <c r="C879" s="3">
        <v>45708.99998842593</v>
      </c>
      <c r="D879" t="s">
        <v>78</v>
      </c>
      <c r="E879" s="4">
        <v>66.412999999999997</v>
      </c>
      <c r="F879" s="4">
        <v>48445.169000000002</v>
      </c>
      <c r="G879" s="4">
        <v>48511.582000000002</v>
      </c>
      <c r="H879" s="5">
        <f>4338 / 86400</f>
        <v>5.0208333333333334E-2</v>
      </c>
      <c r="I879" t="s">
        <v>61</v>
      </c>
      <c r="J879" t="s">
        <v>68</v>
      </c>
      <c r="K879" s="5">
        <f>12400 / 86400</f>
        <v>0.14351851851851852</v>
      </c>
      <c r="L879" s="5">
        <f>0 / 86400</f>
        <v>0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495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45708</v>
      </c>
      <c r="B885" t="s">
        <v>80</v>
      </c>
      <c r="C885" s="3">
        <v>45708.022268518514</v>
      </c>
      <c r="D885" t="s">
        <v>39</v>
      </c>
      <c r="E885" s="4">
        <v>18.111000000059605</v>
      </c>
      <c r="F885" s="4">
        <v>529609.505</v>
      </c>
      <c r="G885" s="4">
        <v>529627.61600000004</v>
      </c>
      <c r="H885" s="5">
        <f>400 / 86400</f>
        <v>4.6296296296296294E-3</v>
      </c>
      <c r="I885" t="s">
        <v>81</v>
      </c>
      <c r="J885" t="s">
        <v>160</v>
      </c>
      <c r="K885" s="5">
        <f>1924 / 86400</f>
        <v>2.2268518518518517E-2</v>
      </c>
      <c r="L885" s="5">
        <f>209 / 86400</f>
        <v>2.4189814814814816E-3</v>
      </c>
    </row>
    <row r="886" spans="1:12" x14ac:dyDescent="0.25">
      <c r="A886" s="3">
        <v>45708.024687500001</v>
      </c>
      <c r="B886" t="s">
        <v>39</v>
      </c>
      <c r="C886" s="3">
        <v>45708.027569444443</v>
      </c>
      <c r="D886" t="s">
        <v>77</v>
      </c>
      <c r="E886" s="4">
        <v>0.84899999988079067</v>
      </c>
      <c r="F886" s="4">
        <v>529627.61600000004</v>
      </c>
      <c r="G886" s="4">
        <v>529628.46499999997</v>
      </c>
      <c r="H886" s="5">
        <f>79 / 86400</f>
        <v>9.1435185185185185E-4</v>
      </c>
      <c r="I886" t="s">
        <v>160</v>
      </c>
      <c r="J886" t="s">
        <v>65</v>
      </c>
      <c r="K886" s="5">
        <f>249 / 86400</f>
        <v>2.8819444444444444E-3</v>
      </c>
      <c r="L886" s="5">
        <f>13849 / 86400</f>
        <v>0.16028935185185186</v>
      </c>
    </row>
    <row r="887" spans="1:12" x14ac:dyDescent="0.25">
      <c r="A887" s="3">
        <v>45708.1878587963</v>
      </c>
      <c r="B887" t="s">
        <v>77</v>
      </c>
      <c r="C887" s="3">
        <v>45708.250115740739</v>
      </c>
      <c r="D887" t="s">
        <v>225</v>
      </c>
      <c r="E887" s="4">
        <v>33.234999999999999</v>
      </c>
      <c r="F887" s="4">
        <v>529628.46499999997</v>
      </c>
      <c r="G887" s="4">
        <v>529661.69999999995</v>
      </c>
      <c r="H887" s="5">
        <f>1399 / 86400</f>
        <v>1.6192129629629629E-2</v>
      </c>
      <c r="I887" t="s">
        <v>120</v>
      </c>
      <c r="J887" t="s">
        <v>148</v>
      </c>
      <c r="K887" s="5">
        <f>5379 / 86400</f>
        <v>6.2256944444444441E-2</v>
      </c>
      <c r="L887" s="5">
        <f>56 / 86400</f>
        <v>6.4814814814814813E-4</v>
      </c>
    </row>
    <row r="888" spans="1:12" x14ac:dyDescent="0.25">
      <c r="A888" s="3">
        <v>45708.250763888893</v>
      </c>
      <c r="B888" t="s">
        <v>225</v>
      </c>
      <c r="C888" s="3">
        <v>45708.350868055553</v>
      </c>
      <c r="D888" t="s">
        <v>152</v>
      </c>
      <c r="E888" s="4">
        <v>49.342000000059606</v>
      </c>
      <c r="F888" s="4">
        <v>529661.69999999995</v>
      </c>
      <c r="G888" s="4">
        <v>529711.04200000002</v>
      </c>
      <c r="H888" s="5">
        <f>2759 / 86400</f>
        <v>3.1932870370370368E-2</v>
      </c>
      <c r="I888" t="s">
        <v>411</v>
      </c>
      <c r="J888" t="s">
        <v>38</v>
      </c>
      <c r="K888" s="5">
        <f>8648 / 86400</f>
        <v>0.10009259259259259</v>
      </c>
      <c r="L888" s="5">
        <f>1019 / 86400</f>
        <v>1.1793981481481482E-2</v>
      </c>
    </row>
    <row r="889" spans="1:12" x14ac:dyDescent="0.25">
      <c r="A889" s="3">
        <v>45708.362662037034</v>
      </c>
      <c r="B889" t="s">
        <v>152</v>
      </c>
      <c r="C889" s="3">
        <v>45708.364444444444</v>
      </c>
      <c r="D889" t="s">
        <v>152</v>
      </c>
      <c r="E889" s="4">
        <v>0</v>
      </c>
      <c r="F889" s="4">
        <v>529711.04200000002</v>
      </c>
      <c r="G889" s="4">
        <v>529711.04200000002</v>
      </c>
      <c r="H889" s="5">
        <f>139 / 86400</f>
        <v>1.6087962962962963E-3</v>
      </c>
      <c r="I889" t="s">
        <v>22</v>
      </c>
      <c r="J889" t="s">
        <v>22</v>
      </c>
      <c r="K889" s="5">
        <f>153 / 86400</f>
        <v>1.7708333333333332E-3</v>
      </c>
      <c r="L889" s="5">
        <f>4 / 86400</f>
        <v>4.6296296296296294E-5</v>
      </c>
    </row>
    <row r="890" spans="1:12" x14ac:dyDescent="0.25">
      <c r="A890" s="3">
        <v>45708.364490740743</v>
      </c>
      <c r="B890" t="s">
        <v>152</v>
      </c>
      <c r="C890" s="3">
        <v>45708.364571759259</v>
      </c>
      <c r="D890" t="s">
        <v>152</v>
      </c>
      <c r="E890" s="4">
        <v>0</v>
      </c>
      <c r="F890" s="4">
        <v>529711.04200000002</v>
      </c>
      <c r="G890" s="4">
        <v>529711.04200000002</v>
      </c>
      <c r="H890" s="5">
        <f>2 / 86400</f>
        <v>2.3148148148148147E-5</v>
      </c>
      <c r="I890" t="s">
        <v>22</v>
      </c>
      <c r="J890" t="s">
        <v>22</v>
      </c>
      <c r="K890" s="5">
        <f>7 / 86400</f>
        <v>8.1018518518518516E-5</v>
      </c>
      <c r="L890" s="5">
        <f>5 / 86400</f>
        <v>5.7870370370370373E-5</v>
      </c>
    </row>
    <row r="891" spans="1:12" x14ac:dyDescent="0.25">
      <c r="A891" s="3">
        <v>45708.364629629628</v>
      </c>
      <c r="B891" t="s">
        <v>152</v>
      </c>
      <c r="C891" s="3">
        <v>45708.36619212963</v>
      </c>
      <c r="D891" t="s">
        <v>152</v>
      </c>
      <c r="E891" s="4">
        <v>0</v>
      </c>
      <c r="F891" s="4">
        <v>529711.04200000002</v>
      </c>
      <c r="G891" s="4">
        <v>529711.04200000002</v>
      </c>
      <c r="H891" s="5">
        <f>130 / 86400</f>
        <v>1.5046296296296296E-3</v>
      </c>
      <c r="I891" t="s">
        <v>22</v>
      </c>
      <c r="J891" t="s">
        <v>22</v>
      </c>
      <c r="K891" s="5">
        <f>135 / 86400</f>
        <v>1.5625000000000001E-3</v>
      </c>
      <c r="L891" s="5">
        <f>3 / 86400</f>
        <v>3.4722222222222222E-5</v>
      </c>
    </row>
    <row r="892" spans="1:12" x14ac:dyDescent="0.25">
      <c r="A892" s="3">
        <v>45708.366226851853</v>
      </c>
      <c r="B892" t="s">
        <v>152</v>
      </c>
      <c r="C892" s="3">
        <v>45708.366423611107</v>
      </c>
      <c r="D892" t="s">
        <v>152</v>
      </c>
      <c r="E892" s="4">
        <v>9.9999994039535523E-4</v>
      </c>
      <c r="F892" s="4">
        <v>529711.04200000002</v>
      </c>
      <c r="G892" s="4">
        <v>529711.04299999995</v>
      </c>
      <c r="H892" s="5">
        <f>12 / 86400</f>
        <v>1.3888888888888889E-4</v>
      </c>
      <c r="I892" t="s">
        <v>22</v>
      </c>
      <c r="J892" t="s">
        <v>22</v>
      </c>
      <c r="K892" s="5">
        <f>17 / 86400</f>
        <v>1.9675925925925926E-4</v>
      </c>
      <c r="L892" s="5">
        <f>2979 / 86400</f>
        <v>3.4479166666666665E-2</v>
      </c>
    </row>
    <row r="893" spans="1:12" x14ac:dyDescent="0.25">
      <c r="A893" s="3">
        <v>45708.400902777779</v>
      </c>
      <c r="B893" t="s">
        <v>152</v>
      </c>
      <c r="C893" s="3">
        <v>45708.40452546296</v>
      </c>
      <c r="D893" t="s">
        <v>83</v>
      </c>
      <c r="E893" s="4">
        <v>0</v>
      </c>
      <c r="F893" s="4">
        <v>529711.04299999995</v>
      </c>
      <c r="G893" s="4">
        <v>529711.04299999995</v>
      </c>
      <c r="H893" s="5">
        <f>299 / 86400</f>
        <v>3.460648148148148E-3</v>
      </c>
      <c r="I893" t="s">
        <v>22</v>
      </c>
      <c r="J893" t="s">
        <v>22</v>
      </c>
      <c r="K893" s="5">
        <f>313 / 86400</f>
        <v>3.6226851851851854E-3</v>
      </c>
      <c r="L893" s="5">
        <f>609 / 86400</f>
        <v>7.0486111111111114E-3</v>
      </c>
    </row>
    <row r="894" spans="1:12" x14ac:dyDescent="0.25">
      <c r="A894" s="3">
        <v>45708.411574074074</v>
      </c>
      <c r="B894" t="s">
        <v>152</v>
      </c>
      <c r="C894" s="3">
        <v>45708.415983796294</v>
      </c>
      <c r="D894" t="s">
        <v>149</v>
      </c>
      <c r="E894" s="4">
        <v>1.2940000001192093</v>
      </c>
      <c r="F894" s="4">
        <v>529711.04299999995</v>
      </c>
      <c r="G894" s="4">
        <v>529712.33700000006</v>
      </c>
      <c r="H894" s="5">
        <f>59 / 86400</f>
        <v>6.8287037037037036E-4</v>
      </c>
      <c r="I894" t="s">
        <v>31</v>
      </c>
      <c r="J894" t="s">
        <v>65</v>
      </c>
      <c r="K894" s="5">
        <f>381 / 86400</f>
        <v>4.409722222222222E-3</v>
      </c>
      <c r="L894" s="5">
        <f>506 / 86400</f>
        <v>5.8564814814814816E-3</v>
      </c>
    </row>
    <row r="895" spans="1:12" x14ac:dyDescent="0.25">
      <c r="A895" s="3">
        <v>45708.421840277777</v>
      </c>
      <c r="B895" t="s">
        <v>149</v>
      </c>
      <c r="C895" s="3">
        <v>45708.547210648147</v>
      </c>
      <c r="D895" t="s">
        <v>421</v>
      </c>
      <c r="E895" s="4">
        <v>50.659999999940396</v>
      </c>
      <c r="F895" s="4">
        <v>529712.33700000006</v>
      </c>
      <c r="G895" s="4">
        <v>529762.99699999997</v>
      </c>
      <c r="H895" s="5">
        <f>3820 / 86400</f>
        <v>4.4212962962962961E-2</v>
      </c>
      <c r="I895" t="s">
        <v>46</v>
      </c>
      <c r="J895" t="s">
        <v>20</v>
      </c>
      <c r="K895" s="5">
        <f>10832 / 86400</f>
        <v>0.12537037037037038</v>
      </c>
      <c r="L895" s="5">
        <f>133 / 86400</f>
        <v>1.5393518518518519E-3</v>
      </c>
    </row>
    <row r="896" spans="1:12" x14ac:dyDescent="0.25">
      <c r="A896" s="3">
        <v>45708.548750000002</v>
      </c>
      <c r="B896" t="s">
        <v>421</v>
      </c>
      <c r="C896" s="3">
        <v>45708.679467592592</v>
      </c>
      <c r="D896" t="s">
        <v>83</v>
      </c>
      <c r="E896" s="4">
        <v>50.158000000000001</v>
      </c>
      <c r="F896" s="4">
        <v>529762.99699999997</v>
      </c>
      <c r="G896" s="4">
        <v>529813.15500000003</v>
      </c>
      <c r="H896" s="5">
        <f>4058 / 86400</f>
        <v>4.6967592592592596E-2</v>
      </c>
      <c r="I896" t="s">
        <v>28</v>
      </c>
      <c r="J896" t="s">
        <v>49</v>
      </c>
      <c r="K896" s="5">
        <f>11294 / 86400</f>
        <v>0.13071759259259258</v>
      </c>
      <c r="L896" s="5">
        <f>367 / 86400</f>
        <v>4.2476851851851851E-3</v>
      </c>
    </row>
    <row r="897" spans="1:12" x14ac:dyDescent="0.25">
      <c r="A897" s="3">
        <v>45708.683715277773</v>
      </c>
      <c r="B897" t="s">
        <v>83</v>
      </c>
      <c r="C897" s="3">
        <v>45708.686909722222</v>
      </c>
      <c r="D897" t="s">
        <v>114</v>
      </c>
      <c r="E897" s="4">
        <v>0.45899999994039536</v>
      </c>
      <c r="F897" s="4">
        <v>529813.15500000003</v>
      </c>
      <c r="G897" s="4">
        <v>529813.61399999994</v>
      </c>
      <c r="H897" s="5">
        <f>120 / 86400</f>
        <v>1.3888888888888889E-3</v>
      </c>
      <c r="I897" t="s">
        <v>31</v>
      </c>
      <c r="J897" t="s">
        <v>32</v>
      </c>
      <c r="K897" s="5">
        <f>275 / 86400</f>
        <v>3.1828703703703702E-3</v>
      </c>
      <c r="L897" s="5">
        <f>2544 / 86400</f>
        <v>2.9444444444444443E-2</v>
      </c>
    </row>
    <row r="898" spans="1:12" x14ac:dyDescent="0.25">
      <c r="A898" s="3">
        <v>45708.716354166667</v>
      </c>
      <c r="B898" t="s">
        <v>410</v>
      </c>
      <c r="C898" s="3">
        <v>45708.717106481483</v>
      </c>
      <c r="D898" t="s">
        <v>410</v>
      </c>
      <c r="E898" s="4">
        <v>1.7000000119209289E-2</v>
      </c>
      <c r="F898" s="4">
        <v>529813.61399999994</v>
      </c>
      <c r="G898" s="4">
        <v>529813.63100000005</v>
      </c>
      <c r="H898" s="5">
        <f>39 / 86400</f>
        <v>4.5138888888888887E-4</v>
      </c>
      <c r="I898" t="s">
        <v>145</v>
      </c>
      <c r="J898" t="s">
        <v>145</v>
      </c>
      <c r="K898" s="5">
        <f>65 / 86400</f>
        <v>7.5231481481481482E-4</v>
      </c>
      <c r="L898" s="5">
        <f>1591 / 86400</f>
        <v>1.8414351851851852E-2</v>
      </c>
    </row>
    <row r="899" spans="1:12" x14ac:dyDescent="0.25">
      <c r="A899" s="3">
        <v>45708.735520833332</v>
      </c>
      <c r="B899" t="s">
        <v>399</v>
      </c>
      <c r="C899" s="3">
        <v>45708.769375000003</v>
      </c>
      <c r="D899" t="s">
        <v>77</v>
      </c>
      <c r="E899" s="4">
        <v>18.757999999880791</v>
      </c>
      <c r="F899" s="4">
        <v>529813.63100000005</v>
      </c>
      <c r="G899" s="4">
        <v>529832.38899999997</v>
      </c>
      <c r="H899" s="5">
        <f>660 / 86400</f>
        <v>7.6388888888888886E-3</v>
      </c>
      <c r="I899" t="s">
        <v>130</v>
      </c>
      <c r="J899" t="s">
        <v>144</v>
      </c>
      <c r="K899" s="5">
        <f>2925 / 86400</f>
        <v>3.3854166666666664E-2</v>
      </c>
      <c r="L899" s="5">
        <f>19925 / 86400</f>
        <v>0.23061342592592593</v>
      </c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</row>
    <row r="902" spans="1:12" s="10" customFormat="1" ht="20.100000000000001" customHeight="1" x14ac:dyDescent="0.35">
      <c r="A902" s="15" t="s">
        <v>496</v>
      </c>
      <c r="B902" s="15"/>
      <c r="C902" s="15"/>
      <c r="D902" s="15"/>
      <c r="E902" s="15"/>
      <c r="F902" s="15"/>
      <c r="G902" s="15"/>
      <c r="H902" s="15"/>
      <c r="I902" s="15"/>
      <c r="J902" s="15"/>
    </row>
    <row r="903" spans="1:1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 spans="1:12" ht="30" x14ac:dyDescent="0.25">
      <c r="A904" s="2" t="s">
        <v>6</v>
      </c>
      <c r="B904" s="2" t="s">
        <v>7</v>
      </c>
      <c r="C904" s="2" t="s">
        <v>8</v>
      </c>
      <c r="D904" s="2" t="s">
        <v>9</v>
      </c>
      <c r="E904" s="2" t="s">
        <v>10</v>
      </c>
      <c r="F904" s="2" t="s">
        <v>11</v>
      </c>
      <c r="G904" s="2" t="s">
        <v>12</v>
      </c>
      <c r="H904" s="2" t="s">
        <v>13</v>
      </c>
      <c r="I904" s="2" t="s">
        <v>14</v>
      </c>
      <c r="J904" s="2" t="s">
        <v>15</v>
      </c>
      <c r="K904" s="2" t="s">
        <v>16</v>
      </c>
      <c r="L904" s="2" t="s">
        <v>17</v>
      </c>
    </row>
    <row r="905" spans="1:12" x14ac:dyDescent="0.25">
      <c r="A905" s="3">
        <v>45708.2106712963</v>
      </c>
      <c r="B905" t="s">
        <v>39</v>
      </c>
      <c r="C905" s="3">
        <v>45708.217557870375</v>
      </c>
      <c r="D905" t="s">
        <v>186</v>
      </c>
      <c r="E905" s="4">
        <v>0.36299999999999999</v>
      </c>
      <c r="F905" s="4">
        <v>569279.60400000005</v>
      </c>
      <c r="G905" s="4">
        <v>569279.96699999995</v>
      </c>
      <c r="H905" s="5">
        <f>459 / 86400</f>
        <v>5.3125000000000004E-3</v>
      </c>
      <c r="I905" t="s">
        <v>20</v>
      </c>
      <c r="J905" t="s">
        <v>136</v>
      </c>
      <c r="K905" s="5">
        <f>595 / 86400</f>
        <v>6.8865740740740745E-3</v>
      </c>
      <c r="L905" s="5">
        <f>18282 / 86400</f>
        <v>0.21159722222222221</v>
      </c>
    </row>
    <row r="906" spans="1:12" x14ac:dyDescent="0.25">
      <c r="A906" s="3">
        <v>45708.2184837963</v>
      </c>
      <c r="B906" t="s">
        <v>188</v>
      </c>
      <c r="C906" s="3">
        <v>45708.218703703707</v>
      </c>
      <c r="D906" t="s">
        <v>188</v>
      </c>
      <c r="E906" s="4">
        <v>3.0000000000000001E-3</v>
      </c>
      <c r="F906" s="4">
        <v>569279.96699999995</v>
      </c>
      <c r="G906" s="4">
        <v>569279.97</v>
      </c>
      <c r="H906" s="5">
        <f>0 / 86400</f>
        <v>0</v>
      </c>
      <c r="I906" t="s">
        <v>22</v>
      </c>
      <c r="J906" t="s">
        <v>145</v>
      </c>
      <c r="K906" s="5">
        <f>19 / 86400</f>
        <v>2.199074074074074E-4</v>
      </c>
      <c r="L906" s="5">
        <f>382 / 86400</f>
        <v>4.4212962962962964E-3</v>
      </c>
    </row>
    <row r="907" spans="1:12" x14ac:dyDescent="0.25">
      <c r="A907" s="3">
        <v>45708.223125000004</v>
      </c>
      <c r="B907" t="s">
        <v>188</v>
      </c>
      <c r="C907" s="3">
        <v>45708.223240740743</v>
      </c>
      <c r="D907" t="s">
        <v>188</v>
      </c>
      <c r="E907" s="4">
        <v>5.0000000000000001E-3</v>
      </c>
      <c r="F907" s="4">
        <v>569279.97</v>
      </c>
      <c r="G907" s="4">
        <v>569279.97499999998</v>
      </c>
      <c r="H907" s="5">
        <f>0 / 86400</f>
        <v>0</v>
      </c>
      <c r="I907" t="s">
        <v>22</v>
      </c>
      <c r="J907" t="s">
        <v>136</v>
      </c>
      <c r="K907" s="5">
        <f>10 / 86400</f>
        <v>1.1574074074074075E-4</v>
      </c>
      <c r="L907" s="5">
        <f>296 / 86400</f>
        <v>3.425925925925926E-3</v>
      </c>
    </row>
    <row r="908" spans="1:12" x14ac:dyDescent="0.25">
      <c r="A908" s="3">
        <v>45708.226666666669</v>
      </c>
      <c r="B908" t="s">
        <v>188</v>
      </c>
      <c r="C908" s="3">
        <v>45708.2269212963</v>
      </c>
      <c r="D908" t="s">
        <v>188</v>
      </c>
      <c r="E908" s="4">
        <v>5.0000000000000001E-3</v>
      </c>
      <c r="F908" s="4">
        <v>569279.97499999998</v>
      </c>
      <c r="G908" s="4">
        <v>569279.98</v>
      </c>
      <c r="H908" s="5">
        <f>19 / 86400</f>
        <v>2.199074074074074E-4</v>
      </c>
      <c r="I908" t="s">
        <v>22</v>
      </c>
      <c r="J908" t="s">
        <v>145</v>
      </c>
      <c r="K908" s="5">
        <f>22 / 86400</f>
        <v>2.5462962962962961E-4</v>
      </c>
      <c r="L908" s="5">
        <f>232 / 86400</f>
        <v>2.685185185185185E-3</v>
      </c>
    </row>
    <row r="909" spans="1:12" x14ac:dyDescent="0.25">
      <c r="A909" s="3">
        <v>45708.22960648148</v>
      </c>
      <c r="B909" t="s">
        <v>188</v>
      </c>
      <c r="C909" s="3">
        <v>45708.230138888888</v>
      </c>
      <c r="D909" t="s">
        <v>188</v>
      </c>
      <c r="E909" s="4">
        <v>1E-3</v>
      </c>
      <c r="F909" s="4">
        <v>569279.98</v>
      </c>
      <c r="G909" s="4">
        <v>569279.98100000003</v>
      </c>
      <c r="H909" s="5">
        <f>39 / 86400</f>
        <v>4.5138888888888887E-4</v>
      </c>
      <c r="I909" t="s">
        <v>22</v>
      </c>
      <c r="J909" t="s">
        <v>22</v>
      </c>
      <c r="K909" s="5">
        <f>46 / 86400</f>
        <v>5.3240740740740744E-4</v>
      </c>
      <c r="L909" s="5">
        <f>168 / 86400</f>
        <v>1.9444444444444444E-3</v>
      </c>
    </row>
    <row r="910" spans="1:12" x14ac:dyDescent="0.25">
      <c r="A910" s="3">
        <v>45708.232083333336</v>
      </c>
      <c r="B910" t="s">
        <v>188</v>
      </c>
      <c r="C910" s="3">
        <v>45708.232314814813</v>
      </c>
      <c r="D910" t="s">
        <v>188</v>
      </c>
      <c r="E910" s="4">
        <v>7.0000000000000001E-3</v>
      </c>
      <c r="F910" s="4">
        <v>569279.98100000003</v>
      </c>
      <c r="G910" s="4">
        <v>569279.98800000001</v>
      </c>
      <c r="H910" s="5">
        <f>18 / 86400</f>
        <v>2.0833333333333335E-4</v>
      </c>
      <c r="I910" t="s">
        <v>22</v>
      </c>
      <c r="J910" t="s">
        <v>145</v>
      </c>
      <c r="K910" s="5">
        <f>19 / 86400</f>
        <v>2.199074074074074E-4</v>
      </c>
      <c r="L910" s="5">
        <f>264 / 86400</f>
        <v>3.0555555555555557E-3</v>
      </c>
    </row>
    <row r="911" spans="1:12" x14ac:dyDescent="0.25">
      <c r="A911" s="3">
        <v>45708.23537037037</v>
      </c>
      <c r="B911" t="s">
        <v>188</v>
      </c>
      <c r="C911" s="3">
        <v>45708.450300925921</v>
      </c>
      <c r="D911" t="s">
        <v>83</v>
      </c>
      <c r="E911" s="4">
        <v>80.63</v>
      </c>
      <c r="F911" s="4">
        <v>569279.98800000001</v>
      </c>
      <c r="G911" s="4">
        <v>569360.61800000002</v>
      </c>
      <c r="H911" s="5">
        <f>6157 / 86400</f>
        <v>7.1261574074074074E-2</v>
      </c>
      <c r="I911" t="s">
        <v>28</v>
      </c>
      <c r="J911" t="s">
        <v>49</v>
      </c>
      <c r="K911" s="5">
        <f>18569 / 86400</f>
        <v>0.21491898148148147</v>
      </c>
      <c r="L911" s="5">
        <f>370 / 86400</f>
        <v>4.2824074074074075E-3</v>
      </c>
    </row>
    <row r="912" spans="1:12" x14ac:dyDescent="0.25">
      <c r="A912" s="3">
        <v>45708.454583333332</v>
      </c>
      <c r="B912" t="s">
        <v>83</v>
      </c>
      <c r="C912" s="3">
        <v>45708.458333333328</v>
      </c>
      <c r="D912" t="s">
        <v>121</v>
      </c>
      <c r="E912" s="4">
        <v>0.94</v>
      </c>
      <c r="F912" s="4">
        <v>569360.61800000002</v>
      </c>
      <c r="G912" s="4">
        <v>569361.55799999996</v>
      </c>
      <c r="H912" s="5">
        <f>60 / 86400</f>
        <v>6.9444444444444447E-4</v>
      </c>
      <c r="I912" t="s">
        <v>54</v>
      </c>
      <c r="J912" t="s">
        <v>97</v>
      </c>
      <c r="K912" s="5">
        <f>324 / 86400</f>
        <v>3.7499999999999999E-3</v>
      </c>
      <c r="L912" s="5">
        <f>2405 / 86400</f>
        <v>2.7835648148148148E-2</v>
      </c>
    </row>
    <row r="913" spans="1:12" x14ac:dyDescent="0.25">
      <c r="A913" s="3">
        <v>45708.486168981486</v>
      </c>
      <c r="B913" t="s">
        <v>121</v>
      </c>
      <c r="C913" s="3">
        <v>45708.49018518519</v>
      </c>
      <c r="D913" t="s">
        <v>149</v>
      </c>
      <c r="E913" s="4">
        <v>1.2410000000000001</v>
      </c>
      <c r="F913" s="4">
        <v>569361.55799999996</v>
      </c>
      <c r="G913" s="4">
        <v>569362.799</v>
      </c>
      <c r="H913" s="5">
        <f>59 / 86400</f>
        <v>6.8287037037037036E-4</v>
      </c>
      <c r="I913" t="s">
        <v>157</v>
      </c>
      <c r="J913" t="s">
        <v>29</v>
      </c>
      <c r="K913" s="5">
        <f>347 / 86400</f>
        <v>4.0162037037037041E-3</v>
      </c>
      <c r="L913" s="5">
        <f>395 / 86400</f>
        <v>4.5717592592592589E-3</v>
      </c>
    </row>
    <row r="914" spans="1:12" x14ac:dyDescent="0.25">
      <c r="A914" s="3">
        <v>45708.494756944448</v>
      </c>
      <c r="B914" t="s">
        <v>149</v>
      </c>
      <c r="C914" s="3">
        <v>45708.621053240742</v>
      </c>
      <c r="D914" t="s">
        <v>422</v>
      </c>
      <c r="E914" s="4">
        <v>51.264000000000003</v>
      </c>
      <c r="F914" s="4">
        <v>569362.799</v>
      </c>
      <c r="G914" s="4">
        <v>569414.06299999997</v>
      </c>
      <c r="H914" s="5">
        <f>3420 / 86400</f>
        <v>3.9583333333333331E-2</v>
      </c>
      <c r="I914" t="s">
        <v>37</v>
      </c>
      <c r="J914" t="s">
        <v>20</v>
      </c>
      <c r="K914" s="5">
        <f>10912 / 86400</f>
        <v>0.1262962962962963</v>
      </c>
      <c r="L914" s="5">
        <f>2139 / 86400</f>
        <v>2.4756944444444446E-2</v>
      </c>
    </row>
    <row r="915" spans="1:12" x14ac:dyDescent="0.25">
      <c r="A915" s="3">
        <v>45708.645810185189</v>
      </c>
      <c r="B915" t="s">
        <v>422</v>
      </c>
      <c r="C915" s="3">
        <v>45708.770300925928</v>
      </c>
      <c r="D915" t="s">
        <v>423</v>
      </c>
      <c r="E915" s="4">
        <v>36.774999999999999</v>
      </c>
      <c r="F915" s="4">
        <v>569414.06299999997</v>
      </c>
      <c r="G915" s="4">
        <v>569450.83799999999</v>
      </c>
      <c r="H915" s="5">
        <f>4059 / 86400</f>
        <v>4.6979166666666669E-2</v>
      </c>
      <c r="I915" t="s">
        <v>244</v>
      </c>
      <c r="J915" t="s">
        <v>65</v>
      </c>
      <c r="K915" s="5">
        <f>10755 / 86400</f>
        <v>0.12447916666666667</v>
      </c>
      <c r="L915" s="5">
        <f>541 / 86400</f>
        <v>6.2615740740740739E-3</v>
      </c>
    </row>
    <row r="916" spans="1:12" x14ac:dyDescent="0.25">
      <c r="A916" s="3">
        <v>45708.776562500003</v>
      </c>
      <c r="B916" t="s">
        <v>423</v>
      </c>
      <c r="C916" s="3">
        <v>45708.777835648143</v>
      </c>
      <c r="D916" t="s">
        <v>423</v>
      </c>
      <c r="E916" s="4">
        <v>0</v>
      </c>
      <c r="F916" s="4">
        <v>569450.83799999999</v>
      </c>
      <c r="G916" s="4">
        <v>569450.83799999999</v>
      </c>
      <c r="H916" s="5">
        <f>99 / 86400</f>
        <v>1.1458333333333333E-3</v>
      </c>
      <c r="I916" t="s">
        <v>22</v>
      </c>
      <c r="J916" t="s">
        <v>22</v>
      </c>
      <c r="K916" s="5">
        <f>110 / 86400</f>
        <v>1.2731481481481483E-3</v>
      </c>
      <c r="L916" s="5">
        <f>285 / 86400</f>
        <v>3.2986111111111111E-3</v>
      </c>
    </row>
    <row r="917" spans="1:12" x14ac:dyDescent="0.25">
      <c r="A917" s="3">
        <v>45708.781134259261</v>
      </c>
      <c r="B917" t="s">
        <v>423</v>
      </c>
      <c r="C917" s="3">
        <v>45708.78943287037</v>
      </c>
      <c r="D917" t="s">
        <v>39</v>
      </c>
      <c r="E917" s="4">
        <v>5.1449999999999996</v>
      </c>
      <c r="F917" s="4">
        <v>569450.83799999999</v>
      </c>
      <c r="G917" s="4">
        <v>569455.98300000001</v>
      </c>
      <c r="H917" s="5">
        <f>60 / 86400</f>
        <v>6.9444444444444447E-4</v>
      </c>
      <c r="I917" t="s">
        <v>169</v>
      </c>
      <c r="J917" t="s">
        <v>189</v>
      </c>
      <c r="K917" s="5">
        <f>716 / 86400</f>
        <v>8.2870370370370372E-3</v>
      </c>
      <c r="L917" s="5">
        <f>18192 / 86400</f>
        <v>0.21055555555555555</v>
      </c>
    </row>
    <row r="918" spans="1:1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</row>
    <row r="919" spans="1:1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</row>
    <row r="920" spans="1:12" s="10" customFormat="1" ht="20.100000000000001" customHeight="1" x14ac:dyDescent="0.35">
      <c r="A920" s="15" t="s">
        <v>497</v>
      </c>
      <c r="B920" s="15"/>
      <c r="C920" s="15"/>
      <c r="D920" s="15"/>
      <c r="E920" s="15"/>
      <c r="F920" s="15"/>
      <c r="G920" s="15"/>
      <c r="H920" s="15"/>
      <c r="I920" s="15"/>
      <c r="J920" s="15"/>
    </row>
    <row r="921" spans="1:1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</row>
    <row r="922" spans="1:12" ht="30" x14ac:dyDescent="0.25">
      <c r="A922" s="2" t="s">
        <v>6</v>
      </c>
      <c r="B922" s="2" t="s">
        <v>7</v>
      </c>
      <c r="C922" s="2" t="s">
        <v>8</v>
      </c>
      <c r="D922" s="2" t="s">
        <v>9</v>
      </c>
      <c r="E922" s="2" t="s">
        <v>10</v>
      </c>
      <c r="F922" s="2" t="s">
        <v>11</v>
      </c>
      <c r="G922" s="2" t="s">
        <v>12</v>
      </c>
      <c r="H922" s="2" t="s">
        <v>13</v>
      </c>
      <c r="I922" s="2" t="s">
        <v>14</v>
      </c>
      <c r="J922" s="2" t="s">
        <v>15</v>
      </c>
      <c r="K922" s="2" t="s">
        <v>16</v>
      </c>
      <c r="L922" s="2" t="s">
        <v>17</v>
      </c>
    </row>
    <row r="923" spans="1:12" x14ac:dyDescent="0.25">
      <c r="A923" s="3">
        <v>45708.242777777778</v>
      </c>
      <c r="B923" t="s">
        <v>82</v>
      </c>
      <c r="C923" s="3">
        <v>45708.244953703703</v>
      </c>
      <c r="D923" t="s">
        <v>82</v>
      </c>
      <c r="E923" s="4">
        <v>4.3999999999999997E-2</v>
      </c>
      <c r="F923" s="4">
        <v>436058.42</v>
      </c>
      <c r="G923" s="4">
        <v>436058.46399999998</v>
      </c>
      <c r="H923" s="5">
        <f>140 / 86400</f>
        <v>1.6203703703703703E-3</v>
      </c>
      <c r="I923" t="s">
        <v>32</v>
      </c>
      <c r="J923" t="s">
        <v>145</v>
      </c>
      <c r="K923" s="5">
        <f>188 / 86400</f>
        <v>2.1759259259259258E-3</v>
      </c>
      <c r="L923" s="5">
        <f>22709 / 86400</f>
        <v>0.26283564814814814</v>
      </c>
    </row>
    <row r="924" spans="1:12" x14ac:dyDescent="0.25">
      <c r="A924" s="3">
        <v>45708.265011574069</v>
      </c>
      <c r="B924" t="s">
        <v>424</v>
      </c>
      <c r="C924" s="3">
        <v>45708.265856481477</v>
      </c>
      <c r="D924" t="s">
        <v>82</v>
      </c>
      <c r="E924" s="4">
        <v>6.0000000000000001E-3</v>
      </c>
      <c r="F924" s="4">
        <v>436058.46399999998</v>
      </c>
      <c r="G924" s="4">
        <v>436058.47</v>
      </c>
      <c r="H924" s="5">
        <f>40 / 86400</f>
        <v>4.6296296296296298E-4</v>
      </c>
      <c r="I924" t="s">
        <v>135</v>
      </c>
      <c r="J924" t="s">
        <v>22</v>
      </c>
      <c r="K924" s="5">
        <f>73 / 86400</f>
        <v>8.4490740740740739E-4</v>
      </c>
      <c r="L924" s="5">
        <f>176 / 86400</f>
        <v>2.0370370370370369E-3</v>
      </c>
    </row>
    <row r="925" spans="1:12" x14ac:dyDescent="0.25">
      <c r="A925" s="3">
        <v>45708.267893518518</v>
      </c>
      <c r="B925" t="s">
        <v>82</v>
      </c>
      <c r="C925" s="3">
        <v>45708.273043981477</v>
      </c>
      <c r="D925" t="s">
        <v>424</v>
      </c>
      <c r="E925" s="4">
        <v>1.0860000000000001</v>
      </c>
      <c r="F925" s="4">
        <v>436058.47</v>
      </c>
      <c r="G925" s="4">
        <v>436059.55599999998</v>
      </c>
      <c r="H925" s="5">
        <f>219 / 86400</f>
        <v>2.5347222222222221E-3</v>
      </c>
      <c r="I925" t="s">
        <v>164</v>
      </c>
      <c r="J925" t="s">
        <v>137</v>
      </c>
      <c r="K925" s="5">
        <f>444 / 86400</f>
        <v>5.138888888888889E-3</v>
      </c>
      <c r="L925" s="5">
        <f>1463 / 86400</f>
        <v>1.6932870370370369E-2</v>
      </c>
    </row>
    <row r="926" spans="1:12" x14ac:dyDescent="0.25">
      <c r="A926" s="3">
        <v>45708.289976851855</v>
      </c>
      <c r="B926" t="s">
        <v>424</v>
      </c>
      <c r="C926" s="3">
        <v>45708.359895833331</v>
      </c>
      <c r="D926" t="s">
        <v>149</v>
      </c>
      <c r="E926" s="4">
        <v>36.747999999999998</v>
      </c>
      <c r="F926" s="4">
        <v>436059.55599999998</v>
      </c>
      <c r="G926" s="4">
        <v>436096.304</v>
      </c>
      <c r="H926" s="5">
        <f>1039 / 86400</f>
        <v>1.2025462962962963E-2</v>
      </c>
      <c r="I926" t="s">
        <v>179</v>
      </c>
      <c r="J926" t="s">
        <v>148</v>
      </c>
      <c r="K926" s="5">
        <f>6041 / 86400</f>
        <v>6.9918981481481485E-2</v>
      </c>
      <c r="L926" s="5">
        <f>9428 / 86400</f>
        <v>0.10912037037037037</v>
      </c>
    </row>
    <row r="927" spans="1:12" x14ac:dyDescent="0.25">
      <c r="A927" s="3">
        <v>45708.4690162037</v>
      </c>
      <c r="B927" t="s">
        <v>149</v>
      </c>
      <c r="C927" s="3">
        <v>45708.471666666665</v>
      </c>
      <c r="D927" t="s">
        <v>397</v>
      </c>
      <c r="E927" s="4">
        <v>0.64300000000000002</v>
      </c>
      <c r="F927" s="4">
        <v>436096.304</v>
      </c>
      <c r="G927" s="4">
        <v>436096.94699999999</v>
      </c>
      <c r="H927" s="5">
        <f>59 / 86400</f>
        <v>6.8287037037037036E-4</v>
      </c>
      <c r="I927" t="s">
        <v>157</v>
      </c>
      <c r="J927" t="s">
        <v>97</v>
      </c>
      <c r="K927" s="5">
        <f>228 / 86400</f>
        <v>2.638888888888889E-3</v>
      </c>
      <c r="L927" s="5">
        <f>1437 / 86400</f>
        <v>1.6631944444444446E-2</v>
      </c>
    </row>
    <row r="928" spans="1:12" x14ac:dyDescent="0.25">
      <c r="A928" s="3">
        <v>45708.488298611112</v>
      </c>
      <c r="B928" t="s">
        <v>397</v>
      </c>
      <c r="C928" s="3">
        <v>45708.501099537039</v>
      </c>
      <c r="D928" t="s">
        <v>425</v>
      </c>
      <c r="E928" s="4">
        <v>4.6689999999999996</v>
      </c>
      <c r="F928" s="4">
        <v>436096.94699999999</v>
      </c>
      <c r="G928" s="4">
        <v>436101.61599999998</v>
      </c>
      <c r="H928" s="5">
        <f>300 / 86400</f>
        <v>3.472222222222222E-3</v>
      </c>
      <c r="I928" t="s">
        <v>300</v>
      </c>
      <c r="J928" t="s">
        <v>44</v>
      </c>
      <c r="K928" s="5">
        <f>1105 / 86400</f>
        <v>1.2789351851851852E-2</v>
      </c>
      <c r="L928" s="5">
        <f>533 / 86400</f>
        <v>6.1689814814814819E-3</v>
      </c>
    </row>
    <row r="929" spans="1:12" x14ac:dyDescent="0.25">
      <c r="A929" s="3">
        <v>45708.507268518515</v>
      </c>
      <c r="B929" t="s">
        <v>425</v>
      </c>
      <c r="C929" s="3">
        <v>45708.509120370371</v>
      </c>
      <c r="D929" t="s">
        <v>425</v>
      </c>
      <c r="E929" s="4">
        <v>0.28999999999999998</v>
      </c>
      <c r="F929" s="4">
        <v>436101.61599999998</v>
      </c>
      <c r="G929" s="4">
        <v>436101.90600000002</v>
      </c>
      <c r="H929" s="5">
        <f>20 / 86400</f>
        <v>2.3148148148148149E-4</v>
      </c>
      <c r="I929" t="s">
        <v>29</v>
      </c>
      <c r="J929" t="s">
        <v>26</v>
      </c>
      <c r="K929" s="5">
        <f>160 / 86400</f>
        <v>1.8518518518518519E-3</v>
      </c>
      <c r="L929" s="5">
        <f>18 / 86400</f>
        <v>2.0833333333333335E-4</v>
      </c>
    </row>
    <row r="930" spans="1:12" x14ac:dyDescent="0.25">
      <c r="A930" s="3">
        <v>45708.509328703702</v>
      </c>
      <c r="B930" t="s">
        <v>425</v>
      </c>
      <c r="C930" s="3">
        <v>45708.509629629625</v>
      </c>
      <c r="D930" t="s">
        <v>425</v>
      </c>
      <c r="E930" s="4">
        <v>4.8000000000000001E-2</v>
      </c>
      <c r="F930" s="4">
        <v>436101.90600000002</v>
      </c>
      <c r="G930" s="4">
        <v>436101.95400000003</v>
      </c>
      <c r="H930" s="5">
        <f>19 / 86400</f>
        <v>2.199074074074074E-4</v>
      </c>
      <c r="I930" t="s">
        <v>22</v>
      </c>
      <c r="J930" t="s">
        <v>26</v>
      </c>
      <c r="K930" s="5">
        <f>26 / 86400</f>
        <v>3.0092592592592595E-4</v>
      </c>
      <c r="L930" s="5">
        <f>19 / 86400</f>
        <v>2.199074074074074E-4</v>
      </c>
    </row>
    <row r="931" spans="1:12" x14ac:dyDescent="0.25">
      <c r="A931" s="3">
        <v>45708.509849537033</v>
      </c>
      <c r="B931" t="s">
        <v>425</v>
      </c>
      <c r="C931" s="3">
        <v>45708.511215277773</v>
      </c>
      <c r="D931" t="s">
        <v>426</v>
      </c>
      <c r="E931" s="4">
        <v>0.31900000000000001</v>
      </c>
      <c r="F931" s="4">
        <v>436101.95400000003</v>
      </c>
      <c r="G931" s="4">
        <v>436102.27299999999</v>
      </c>
      <c r="H931" s="5">
        <f>0 / 86400</f>
        <v>0</v>
      </c>
      <c r="I931" t="s">
        <v>58</v>
      </c>
      <c r="J931" t="s">
        <v>97</v>
      </c>
      <c r="K931" s="5">
        <f>118 / 86400</f>
        <v>1.3657407407407407E-3</v>
      </c>
      <c r="L931" s="5">
        <f>1206 / 86400</f>
        <v>1.3958333333333333E-2</v>
      </c>
    </row>
    <row r="932" spans="1:12" x14ac:dyDescent="0.25">
      <c r="A932" s="3">
        <v>45708.525173611109</v>
      </c>
      <c r="B932" t="s">
        <v>426</v>
      </c>
      <c r="C932" s="3">
        <v>45708.527465277773</v>
      </c>
      <c r="D932" t="s">
        <v>427</v>
      </c>
      <c r="E932" s="4">
        <v>0.32</v>
      </c>
      <c r="F932" s="4">
        <v>436102.27299999999</v>
      </c>
      <c r="G932" s="4">
        <v>436102.59299999999</v>
      </c>
      <c r="H932" s="5">
        <f>60 / 86400</f>
        <v>6.9444444444444447E-4</v>
      </c>
      <c r="I932" t="s">
        <v>49</v>
      </c>
      <c r="J932" t="s">
        <v>32</v>
      </c>
      <c r="K932" s="5">
        <f>197 / 86400</f>
        <v>2.2800925925925927E-3</v>
      </c>
      <c r="L932" s="5">
        <f>2202 / 86400</f>
        <v>2.5486111111111112E-2</v>
      </c>
    </row>
    <row r="933" spans="1:12" x14ac:dyDescent="0.25">
      <c r="A933" s="3">
        <v>45708.552951388891</v>
      </c>
      <c r="B933" t="s">
        <v>427</v>
      </c>
      <c r="C933" s="3">
        <v>45708.554398148146</v>
      </c>
      <c r="D933" t="s">
        <v>425</v>
      </c>
      <c r="E933" s="4">
        <v>0.41399999999999998</v>
      </c>
      <c r="F933" s="4">
        <v>436102.59299999999</v>
      </c>
      <c r="G933" s="4">
        <v>436103.00699999998</v>
      </c>
      <c r="H933" s="5">
        <f>20 / 86400</f>
        <v>2.3148148148148149E-4</v>
      </c>
      <c r="I933" t="s">
        <v>178</v>
      </c>
      <c r="J933" t="s">
        <v>65</v>
      </c>
      <c r="K933" s="5">
        <f>124 / 86400</f>
        <v>1.4351851851851852E-3</v>
      </c>
      <c r="L933" s="5">
        <f>245 / 86400</f>
        <v>2.8356481481481483E-3</v>
      </c>
    </row>
    <row r="934" spans="1:12" x14ac:dyDescent="0.25">
      <c r="A934" s="3">
        <v>45708.557233796295</v>
      </c>
      <c r="B934" t="s">
        <v>425</v>
      </c>
      <c r="C934" s="3">
        <v>45708.797916666663</v>
      </c>
      <c r="D934" t="s">
        <v>152</v>
      </c>
      <c r="E934" s="4">
        <v>96.369</v>
      </c>
      <c r="F934" s="4">
        <v>436103.00699999998</v>
      </c>
      <c r="G934" s="4">
        <v>436199.37599999999</v>
      </c>
      <c r="H934" s="5">
        <f>6240 / 86400</f>
        <v>7.2222222222222215E-2</v>
      </c>
      <c r="I934" t="s">
        <v>64</v>
      </c>
      <c r="J934" t="s">
        <v>20</v>
      </c>
      <c r="K934" s="5">
        <f>20794 / 86400</f>
        <v>0.2406712962962963</v>
      </c>
      <c r="L934" s="5">
        <f>2918 / 86400</f>
        <v>3.3773148148148149E-2</v>
      </c>
    </row>
    <row r="935" spans="1:12" x14ac:dyDescent="0.25">
      <c r="A935" s="3">
        <v>45708.831689814819</v>
      </c>
      <c r="B935" t="s">
        <v>152</v>
      </c>
      <c r="C935" s="3">
        <v>45708.832557870366</v>
      </c>
      <c r="D935" t="s">
        <v>83</v>
      </c>
      <c r="E935" s="4">
        <v>0.214</v>
      </c>
      <c r="F935" s="4">
        <v>436199.37599999999</v>
      </c>
      <c r="G935" s="4">
        <v>436199.59</v>
      </c>
      <c r="H935" s="5">
        <f>0 / 86400</f>
        <v>0</v>
      </c>
      <c r="I935" t="s">
        <v>157</v>
      </c>
      <c r="J935" t="s">
        <v>97</v>
      </c>
      <c r="K935" s="5">
        <f>75 / 86400</f>
        <v>8.6805555555555551E-4</v>
      </c>
      <c r="L935" s="5">
        <f>226 / 86400</f>
        <v>2.6157407407407405E-3</v>
      </c>
    </row>
    <row r="936" spans="1:12" x14ac:dyDescent="0.25">
      <c r="A936" s="3">
        <v>45708.835173611107</v>
      </c>
      <c r="B936" t="s">
        <v>83</v>
      </c>
      <c r="C936" s="3">
        <v>45708.842523148152</v>
      </c>
      <c r="D936" t="s">
        <v>114</v>
      </c>
      <c r="E936" s="4">
        <v>0.22900000000000001</v>
      </c>
      <c r="F936" s="4">
        <v>436199.59</v>
      </c>
      <c r="G936" s="4">
        <v>436199.81900000002</v>
      </c>
      <c r="H936" s="5">
        <f>519 / 86400</f>
        <v>6.0069444444444441E-3</v>
      </c>
      <c r="I936" t="s">
        <v>65</v>
      </c>
      <c r="J936" t="s">
        <v>145</v>
      </c>
      <c r="K936" s="5">
        <f>635 / 86400</f>
        <v>7.3495370370370372E-3</v>
      </c>
      <c r="L936" s="5">
        <f>1387 / 86400</f>
        <v>1.6053240740740739E-2</v>
      </c>
    </row>
    <row r="937" spans="1:12" x14ac:dyDescent="0.25">
      <c r="A937" s="3">
        <v>45708.858576388884</v>
      </c>
      <c r="B937" t="s">
        <v>114</v>
      </c>
      <c r="C937" s="3">
        <v>45708.860578703709</v>
      </c>
      <c r="D937" t="s">
        <v>83</v>
      </c>
      <c r="E937" s="4">
        <v>0.28499999999999998</v>
      </c>
      <c r="F937" s="4">
        <v>436199.81900000002</v>
      </c>
      <c r="G937" s="4">
        <v>436200.10399999999</v>
      </c>
      <c r="H937" s="5">
        <f>40 / 86400</f>
        <v>4.6296296296296298E-4</v>
      </c>
      <c r="I937" t="s">
        <v>49</v>
      </c>
      <c r="J937" t="s">
        <v>32</v>
      </c>
      <c r="K937" s="5">
        <f>173 / 86400</f>
        <v>2.0023148148148148E-3</v>
      </c>
      <c r="L937" s="5">
        <f>12045 / 86400</f>
        <v>0.13940972222222223</v>
      </c>
    </row>
    <row r="938" spans="1:1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</row>
    <row r="940" spans="1:12" s="10" customFormat="1" ht="20.100000000000001" customHeight="1" x14ac:dyDescent="0.35">
      <c r="A940" s="15" t="s">
        <v>498</v>
      </c>
      <c r="B940" s="15"/>
      <c r="C940" s="15"/>
      <c r="D940" s="15"/>
      <c r="E940" s="15"/>
      <c r="F940" s="15"/>
      <c r="G940" s="15"/>
      <c r="H940" s="15"/>
      <c r="I940" s="15"/>
      <c r="J940" s="15"/>
    </row>
    <row r="941" spans="1:1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</row>
    <row r="942" spans="1:12" ht="30" x14ac:dyDescent="0.25">
      <c r="A942" s="2" t="s">
        <v>6</v>
      </c>
      <c r="B942" s="2" t="s">
        <v>7</v>
      </c>
      <c r="C942" s="2" t="s">
        <v>8</v>
      </c>
      <c r="D942" s="2" t="s">
        <v>9</v>
      </c>
      <c r="E942" s="2" t="s">
        <v>10</v>
      </c>
      <c r="F942" s="2" t="s">
        <v>11</v>
      </c>
      <c r="G942" s="2" t="s">
        <v>12</v>
      </c>
      <c r="H942" s="2" t="s">
        <v>13</v>
      </c>
      <c r="I942" s="2" t="s">
        <v>14</v>
      </c>
      <c r="J942" s="2" t="s">
        <v>15</v>
      </c>
      <c r="K942" s="2" t="s">
        <v>16</v>
      </c>
      <c r="L942" s="2" t="s">
        <v>17</v>
      </c>
    </row>
    <row r="943" spans="1:12" x14ac:dyDescent="0.25">
      <c r="A943" s="3">
        <v>45708.234594907408</v>
      </c>
      <c r="B943" t="s">
        <v>53</v>
      </c>
      <c r="C943" s="3">
        <v>45708.236087962963</v>
      </c>
      <c r="D943" t="s">
        <v>53</v>
      </c>
      <c r="E943" s="4">
        <v>0</v>
      </c>
      <c r="F943" s="4">
        <v>516847.67599999998</v>
      </c>
      <c r="G943" s="4">
        <v>516847.67599999998</v>
      </c>
      <c r="H943" s="5">
        <f>0 / 86400</f>
        <v>0</v>
      </c>
      <c r="I943" t="s">
        <v>55</v>
      </c>
      <c r="J943" t="s">
        <v>22</v>
      </c>
      <c r="K943" s="5">
        <f>129 / 86400</f>
        <v>1.4930555555555556E-3</v>
      </c>
      <c r="L943" s="5">
        <f>20781 / 86400</f>
        <v>0.24052083333333332</v>
      </c>
    </row>
    <row r="944" spans="1:12" x14ac:dyDescent="0.25">
      <c r="A944" s="3">
        <v>45708.242013888885</v>
      </c>
      <c r="B944" t="s">
        <v>277</v>
      </c>
      <c r="C944" s="3">
        <v>45708.243379629625</v>
      </c>
      <c r="D944" t="s">
        <v>277</v>
      </c>
      <c r="E944" s="4">
        <v>0.80900000000000005</v>
      </c>
      <c r="F944" s="4">
        <v>516847.68800000002</v>
      </c>
      <c r="G944" s="4">
        <v>516848.49699999997</v>
      </c>
      <c r="H944" s="5">
        <f>0 / 86400</f>
        <v>0</v>
      </c>
      <c r="I944" t="s">
        <v>300</v>
      </c>
      <c r="J944" t="s">
        <v>142</v>
      </c>
      <c r="K944" s="5">
        <f>118 / 86400</f>
        <v>1.3657407407407407E-3</v>
      </c>
      <c r="L944" s="5">
        <f>2 / 86400</f>
        <v>2.3148148148148147E-5</v>
      </c>
    </row>
    <row r="945" spans="1:12" x14ac:dyDescent="0.25">
      <c r="A945" s="3">
        <v>45708.243402777778</v>
      </c>
      <c r="B945" t="s">
        <v>277</v>
      </c>
      <c r="C945" s="3">
        <v>45708.243993055556</v>
      </c>
      <c r="D945" t="s">
        <v>277</v>
      </c>
      <c r="E945" s="4">
        <v>0.14199999999999999</v>
      </c>
      <c r="F945" s="4">
        <v>516848.49900000001</v>
      </c>
      <c r="G945" s="4">
        <v>516848.641</v>
      </c>
      <c r="H945" s="5">
        <f>0 / 86400</f>
        <v>0</v>
      </c>
      <c r="I945" t="s">
        <v>164</v>
      </c>
      <c r="J945" t="s">
        <v>97</v>
      </c>
      <c r="K945" s="5">
        <f>51 / 86400</f>
        <v>5.9027777777777778E-4</v>
      </c>
      <c r="L945" s="5">
        <f>10 / 86400</f>
        <v>1.1574074074074075E-4</v>
      </c>
    </row>
    <row r="946" spans="1:12" x14ac:dyDescent="0.25">
      <c r="A946" s="3">
        <v>45708.244108796294</v>
      </c>
      <c r="B946" t="s">
        <v>428</v>
      </c>
      <c r="C946" s="3">
        <v>45708.246354166666</v>
      </c>
      <c r="D946" t="s">
        <v>393</v>
      </c>
      <c r="E946" s="4">
        <v>0.23599999999999999</v>
      </c>
      <c r="F946" s="4">
        <v>516848.68400000001</v>
      </c>
      <c r="G946" s="4">
        <v>516848.92</v>
      </c>
      <c r="H946" s="5">
        <f>54 / 86400</f>
        <v>6.2500000000000001E-4</v>
      </c>
      <c r="I946" t="s">
        <v>140</v>
      </c>
      <c r="J946" t="s">
        <v>143</v>
      </c>
      <c r="K946" s="5">
        <f>194 / 86400</f>
        <v>2.2453703703703702E-3</v>
      </c>
      <c r="L946" s="5">
        <f>21 / 86400</f>
        <v>2.4305555555555555E-4</v>
      </c>
    </row>
    <row r="947" spans="1:12" x14ac:dyDescent="0.25">
      <c r="A947" s="3">
        <v>45708.246597222227</v>
      </c>
      <c r="B947" t="s">
        <v>393</v>
      </c>
      <c r="C947" s="3">
        <v>45708.247164351851</v>
      </c>
      <c r="D947" t="s">
        <v>285</v>
      </c>
      <c r="E947" s="4">
        <v>1.2E-2</v>
      </c>
      <c r="F947" s="4">
        <v>516848.935</v>
      </c>
      <c r="G947" s="4">
        <v>516848.94699999999</v>
      </c>
      <c r="H947" s="5">
        <f t="shared" ref="H947:H954" si="9">0 / 86400</f>
        <v>0</v>
      </c>
      <c r="I947" t="s">
        <v>97</v>
      </c>
      <c r="J947" t="s">
        <v>145</v>
      </c>
      <c r="K947" s="5">
        <f>49 / 86400</f>
        <v>5.6712962962962967E-4</v>
      </c>
      <c r="L947" s="5">
        <f>131 / 86400</f>
        <v>1.5162037037037036E-3</v>
      </c>
    </row>
    <row r="948" spans="1:12" x14ac:dyDescent="0.25">
      <c r="A948" s="3">
        <v>45708.248680555553</v>
      </c>
      <c r="B948" t="s">
        <v>286</v>
      </c>
      <c r="C948" s="3">
        <v>45708.249039351853</v>
      </c>
      <c r="D948" t="s">
        <v>429</v>
      </c>
      <c r="E948" s="4">
        <v>0.126</v>
      </c>
      <c r="F948" s="4">
        <v>516849.05599999998</v>
      </c>
      <c r="G948" s="4">
        <v>516849.18199999997</v>
      </c>
      <c r="H948" s="5">
        <f t="shared" si="9"/>
        <v>0</v>
      </c>
      <c r="I948" t="s">
        <v>160</v>
      </c>
      <c r="J948" t="s">
        <v>44</v>
      </c>
      <c r="K948" s="5">
        <f>31 / 86400</f>
        <v>3.5879629629629629E-4</v>
      </c>
      <c r="L948" s="5">
        <f>1 / 86400</f>
        <v>1.1574074074074073E-5</v>
      </c>
    </row>
    <row r="949" spans="1:12" x14ac:dyDescent="0.25">
      <c r="A949" s="3">
        <v>45708.249050925922</v>
      </c>
      <c r="B949" t="s">
        <v>430</v>
      </c>
      <c r="C949" s="3">
        <v>45708.249293981484</v>
      </c>
      <c r="D949" t="s">
        <v>431</v>
      </c>
      <c r="E949" s="4">
        <v>4.0000000000000001E-3</v>
      </c>
      <c r="F949" s="4">
        <v>516849.19199999998</v>
      </c>
      <c r="G949" s="4">
        <v>516849.196</v>
      </c>
      <c r="H949" s="5">
        <f t="shared" si="9"/>
        <v>0</v>
      </c>
      <c r="I949" t="s">
        <v>160</v>
      </c>
      <c r="J949" t="s">
        <v>145</v>
      </c>
      <c r="K949" s="5">
        <f>21 / 86400</f>
        <v>2.4305555555555555E-4</v>
      </c>
      <c r="L949" s="5">
        <f>56 / 86400</f>
        <v>6.4814814814814813E-4</v>
      </c>
    </row>
    <row r="950" spans="1:12" x14ac:dyDescent="0.25">
      <c r="A950" s="3">
        <v>45708.249942129631</v>
      </c>
      <c r="B950" t="s">
        <v>285</v>
      </c>
      <c r="C950" s="3">
        <v>45708.249976851846</v>
      </c>
      <c r="D950" t="s">
        <v>285</v>
      </c>
      <c r="E950" s="4">
        <v>1.0999999999999999E-2</v>
      </c>
      <c r="F950" s="4">
        <v>516849.23</v>
      </c>
      <c r="G950" s="4">
        <v>516849.24099999998</v>
      </c>
      <c r="H950" s="5">
        <f t="shared" si="9"/>
        <v>0</v>
      </c>
      <c r="I950" t="s">
        <v>38</v>
      </c>
      <c r="J950" t="s">
        <v>29</v>
      </c>
      <c r="K950" s="5">
        <f>3 / 86400</f>
        <v>3.4722222222222222E-5</v>
      </c>
      <c r="L950" s="5">
        <f>2 / 86400</f>
        <v>2.3148148148148147E-5</v>
      </c>
    </row>
    <row r="951" spans="1:12" x14ac:dyDescent="0.25">
      <c r="A951" s="3">
        <v>45708.25</v>
      </c>
      <c r="B951" t="s">
        <v>285</v>
      </c>
      <c r="C951" s="3">
        <v>45708.250509259262</v>
      </c>
      <c r="D951" t="s">
        <v>285</v>
      </c>
      <c r="E951" s="4">
        <v>0.126</v>
      </c>
      <c r="F951" s="4">
        <v>516849.24300000002</v>
      </c>
      <c r="G951" s="4">
        <v>516849.36900000001</v>
      </c>
      <c r="H951" s="5">
        <f t="shared" si="9"/>
        <v>0</v>
      </c>
      <c r="I951" t="s">
        <v>150</v>
      </c>
      <c r="J951" t="s">
        <v>97</v>
      </c>
      <c r="K951" s="5">
        <f>44 / 86400</f>
        <v>5.0925925925925921E-4</v>
      </c>
      <c r="L951" s="5">
        <f>4 / 86400</f>
        <v>4.6296296296296294E-5</v>
      </c>
    </row>
    <row r="952" spans="1:12" x14ac:dyDescent="0.25">
      <c r="A952" s="3">
        <v>45708.250555555554</v>
      </c>
      <c r="B952" t="s">
        <v>432</v>
      </c>
      <c r="C952" s="3">
        <v>45708.250601851847</v>
      </c>
      <c r="D952" t="s">
        <v>285</v>
      </c>
      <c r="E952" s="4">
        <v>2E-3</v>
      </c>
      <c r="F952" s="4">
        <v>516849.36900000001</v>
      </c>
      <c r="G952" s="4">
        <v>516849.37099999998</v>
      </c>
      <c r="H952" s="5">
        <f t="shared" si="9"/>
        <v>0</v>
      </c>
      <c r="I952" t="s">
        <v>65</v>
      </c>
      <c r="J952" t="s">
        <v>136</v>
      </c>
      <c r="K952" s="5">
        <f>4 / 86400</f>
        <v>4.6296296296296294E-5</v>
      </c>
      <c r="L952" s="5">
        <f>6 / 86400</f>
        <v>6.9444444444444444E-5</v>
      </c>
    </row>
    <row r="953" spans="1:12" x14ac:dyDescent="0.25">
      <c r="A953" s="3">
        <v>45708.250671296293</v>
      </c>
      <c r="B953" t="s">
        <v>285</v>
      </c>
      <c r="C953" s="3">
        <v>45708.251782407402</v>
      </c>
      <c r="D953" t="s">
        <v>433</v>
      </c>
      <c r="E953" s="4">
        <v>0.83499999999999996</v>
      </c>
      <c r="F953" s="4">
        <v>516849.37599999999</v>
      </c>
      <c r="G953" s="4">
        <v>516850.21100000001</v>
      </c>
      <c r="H953" s="5">
        <f t="shared" si="9"/>
        <v>0</v>
      </c>
      <c r="I953" t="s">
        <v>390</v>
      </c>
      <c r="J953" t="s">
        <v>134</v>
      </c>
      <c r="K953" s="5">
        <f>96 / 86400</f>
        <v>1.1111111111111111E-3</v>
      </c>
      <c r="L953" s="5">
        <f>30 / 86400</f>
        <v>3.4722222222222224E-4</v>
      </c>
    </row>
    <row r="954" spans="1:12" x14ac:dyDescent="0.25">
      <c r="A954" s="3">
        <v>45708.252129629633</v>
      </c>
      <c r="B954" t="s">
        <v>434</v>
      </c>
      <c r="C954" s="3">
        <v>45708.254212962958</v>
      </c>
      <c r="D954" t="s">
        <v>288</v>
      </c>
      <c r="E954" s="4">
        <v>2.6040000000000001</v>
      </c>
      <c r="F954" s="4">
        <v>516850.38900000002</v>
      </c>
      <c r="G954" s="4">
        <v>516852.99300000002</v>
      </c>
      <c r="H954" s="5">
        <f t="shared" si="9"/>
        <v>0</v>
      </c>
      <c r="I954" t="s">
        <v>40</v>
      </c>
      <c r="J954" t="s">
        <v>207</v>
      </c>
      <c r="K954" s="5">
        <f>180 / 86400</f>
        <v>2.0833333333333333E-3</v>
      </c>
      <c r="L954" s="5">
        <f>8 / 86400</f>
        <v>9.2592592592592588E-5</v>
      </c>
    </row>
    <row r="955" spans="1:12" x14ac:dyDescent="0.25">
      <c r="A955" s="3">
        <v>45708.254305555558</v>
      </c>
      <c r="B955" t="s">
        <v>435</v>
      </c>
      <c r="C955" s="3">
        <v>45708.263831018514</v>
      </c>
      <c r="D955" t="s">
        <v>188</v>
      </c>
      <c r="E955" s="4">
        <v>8.3740000000000006</v>
      </c>
      <c r="F955" s="4">
        <v>516853.00400000002</v>
      </c>
      <c r="G955" s="4">
        <v>516861.37800000003</v>
      </c>
      <c r="H955" s="5">
        <f>30 / 86400</f>
        <v>3.4722222222222224E-4</v>
      </c>
      <c r="I955" t="s">
        <v>113</v>
      </c>
      <c r="J955" t="s">
        <v>192</v>
      </c>
      <c r="K955" s="5">
        <f>823 / 86400</f>
        <v>9.525462962962963E-3</v>
      </c>
      <c r="L955" s="5">
        <f>11 / 86400</f>
        <v>1.273148148148148E-4</v>
      </c>
    </row>
    <row r="956" spans="1:12" x14ac:dyDescent="0.25">
      <c r="A956" s="3">
        <v>45708.263958333337</v>
      </c>
      <c r="B956" t="s">
        <v>186</v>
      </c>
      <c r="C956" s="3">
        <v>45708.264236111107</v>
      </c>
      <c r="D956" t="s">
        <v>186</v>
      </c>
      <c r="E956" s="4">
        <v>0.16500000000000001</v>
      </c>
      <c r="F956" s="4">
        <v>516861.38699999999</v>
      </c>
      <c r="G956" s="4">
        <v>516861.55200000003</v>
      </c>
      <c r="H956" s="5">
        <f>0 / 86400</f>
        <v>0</v>
      </c>
      <c r="I956" t="s">
        <v>54</v>
      </c>
      <c r="J956" t="s">
        <v>142</v>
      </c>
      <c r="K956" s="5">
        <f>24 / 86400</f>
        <v>2.7777777777777778E-4</v>
      </c>
      <c r="L956" s="5">
        <f>4 / 86400</f>
        <v>4.6296296296296294E-5</v>
      </c>
    </row>
    <row r="957" spans="1:12" x14ac:dyDescent="0.25">
      <c r="A957" s="3">
        <v>45708.264282407406</v>
      </c>
      <c r="B957" t="s">
        <v>186</v>
      </c>
      <c r="C957" s="3">
        <v>45708.264351851853</v>
      </c>
      <c r="D957" t="s">
        <v>186</v>
      </c>
      <c r="E957" s="4">
        <v>2.5000000000000001E-2</v>
      </c>
      <c r="F957" s="4">
        <v>516861.55699999997</v>
      </c>
      <c r="G957" s="4">
        <v>516861.58199999999</v>
      </c>
      <c r="H957" s="5">
        <f>0 / 86400</f>
        <v>0</v>
      </c>
      <c r="I957" t="s">
        <v>34</v>
      </c>
      <c r="J957" t="s">
        <v>44</v>
      </c>
      <c r="K957" s="5">
        <f>6 / 86400</f>
        <v>6.9444444444444444E-5</v>
      </c>
      <c r="L957" s="5">
        <f>3 / 86400</f>
        <v>3.4722222222222222E-5</v>
      </c>
    </row>
    <row r="958" spans="1:12" x14ac:dyDescent="0.25">
      <c r="A958" s="3">
        <v>45708.264386574076</v>
      </c>
      <c r="B958" t="s">
        <v>186</v>
      </c>
      <c r="C958" s="3">
        <v>45708.265069444446</v>
      </c>
      <c r="D958" t="s">
        <v>186</v>
      </c>
      <c r="E958" s="4">
        <v>0.129</v>
      </c>
      <c r="F958" s="4">
        <v>516861.58199999999</v>
      </c>
      <c r="G958" s="4">
        <v>516861.71100000001</v>
      </c>
      <c r="H958" s="5">
        <f>23 / 86400</f>
        <v>2.6620370370370372E-4</v>
      </c>
      <c r="I958" t="s">
        <v>25</v>
      </c>
      <c r="J958" t="s">
        <v>168</v>
      </c>
      <c r="K958" s="5">
        <f>59 / 86400</f>
        <v>6.8287037037037036E-4</v>
      </c>
      <c r="L958" s="5">
        <f>2 / 86400</f>
        <v>2.3148148148148147E-5</v>
      </c>
    </row>
    <row r="959" spans="1:12" x14ac:dyDescent="0.25">
      <c r="A959" s="3">
        <v>45708.265092592592</v>
      </c>
      <c r="B959" t="s">
        <v>186</v>
      </c>
      <c r="C959" s="3">
        <v>45708.265243055561</v>
      </c>
      <c r="D959" t="s">
        <v>186</v>
      </c>
      <c r="E959" s="4">
        <v>0.14099999999999999</v>
      </c>
      <c r="F959" s="4">
        <v>516861.723</v>
      </c>
      <c r="G959" s="4">
        <v>516861.864</v>
      </c>
      <c r="H959" s="5">
        <f>0 / 86400</f>
        <v>0</v>
      </c>
      <c r="I959" t="s">
        <v>25</v>
      </c>
      <c r="J959" t="s">
        <v>250</v>
      </c>
      <c r="K959" s="5">
        <f>13 / 86400</f>
        <v>1.5046296296296297E-4</v>
      </c>
      <c r="L959" s="5">
        <f>7 / 86400</f>
        <v>8.1018518518518516E-5</v>
      </c>
    </row>
    <row r="960" spans="1:12" x14ac:dyDescent="0.25">
      <c r="A960" s="3">
        <v>45708.265324074076</v>
      </c>
      <c r="B960" t="s">
        <v>436</v>
      </c>
      <c r="C960" s="3">
        <v>45708.265520833331</v>
      </c>
      <c r="D960" t="s">
        <v>186</v>
      </c>
      <c r="E960" s="4">
        <v>8.7999999999999995E-2</v>
      </c>
      <c r="F960" s="4">
        <v>516861.87099999998</v>
      </c>
      <c r="G960" s="4">
        <v>516861.95899999997</v>
      </c>
      <c r="H960" s="5">
        <f>0 / 86400</f>
        <v>0</v>
      </c>
      <c r="I960" t="s">
        <v>192</v>
      </c>
      <c r="J960" t="s">
        <v>68</v>
      </c>
      <c r="K960" s="5">
        <f>17 / 86400</f>
        <v>1.9675925925925926E-4</v>
      </c>
      <c r="L960" s="5">
        <f>2 / 86400</f>
        <v>2.3148148148148147E-5</v>
      </c>
    </row>
    <row r="961" spans="1:12" x14ac:dyDescent="0.25">
      <c r="A961" s="3">
        <v>45708.265543981484</v>
      </c>
      <c r="B961" t="s">
        <v>186</v>
      </c>
      <c r="C961" s="3">
        <v>45708.265879629631</v>
      </c>
      <c r="D961" t="s">
        <v>186</v>
      </c>
      <c r="E961" s="4">
        <v>0.21199999999999999</v>
      </c>
      <c r="F961" s="4">
        <v>516861.96899999998</v>
      </c>
      <c r="G961" s="4">
        <v>516862.18099999998</v>
      </c>
      <c r="H961" s="5">
        <f>0 / 86400</f>
        <v>0</v>
      </c>
      <c r="I961" t="s">
        <v>250</v>
      </c>
      <c r="J961" t="s">
        <v>189</v>
      </c>
      <c r="K961" s="5">
        <f>29 / 86400</f>
        <v>3.3564814814814812E-4</v>
      </c>
      <c r="L961" s="5">
        <f>2 / 86400</f>
        <v>2.3148148148148147E-5</v>
      </c>
    </row>
    <row r="962" spans="1:12" x14ac:dyDescent="0.25">
      <c r="A962" s="3">
        <v>45708.265902777777</v>
      </c>
      <c r="B962" t="s">
        <v>186</v>
      </c>
      <c r="C962" s="3">
        <v>45708.266145833331</v>
      </c>
      <c r="D962" t="s">
        <v>437</v>
      </c>
      <c r="E962" s="4">
        <v>0.14099999999999999</v>
      </c>
      <c r="F962" s="4">
        <v>516862.18099999998</v>
      </c>
      <c r="G962" s="4">
        <v>516862.32199999999</v>
      </c>
      <c r="H962" s="5">
        <f>0 / 86400</f>
        <v>0</v>
      </c>
      <c r="I962" t="s">
        <v>294</v>
      </c>
      <c r="J962" t="s">
        <v>157</v>
      </c>
      <c r="K962" s="5">
        <f>21 / 86400</f>
        <v>2.4305555555555555E-4</v>
      </c>
      <c r="L962" s="5">
        <f>2 / 86400</f>
        <v>2.3148148148148147E-5</v>
      </c>
    </row>
    <row r="963" spans="1:12" x14ac:dyDescent="0.25">
      <c r="A963" s="3">
        <v>45708.266168981485</v>
      </c>
      <c r="B963" t="s">
        <v>186</v>
      </c>
      <c r="C963" s="3">
        <v>45708.279166666667</v>
      </c>
      <c r="D963" t="s">
        <v>98</v>
      </c>
      <c r="E963" s="4">
        <v>8.6340000000000003</v>
      </c>
      <c r="F963" s="4">
        <v>516862.35</v>
      </c>
      <c r="G963" s="4">
        <v>516870.984</v>
      </c>
      <c r="H963" s="5">
        <f>300 / 86400</f>
        <v>3.472222222222222E-3</v>
      </c>
      <c r="I963" t="s">
        <v>411</v>
      </c>
      <c r="J963" t="s">
        <v>162</v>
      </c>
      <c r="K963" s="5">
        <f>1123 / 86400</f>
        <v>1.2997685185185185E-2</v>
      </c>
      <c r="L963" s="5">
        <f>1 / 86400</f>
        <v>1.1574074074074073E-5</v>
      </c>
    </row>
    <row r="964" spans="1:12" x14ac:dyDescent="0.25">
      <c r="A964" s="3">
        <v>45708.279178240744</v>
      </c>
      <c r="B964" t="s">
        <v>98</v>
      </c>
      <c r="C964" s="3">
        <v>45708.281296296293</v>
      </c>
      <c r="D964" t="s">
        <v>167</v>
      </c>
      <c r="E964" s="4">
        <v>1.0269999999999999</v>
      </c>
      <c r="F964" s="4">
        <v>516870.995</v>
      </c>
      <c r="G964" s="4">
        <v>516872.022</v>
      </c>
      <c r="H964" s="5">
        <f>0 / 86400</f>
        <v>0</v>
      </c>
      <c r="I964" t="s">
        <v>25</v>
      </c>
      <c r="J964" t="s">
        <v>131</v>
      </c>
      <c r="K964" s="5">
        <f>183 / 86400</f>
        <v>2.1180555555555558E-3</v>
      </c>
      <c r="L964" s="5">
        <f>1 / 86400</f>
        <v>1.1574074074074073E-5</v>
      </c>
    </row>
    <row r="965" spans="1:12" x14ac:dyDescent="0.25">
      <c r="A965" s="3">
        <v>45708.281307870369</v>
      </c>
      <c r="B965" t="s">
        <v>167</v>
      </c>
      <c r="C965" s="3">
        <v>45708.292314814811</v>
      </c>
      <c r="D965" t="s">
        <v>295</v>
      </c>
      <c r="E965" s="4">
        <v>3.4460000000000002</v>
      </c>
      <c r="F965" s="4">
        <v>516872.02899999998</v>
      </c>
      <c r="G965" s="4">
        <v>516875.47499999998</v>
      </c>
      <c r="H965" s="5">
        <f>390 / 86400</f>
        <v>4.5138888888888885E-3</v>
      </c>
      <c r="I965" t="s">
        <v>130</v>
      </c>
      <c r="J965" t="s">
        <v>29</v>
      </c>
      <c r="K965" s="5">
        <f>951 / 86400</f>
        <v>1.1006944444444444E-2</v>
      </c>
      <c r="L965" s="5">
        <f>0 / 86400</f>
        <v>0</v>
      </c>
    </row>
    <row r="966" spans="1:12" x14ac:dyDescent="0.25">
      <c r="A966" s="3">
        <v>45708.292314814811</v>
      </c>
      <c r="B966" t="s">
        <v>295</v>
      </c>
      <c r="C966" s="3">
        <v>45708.292662037042</v>
      </c>
      <c r="D966" t="s">
        <v>296</v>
      </c>
      <c r="E966" s="4">
        <v>0.129</v>
      </c>
      <c r="F966" s="4">
        <v>516875.48</v>
      </c>
      <c r="G966" s="4">
        <v>516875.609</v>
      </c>
      <c r="H966" s="5">
        <f>0 / 86400</f>
        <v>0</v>
      </c>
      <c r="I966" t="s">
        <v>20</v>
      </c>
      <c r="J966" t="s">
        <v>49</v>
      </c>
      <c r="K966" s="5">
        <f>29 / 86400</f>
        <v>3.3564814814814812E-4</v>
      </c>
      <c r="L966" s="5">
        <f>30 / 86400</f>
        <v>3.4722222222222224E-4</v>
      </c>
    </row>
    <row r="967" spans="1:12" x14ac:dyDescent="0.25">
      <c r="A967" s="3">
        <v>45708.293009259258</v>
      </c>
      <c r="B967" t="s">
        <v>167</v>
      </c>
      <c r="C967" s="3">
        <v>45708.45248842593</v>
      </c>
      <c r="D967" t="s">
        <v>285</v>
      </c>
      <c r="E967" s="4">
        <v>59.792000000000002</v>
      </c>
      <c r="F967" s="4">
        <v>516875.745</v>
      </c>
      <c r="G967" s="4">
        <v>516935.53700000001</v>
      </c>
      <c r="H967" s="5">
        <f>4512 / 86400</f>
        <v>5.2222222222222225E-2</v>
      </c>
      <c r="I967" t="s">
        <v>172</v>
      </c>
      <c r="J967" t="s">
        <v>49</v>
      </c>
      <c r="K967" s="5">
        <f>13779 / 86400</f>
        <v>0.15947916666666667</v>
      </c>
      <c r="L967" s="5">
        <f>30 / 86400</f>
        <v>3.4722222222222224E-4</v>
      </c>
    </row>
    <row r="968" spans="1:12" x14ac:dyDescent="0.25">
      <c r="A968" s="3">
        <v>45708.452835648146</v>
      </c>
      <c r="B968" t="s">
        <v>285</v>
      </c>
      <c r="C968" s="3">
        <v>45708.467650462961</v>
      </c>
      <c r="D968" t="s">
        <v>397</v>
      </c>
      <c r="E968" s="4">
        <v>6.3460000000000001</v>
      </c>
      <c r="F968" s="4">
        <v>516935.70699999999</v>
      </c>
      <c r="G968" s="4">
        <v>516942.05300000001</v>
      </c>
      <c r="H968" s="5">
        <f>180 / 86400</f>
        <v>2.0833333333333333E-3</v>
      </c>
      <c r="I968" t="s">
        <v>300</v>
      </c>
      <c r="J968" t="s">
        <v>34</v>
      </c>
      <c r="K968" s="5">
        <f>1280 / 86400</f>
        <v>1.4814814814814815E-2</v>
      </c>
      <c r="L968" s="5">
        <f>2056 / 86400</f>
        <v>2.3796296296296298E-2</v>
      </c>
    </row>
    <row r="969" spans="1:12" x14ac:dyDescent="0.25">
      <c r="A969" s="3">
        <v>45708.491446759261</v>
      </c>
      <c r="B969" t="s">
        <v>397</v>
      </c>
      <c r="C969" s="3">
        <v>45708.493530092594</v>
      </c>
      <c r="D969" t="s">
        <v>438</v>
      </c>
      <c r="E969" s="4">
        <v>0.42899999999999999</v>
      </c>
      <c r="F969" s="4">
        <v>516942.05300000001</v>
      </c>
      <c r="G969" s="4">
        <v>516942.48200000002</v>
      </c>
      <c r="H969" s="5">
        <f>0 / 86400</f>
        <v>0</v>
      </c>
      <c r="I969" t="s">
        <v>86</v>
      </c>
      <c r="J969" t="s">
        <v>137</v>
      </c>
      <c r="K969" s="5">
        <f>180 / 86400</f>
        <v>2.0833333333333333E-3</v>
      </c>
      <c r="L969" s="5">
        <f>10 / 86400</f>
        <v>1.1574074074074075E-4</v>
      </c>
    </row>
    <row r="970" spans="1:12" x14ac:dyDescent="0.25">
      <c r="A970" s="3">
        <v>45708.493645833332</v>
      </c>
      <c r="B970" t="s">
        <v>439</v>
      </c>
      <c r="C970" s="3">
        <v>45708.496111111112</v>
      </c>
      <c r="D970" t="s">
        <v>149</v>
      </c>
      <c r="E970" s="4">
        <v>0.22500000000000001</v>
      </c>
      <c r="F970" s="4">
        <v>516942.52100000001</v>
      </c>
      <c r="G970" s="4">
        <v>516942.74599999998</v>
      </c>
      <c r="H970" s="5">
        <f>90 / 86400</f>
        <v>1.0416666666666667E-3</v>
      </c>
      <c r="I970" t="s">
        <v>65</v>
      </c>
      <c r="J970" t="s">
        <v>143</v>
      </c>
      <c r="K970" s="5">
        <f>213 / 86400</f>
        <v>2.4652777777777776E-3</v>
      </c>
      <c r="L970" s="5">
        <f>2237 / 86400</f>
        <v>2.5891203703703704E-2</v>
      </c>
    </row>
    <row r="971" spans="1:12" x14ac:dyDescent="0.25">
      <c r="A971" s="3">
        <v>45708.522002314814</v>
      </c>
      <c r="B971" t="s">
        <v>149</v>
      </c>
      <c r="C971" s="3">
        <v>45708.543472222227</v>
      </c>
      <c r="D971" t="s">
        <v>285</v>
      </c>
      <c r="E971" s="4">
        <v>6.4539999999999997</v>
      </c>
      <c r="F971" s="4">
        <v>516942.74599999998</v>
      </c>
      <c r="G971" s="4">
        <v>516949.2</v>
      </c>
      <c r="H971" s="5">
        <f>540 / 86400</f>
        <v>6.2500000000000003E-3</v>
      </c>
      <c r="I971" t="s">
        <v>201</v>
      </c>
      <c r="J971" t="s">
        <v>29</v>
      </c>
      <c r="K971" s="5">
        <f>1855 / 86400</f>
        <v>2.1469907407407406E-2</v>
      </c>
      <c r="L971" s="5">
        <f>30 / 86400</f>
        <v>3.4722222222222224E-4</v>
      </c>
    </row>
    <row r="972" spans="1:12" x14ac:dyDescent="0.25">
      <c r="A972" s="3">
        <v>45708.543819444443</v>
      </c>
      <c r="B972" t="s">
        <v>429</v>
      </c>
      <c r="C972" s="3">
        <v>45708.551863425921</v>
      </c>
      <c r="D972" t="s">
        <v>182</v>
      </c>
      <c r="E972" s="4">
        <v>6.016</v>
      </c>
      <c r="F972" s="4">
        <v>516949.32900000003</v>
      </c>
      <c r="G972" s="4">
        <v>516955.34499999997</v>
      </c>
      <c r="H972" s="5">
        <f>0 / 86400</f>
        <v>0</v>
      </c>
      <c r="I972" t="s">
        <v>172</v>
      </c>
      <c r="J972" t="s">
        <v>134</v>
      </c>
      <c r="K972" s="5">
        <f>695 / 86400</f>
        <v>8.0439814814814818E-3</v>
      </c>
      <c r="L972" s="5">
        <f>30 / 86400</f>
        <v>3.4722222222222224E-4</v>
      </c>
    </row>
    <row r="973" spans="1:12" x14ac:dyDescent="0.25">
      <c r="A973" s="3">
        <v>45708.552210648151</v>
      </c>
      <c r="B973" t="s">
        <v>440</v>
      </c>
      <c r="C973" s="3">
        <v>45708.562037037038</v>
      </c>
      <c r="D973" t="s">
        <v>87</v>
      </c>
      <c r="E973" s="4">
        <v>7.2210000000000001</v>
      </c>
      <c r="F973" s="4">
        <v>516955.71399999998</v>
      </c>
      <c r="G973" s="4">
        <v>516962.935</v>
      </c>
      <c r="H973" s="5">
        <f>180 / 86400</f>
        <v>2.0833333333333333E-3</v>
      </c>
      <c r="I973" t="s">
        <v>147</v>
      </c>
      <c r="J973" t="s">
        <v>134</v>
      </c>
      <c r="K973" s="5">
        <f>849 / 86400</f>
        <v>9.8263888888888897E-3</v>
      </c>
      <c r="L973" s="5">
        <f>5 / 86400</f>
        <v>5.7870370370370373E-5</v>
      </c>
    </row>
    <row r="974" spans="1:12" x14ac:dyDescent="0.25">
      <c r="A974" s="3">
        <v>45708.562094907407</v>
      </c>
      <c r="B974" t="s">
        <v>87</v>
      </c>
      <c r="C974" s="3">
        <v>45708.569537037038</v>
      </c>
      <c r="D974" t="s">
        <v>191</v>
      </c>
      <c r="E974" s="4">
        <v>1.901</v>
      </c>
      <c r="F974" s="4">
        <v>516962.935</v>
      </c>
      <c r="G974" s="4">
        <v>516964.83600000001</v>
      </c>
      <c r="H974" s="5">
        <f>360 / 86400</f>
        <v>4.1666666666666666E-3</v>
      </c>
      <c r="I974" t="s">
        <v>40</v>
      </c>
      <c r="J974" t="s">
        <v>86</v>
      </c>
      <c r="K974" s="5">
        <f>643 / 86400</f>
        <v>7.4421296296296293E-3</v>
      </c>
      <c r="L974" s="5">
        <f>3 / 86400</f>
        <v>3.4722222222222222E-5</v>
      </c>
    </row>
    <row r="975" spans="1:12" x14ac:dyDescent="0.25">
      <c r="A975" s="3">
        <v>45708.569571759261</v>
      </c>
      <c r="B975" t="s">
        <v>186</v>
      </c>
      <c r="C975" s="3">
        <v>45708.59175925926</v>
      </c>
      <c r="D975" t="s">
        <v>262</v>
      </c>
      <c r="E975" s="4">
        <v>11.986000000000001</v>
      </c>
      <c r="F975" s="4">
        <v>516964.87400000001</v>
      </c>
      <c r="G975" s="4">
        <v>516976.86</v>
      </c>
      <c r="H975" s="5">
        <f>450 / 86400</f>
        <v>5.208333333333333E-3</v>
      </c>
      <c r="I975" t="s">
        <v>61</v>
      </c>
      <c r="J975" t="s">
        <v>144</v>
      </c>
      <c r="K975" s="5">
        <f>1917 / 86400</f>
        <v>2.2187499999999999E-2</v>
      </c>
      <c r="L975" s="5">
        <f>3 / 86400</f>
        <v>3.4722222222222222E-5</v>
      </c>
    </row>
    <row r="976" spans="1:12" x14ac:dyDescent="0.25">
      <c r="A976" s="3">
        <v>45708.591793981483</v>
      </c>
      <c r="B976" t="s">
        <v>262</v>
      </c>
      <c r="C976" s="3">
        <v>45708.592534722222</v>
      </c>
      <c r="D976" t="s">
        <v>167</v>
      </c>
      <c r="E976" s="4">
        <v>8.5000000000000006E-2</v>
      </c>
      <c r="F976" s="4">
        <v>516976.86800000002</v>
      </c>
      <c r="G976" s="4">
        <v>516976.95299999998</v>
      </c>
      <c r="H976" s="5">
        <f>30 / 86400</f>
        <v>3.4722222222222224E-4</v>
      </c>
      <c r="I976" t="s">
        <v>65</v>
      </c>
      <c r="J976" t="s">
        <v>55</v>
      </c>
      <c r="K976" s="5">
        <f>64 / 86400</f>
        <v>7.407407407407407E-4</v>
      </c>
      <c r="L976" s="5">
        <f>3 / 86400</f>
        <v>3.4722222222222222E-5</v>
      </c>
    </row>
    <row r="977" spans="1:12" x14ac:dyDescent="0.25">
      <c r="A977" s="3">
        <v>45708.592569444445</v>
      </c>
      <c r="B977" t="s">
        <v>295</v>
      </c>
      <c r="C977" s="3">
        <v>45708.594687500001</v>
      </c>
      <c r="D977" t="s">
        <v>167</v>
      </c>
      <c r="E977" s="4">
        <v>1.002</v>
      </c>
      <c r="F977" s="4">
        <v>516976.96</v>
      </c>
      <c r="G977" s="4">
        <v>516977.962</v>
      </c>
      <c r="H977" s="5">
        <f>60 / 86400</f>
        <v>6.9444444444444447E-4</v>
      </c>
      <c r="I977" t="s">
        <v>207</v>
      </c>
      <c r="J977" t="s">
        <v>131</v>
      </c>
      <c r="K977" s="5">
        <f>183 / 86400</f>
        <v>2.1180555555555558E-3</v>
      </c>
      <c r="L977" s="5">
        <f>30 / 86400</f>
        <v>3.4722222222222224E-4</v>
      </c>
    </row>
    <row r="978" spans="1:12" x14ac:dyDescent="0.25">
      <c r="A978" s="3">
        <v>45708.595034722224</v>
      </c>
      <c r="B978" t="s">
        <v>167</v>
      </c>
      <c r="C978" s="3">
        <v>45708.699814814812</v>
      </c>
      <c r="D978" t="s">
        <v>259</v>
      </c>
      <c r="E978" s="4">
        <v>28.437000000000001</v>
      </c>
      <c r="F978" s="4">
        <v>516978.42800000001</v>
      </c>
      <c r="G978" s="4">
        <v>517006.86499999999</v>
      </c>
      <c r="H978" s="5">
        <f>3660 / 86400</f>
        <v>4.2361111111111113E-2</v>
      </c>
      <c r="I978" t="s">
        <v>290</v>
      </c>
      <c r="J978" t="s">
        <v>86</v>
      </c>
      <c r="K978" s="5">
        <f>9053 / 86400</f>
        <v>0.10478009259259259</v>
      </c>
      <c r="L978" s="5">
        <f>8 / 86400</f>
        <v>9.2592592592592588E-5</v>
      </c>
    </row>
    <row r="979" spans="1:12" x14ac:dyDescent="0.25">
      <c r="A979" s="3">
        <v>45708.699907407412</v>
      </c>
      <c r="B979" t="s">
        <v>259</v>
      </c>
      <c r="C979" s="3">
        <v>45708.783125000002</v>
      </c>
      <c r="D979" t="s">
        <v>83</v>
      </c>
      <c r="E979" s="4">
        <v>37.158000000000001</v>
      </c>
      <c r="F979" s="4">
        <v>517006.87099999998</v>
      </c>
      <c r="G979" s="4">
        <v>517044.02899999998</v>
      </c>
      <c r="H979" s="5">
        <f>1608 / 86400</f>
        <v>1.861111111111111E-2</v>
      </c>
      <c r="I979" t="s">
        <v>177</v>
      </c>
      <c r="J979" t="s">
        <v>68</v>
      </c>
      <c r="K979" s="5">
        <f>7190 / 86400</f>
        <v>8.3217592592592593E-2</v>
      </c>
      <c r="L979" s="5">
        <f>1157 / 86400</f>
        <v>1.3391203703703704E-2</v>
      </c>
    </row>
    <row r="980" spans="1:12" x14ac:dyDescent="0.25">
      <c r="A980" s="3">
        <v>45708.7965162037</v>
      </c>
      <c r="B980" t="s">
        <v>83</v>
      </c>
      <c r="C980" s="3">
        <v>45708.797337962962</v>
      </c>
      <c r="D980" t="s">
        <v>152</v>
      </c>
      <c r="E980" s="4">
        <v>2.7E-2</v>
      </c>
      <c r="F980" s="4">
        <v>517044.02899999998</v>
      </c>
      <c r="G980" s="4">
        <v>517044.05599999998</v>
      </c>
      <c r="H980" s="5">
        <f>30 / 86400</f>
        <v>3.4722222222222224E-4</v>
      </c>
      <c r="I980" t="s">
        <v>32</v>
      </c>
      <c r="J980" t="s">
        <v>145</v>
      </c>
      <c r="K980" s="5">
        <f>71 / 86400</f>
        <v>8.2175925925925927E-4</v>
      </c>
      <c r="L980" s="5">
        <f>18 / 86400</f>
        <v>2.0833333333333335E-4</v>
      </c>
    </row>
    <row r="981" spans="1:12" x14ac:dyDescent="0.25">
      <c r="A981" s="3">
        <v>45708.797546296293</v>
      </c>
      <c r="B981" t="s">
        <v>152</v>
      </c>
      <c r="C981" s="3">
        <v>45708.801516203705</v>
      </c>
      <c r="D981" t="s">
        <v>53</v>
      </c>
      <c r="E981" s="4">
        <v>0.80400000000000005</v>
      </c>
      <c r="F981" s="4">
        <v>517044.13400000002</v>
      </c>
      <c r="G981" s="4">
        <v>517044.93800000002</v>
      </c>
      <c r="H981" s="5">
        <f>90 / 86400</f>
        <v>1.0416666666666667E-3</v>
      </c>
      <c r="I981" t="s">
        <v>54</v>
      </c>
      <c r="J981" t="s">
        <v>168</v>
      </c>
      <c r="K981" s="5">
        <f>343 / 86400</f>
        <v>3.9699074074074072E-3</v>
      </c>
      <c r="L981" s="5">
        <f>17148 / 86400</f>
        <v>0.19847222222222222</v>
      </c>
    </row>
    <row r="982" spans="1:1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</row>
    <row r="983" spans="1:1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</row>
    <row r="984" spans="1:12" s="10" customFormat="1" ht="20.100000000000001" customHeight="1" x14ac:dyDescent="0.35">
      <c r="A984" s="15" t="s">
        <v>499</v>
      </c>
      <c r="B984" s="15"/>
      <c r="C984" s="15"/>
      <c r="D984" s="15"/>
      <c r="E984" s="15"/>
      <c r="F984" s="15"/>
      <c r="G984" s="15"/>
      <c r="H984" s="15"/>
      <c r="I984" s="15"/>
      <c r="J984" s="15"/>
    </row>
    <row r="985" spans="1:1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</row>
    <row r="986" spans="1:12" ht="30" x14ac:dyDescent="0.25">
      <c r="A986" s="2" t="s">
        <v>6</v>
      </c>
      <c r="B986" s="2" t="s">
        <v>7</v>
      </c>
      <c r="C986" s="2" t="s">
        <v>8</v>
      </c>
      <c r="D986" s="2" t="s">
        <v>9</v>
      </c>
      <c r="E986" s="2" t="s">
        <v>10</v>
      </c>
      <c r="F986" s="2" t="s">
        <v>11</v>
      </c>
      <c r="G986" s="2" t="s">
        <v>12</v>
      </c>
      <c r="H986" s="2" t="s">
        <v>13</v>
      </c>
      <c r="I986" s="2" t="s">
        <v>14</v>
      </c>
      <c r="J986" s="2" t="s">
        <v>15</v>
      </c>
      <c r="K986" s="2" t="s">
        <v>16</v>
      </c>
      <c r="L986" s="2" t="s">
        <v>17</v>
      </c>
    </row>
    <row r="987" spans="1:12" x14ac:dyDescent="0.25">
      <c r="A987" s="3">
        <v>45708.224328703705</v>
      </c>
      <c r="B987" t="s">
        <v>84</v>
      </c>
      <c r="C987" s="3">
        <v>45708.266527777778</v>
      </c>
      <c r="D987" t="s">
        <v>85</v>
      </c>
      <c r="E987" s="4">
        <v>0.495</v>
      </c>
      <c r="F987" s="4">
        <v>506476.08899999998</v>
      </c>
      <c r="G987" s="4">
        <v>506476.58399999997</v>
      </c>
      <c r="H987" s="5">
        <f>3220 / 86400</f>
        <v>3.726851851851852E-2</v>
      </c>
      <c r="I987" t="s">
        <v>86</v>
      </c>
      <c r="J987" t="s">
        <v>22</v>
      </c>
      <c r="K987" s="5">
        <f>3646 / 86400</f>
        <v>4.2199074074074076E-2</v>
      </c>
      <c r="L987" s="5">
        <f>82753 / 86400</f>
        <v>0.95778935185185188</v>
      </c>
    </row>
    <row r="988" spans="1:1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s="10" customFormat="1" ht="20.100000000000001" customHeight="1" x14ac:dyDescent="0.35">
      <c r="A990" s="15" t="s">
        <v>500</v>
      </c>
      <c r="B990" s="15"/>
      <c r="C990" s="15"/>
      <c r="D990" s="15"/>
      <c r="E990" s="15"/>
      <c r="F990" s="15"/>
      <c r="G990" s="15"/>
      <c r="H990" s="15"/>
      <c r="I990" s="15"/>
      <c r="J990" s="15"/>
    </row>
    <row r="991" spans="1:1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</row>
    <row r="992" spans="1:12" ht="30" x14ac:dyDescent="0.25">
      <c r="A992" s="2" t="s">
        <v>6</v>
      </c>
      <c r="B992" s="2" t="s">
        <v>7</v>
      </c>
      <c r="C992" s="2" t="s">
        <v>8</v>
      </c>
      <c r="D992" s="2" t="s">
        <v>9</v>
      </c>
      <c r="E992" s="2" t="s">
        <v>10</v>
      </c>
      <c r="F992" s="2" t="s">
        <v>11</v>
      </c>
      <c r="G992" s="2" t="s">
        <v>12</v>
      </c>
      <c r="H992" s="2" t="s">
        <v>13</v>
      </c>
      <c r="I992" s="2" t="s">
        <v>14</v>
      </c>
      <c r="J992" s="2" t="s">
        <v>15</v>
      </c>
      <c r="K992" s="2" t="s">
        <v>16</v>
      </c>
      <c r="L992" s="2" t="s">
        <v>17</v>
      </c>
    </row>
    <row r="993" spans="1:12" x14ac:dyDescent="0.25">
      <c r="A993" s="3">
        <v>45708</v>
      </c>
      <c r="B993" t="s">
        <v>87</v>
      </c>
      <c r="C993" s="3">
        <v>45708.023935185185</v>
      </c>
      <c r="D993" t="s">
        <v>441</v>
      </c>
      <c r="E993" s="4">
        <v>11.715999999999999</v>
      </c>
      <c r="F993" s="4">
        <v>352901.96899999998</v>
      </c>
      <c r="G993" s="4">
        <v>352913.685</v>
      </c>
      <c r="H993" s="5">
        <f>940 / 86400</f>
        <v>1.087962962962963E-2</v>
      </c>
      <c r="I993" t="s">
        <v>40</v>
      </c>
      <c r="J993" t="s">
        <v>131</v>
      </c>
      <c r="K993" s="5">
        <f>2068 / 86400</f>
        <v>2.3935185185185184E-2</v>
      </c>
      <c r="L993" s="5">
        <f>23044 / 86400</f>
        <v>0.26671296296296299</v>
      </c>
    </row>
    <row r="994" spans="1:12" x14ac:dyDescent="0.25">
      <c r="A994" s="3">
        <v>45708.290648148148</v>
      </c>
      <c r="B994" t="s">
        <v>441</v>
      </c>
      <c r="C994" s="3">
        <v>45708.294074074074</v>
      </c>
      <c r="D994" t="s">
        <v>441</v>
      </c>
      <c r="E994" s="4">
        <v>4.9000000000000002E-2</v>
      </c>
      <c r="F994" s="4">
        <v>352913.685</v>
      </c>
      <c r="G994" s="4">
        <v>352913.734</v>
      </c>
      <c r="H994" s="5">
        <f>280 / 86400</f>
        <v>3.2407407407407406E-3</v>
      </c>
      <c r="I994" t="s">
        <v>32</v>
      </c>
      <c r="J994" t="s">
        <v>145</v>
      </c>
      <c r="K994" s="5">
        <f>296 / 86400</f>
        <v>3.425925925925926E-3</v>
      </c>
      <c r="L994" s="5">
        <f>44 / 86400</f>
        <v>5.0925925925925921E-4</v>
      </c>
    </row>
    <row r="995" spans="1:12" x14ac:dyDescent="0.25">
      <c r="A995" s="3">
        <v>45708.294583333336</v>
      </c>
      <c r="B995" t="s">
        <v>441</v>
      </c>
      <c r="C995" s="3">
        <v>45708.304594907408</v>
      </c>
      <c r="D995" t="s">
        <v>397</v>
      </c>
      <c r="E995" s="4">
        <v>5.0730000000000004</v>
      </c>
      <c r="F995" s="4">
        <v>352913.734</v>
      </c>
      <c r="G995" s="4">
        <v>352918.80699999997</v>
      </c>
      <c r="H995" s="5">
        <f>60 / 86400</f>
        <v>6.9444444444444447E-4</v>
      </c>
      <c r="I995" t="s">
        <v>250</v>
      </c>
      <c r="J995" t="s">
        <v>38</v>
      </c>
      <c r="K995" s="5">
        <f>865 / 86400</f>
        <v>1.0011574074074074E-2</v>
      </c>
      <c r="L995" s="5">
        <f>1118 / 86400</f>
        <v>1.2939814814814815E-2</v>
      </c>
    </row>
    <row r="996" spans="1:12" x14ac:dyDescent="0.25">
      <c r="A996" s="3">
        <v>45708.31753472222</v>
      </c>
      <c r="B996" t="s">
        <v>397</v>
      </c>
      <c r="C996" s="3">
        <v>45708.31895833333</v>
      </c>
      <c r="D996" t="s">
        <v>442</v>
      </c>
      <c r="E996" s="4">
        <v>0.19</v>
      </c>
      <c r="F996" s="4">
        <v>352918.80699999997</v>
      </c>
      <c r="G996" s="4">
        <v>352918.99699999997</v>
      </c>
      <c r="H996" s="5">
        <f>20 / 86400</f>
        <v>2.3148148148148149E-4</v>
      </c>
      <c r="I996" t="s">
        <v>86</v>
      </c>
      <c r="J996" t="s">
        <v>32</v>
      </c>
      <c r="K996" s="5">
        <f>123 / 86400</f>
        <v>1.4236111111111112E-3</v>
      </c>
      <c r="L996" s="5">
        <f>1239 / 86400</f>
        <v>1.4340277777777778E-2</v>
      </c>
    </row>
    <row r="997" spans="1:12" x14ac:dyDescent="0.25">
      <c r="A997" s="3">
        <v>45708.333298611113</v>
      </c>
      <c r="B997" t="s">
        <v>442</v>
      </c>
      <c r="C997" s="3">
        <v>45708.335972222223</v>
      </c>
      <c r="D997" t="s">
        <v>149</v>
      </c>
      <c r="E997" s="4">
        <v>0.60299999999999998</v>
      </c>
      <c r="F997" s="4">
        <v>352918.99699999997</v>
      </c>
      <c r="G997" s="4">
        <v>352919.6</v>
      </c>
      <c r="H997" s="5">
        <f>40 / 86400</f>
        <v>4.6296296296296298E-4</v>
      </c>
      <c r="I997" t="s">
        <v>58</v>
      </c>
      <c r="J997" t="s">
        <v>137</v>
      </c>
      <c r="K997" s="5">
        <f>231 / 86400</f>
        <v>2.673611111111111E-3</v>
      </c>
      <c r="L997" s="5">
        <f>26 / 86400</f>
        <v>3.0092592592592595E-4</v>
      </c>
    </row>
    <row r="998" spans="1:12" x14ac:dyDescent="0.25">
      <c r="A998" s="3">
        <v>45708.336273148147</v>
      </c>
      <c r="B998" t="s">
        <v>149</v>
      </c>
      <c r="C998" s="3">
        <v>45708.338553240741</v>
      </c>
      <c r="D998" t="s">
        <v>149</v>
      </c>
      <c r="E998" s="4">
        <v>0</v>
      </c>
      <c r="F998" s="4">
        <v>352919.6</v>
      </c>
      <c r="G998" s="4">
        <v>352919.6</v>
      </c>
      <c r="H998" s="5">
        <f>180 / 86400</f>
        <v>2.0833333333333333E-3</v>
      </c>
      <c r="I998" t="s">
        <v>22</v>
      </c>
      <c r="J998" t="s">
        <v>22</v>
      </c>
      <c r="K998" s="5">
        <f>197 / 86400</f>
        <v>2.2800925925925927E-3</v>
      </c>
      <c r="L998" s="5">
        <f>299 / 86400</f>
        <v>3.460648148148148E-3</v>
      </c>
    </row>
    <row r="999" spans="1:12" x14ac:dyDescent="0.25">
      <c r="A999" s="3">
        <v>45708.342013888891</v>
      </c>
      <c r="B999" t="s">
        <v>149</v>
      </c>
      <c r="C999" s="3">
        <v>45708.342777777776</v>
      </c>
      <c r="D999" t="s">
        <v>149</v>
      </c>
      <c r="E999" s="4">
        <v>0</v>
      </c>
      <c r="F999" s="4">
        <v>352919.6</v>
      </c>
      <c r="G999" s="4">
        <v>352919.6</v>
      </c>
      <c r="H999" s="5">
        <f>59 / 86400</f>
        <v>6.8287037037037036E-4</v>
      </c>
      <c r="I999" t="s">
        <v>22</v>
      </c>
      <c r="J999" t="s">
        <v>22</v>
      </c>
      <c r="K999" s="5">
        <f>65 / 86400</f>
        <v>7.5231481481481482E-4</v>
      </c>
      <c r="L999" s="5">
        <f>48 / 86400</f>
        <v>5.5555555555555556E-4</v>
      </c>
    </row>
    <row r="1000" spans="1:12" x14ac:dyDescent="0.25">
      <c r="A1000" s="3">
        <v>45708.343333333338</v>
      </c>
      <c r="B1000" t="s">
        <v>149</v>
      </c>
      <c r="C1000" s="3">
        <v>45708.343611111108</v>
      </c>
      <c r="D1000" t="s">
        <v>149</v>
      </c>
      <c r="E1000" s="4">
        <v>0</v>
      </c>
      <c r="F1000" s="4">
        <v>352919.6</v>
      </c>
      <c r="G1000" s="4">
        <v>352919.6</v>
      </c>
      <c r="H1000" s="5">
        <f>19 / 86400</f>
        <v>2.199074074074074E-4</v>
      </c>
      <c r="I1000" t="s">
        <v>22</v>
      </c>
      <c r="J1000" t="s">
        <v>22</v>
      </c>
      <c r="K1000" s="5">
        <f>24 / 86400</f>
        <v>2.7777777777777778E-4</v>
      </c>
      <c r="L1000" s="5">
        <f>247 / 86400</f>
        <v>2.8587962962962963E-3</v>
      </c>
    </row>
    <row r="1001" spans="1:12" x14ac:dyDescent="0.25">
      <c r="A1001" s="3">
        <v>45708.34646990741</v>
      </c>
      <c r="B1001" t="s">
        <v>149</v>
      </c>
      <c r="C1001" s="3">
        <v>45708.347118055557</v>
      </c>
      <c r="D1001" t="s">
        <v>149</v>
      </c>
      <c r="E1001" s="4">
        <v>3.7999999999999999E-2</v>
      </c>
      <c r="F1001" s="4">
        <v>352919.6</v>
      </c>
      <c r="G1001" s="4">
        <v>352919.63799999998</v>
      </c>
      <c r="H1001" s="5">
        <f>39 / 86400</f>
        <v>4.5138888888888887E-4</v>
      </c>
      <c r="I1001" t="s">
        <v>55</v>
      </c>
      <c r="J1001" t="s">
        <v>136</v>
      </c>
      <c r="K1001" s="5">
        <f>55 / 86400</f>
        <v>6.3657407407407413E-4</v>
      </c>
      <c r="L1001" s="5">
        <f>299 / 86400</f>
        <v>3.460648148148148E-3</v>
      </c>
    </row>
    <row r="1002" spans="1:12" x14ac:dyDescent="0.25">
      <c r="A1002" s="3">
        <v>45708.350578703699</v>
      </c>
      <c r="B1002" t="s">
        <v>149</v>
      </c>
      <c r="C1002" s="3">
        <v>45708.488229166665</v>
      </c>
      <c r="D1002" t="s">
        <v>21</v>
      </c>
      <c r="E1002" s="4">
        <v>50.651000000000003</v>
      </c>
      <c r="F1002" s="4">
        <v>352919.63799999998</v>
      </c>
      <c r="G1002" s="4">
        <v>352970.28899999999</v>
      </c>
      <c r="H1002" s="5">
        <f>4239 / 86400</f>
        <v>4.9062500000000002E-2</v>
      </c>
      <c r="I1002" t="s">
        <v>28</v>
      </c>
      <c r="J1002" t="s">
        <v>44</v>
      </c>
      <c r="K1002" s="5">
        <f>11893 / 86400</f>
        <v>0.13765046296296296</v>
      </c>
      <c r="L1002" s="5">
        <f>129 / 86400</f>
        <v>1.4930555555555556E-3</v>
      </c>
    </row>
    <row r="1003" spans="1:12" x14ac:dyDescent="0.25">
      <c r="A1003" s="3">
        <v>45708.489722222221</v>
      </c>
      <c r="B1003" t="s">
        <v>21</v>
      </c>
      <c r="C1003" s="3">
        <v>45708.494016203702</v>
      </c>
      <c r="D1003" t="s">
        <v>224</v>
      </c>
      <c r="E1003" s="4">
        <v>0.109</v>
      </c>
      <c r="F1003" s="4">
        <v>352970.28899999999</v>
      </c>
      <c r="G1003" s="4">
        <v>352970.39799999999</v>
      </c>
      <c r="H1003" s="5">
        <f>320 / 86400</f>
        <v>3.7037037037037038E-3</v>
      </c>
      <c r="I1003" t="s">
        <v>65</v>
      </c>
      <c r="J1003" t="s">
        <v>145</v>
      </c>
      <c r="K1003" s="5">
        <f>371 / 86400</f>
        <v>4.2939814814814811E-3</v>
      </c>
      <c r="L1003" s="5">
        <f>33 / 86400</f>
        <v>3.8194444444444446E-4</v>
      </c>
    </row>
    <row r="1004" spans="1:12" x14ac:dyDescent="0.25">
      <c r="A1004" s="3">
        <v>45708.494398148148</v>
      </c>
      <c r="B1004" t="s">
        <v>224</v>
      </c>
      <c r="C1004" s="3">
        <v>45708.630868055552</v>
      </c>
      <c r="D1004" t="s">
        <v>416</v>
      </c>
      <c r="E1004" s="4">
        <v>49.854999999999997</v>
      </c>
      <c r="F1004" s="4">
        <v>352970.39799999999</v>
      </c>
      <c r="G1004" s="4">
        <v>353020.25300000003</v>
      </c>
      <c r="H1004" s="5">
        <f>4079 / 86400</f>
        <v>4.7210648148148147E-2</v>
      </c>
      <c r="I1004" t="s">
        <v>287</v>
      </c>
      <c r="J1004" t="s">
        <v>44</v>
      </c>
      <c r="K1004" s="5">
        <f>11790 / 86400</f>
        <v>0.13645833333333332</v>
      </c>
      <c r="L1004" s="5">
        <f>104 / 86400</f>
        <v>1.2037037037037038E-3</v>
      </c>
    </row>
    <row r="1005" spans="1:12" x14ac:dyDescent="0.25">
      <c r="A1005" s="3">
        <v>45708.632071759261</v>
      </c>
      <c r="B1005" t="s">
        <v>416</v>
      </c>
      <c r="C1005" s="3">
        <v>45708.63217592593</v>
      </c>
      <c r="D1005" t="s">
        <v>416</v>
      </c>
      <c r="E1005" s="4">
        <v>0</v>
      </c>
      <c r="F1005" s="4">
        <v>353020.25300000003</v>
      </c>
      <c r="G1005" s="4">
        <v>353020.25300000003</v>
      </c>
      <c r="H1005" s="5">
        <f>0 / 86400</f>
        <v>0</v>
      </c>
      <c r="I1005" t="s">
        <v>22</v>
      </c>
      <c r="J1005" t="s">
        <v>22</v>
      </c>
      <c r="K1005" s="5">
        <f>9 / 86400</f>
        <v>1.0416666666666667E-4</v>
      </c>
      <c r="L1005" s="5">
        <f>286 / 86400</f>
        <v>3.3101851851851851E-3</v>
      </c>
    </row>
    <row r="1006" spans="1:12" x14ac:dyDescent="0.25">
      <c r="A1006" s="3">
        <v>45708.63548611111</v>
      </c>
      <c r="B1006" t="s">
        <v>416</v>
      </c>
      <c r="C1006" s="3">
        <v>45708.63726851852</v>
      </c>
      <c r="D1006" t="s">
        <v>83</v>
      </c>
      <c r="E1006" s="4">
        <v>0.73099999999999998</v>
      </c>
      <c r="F1006" s="4">
        <v>353020.25300000003</v>
      </c>
      <c r="G1006" s="4">
        <v>353020.984</v>
      </c>
      <c r="H1006" s="5">
        <f>0 / 86400</f>
        <v>0</v>
      </c>
      <c r="I1006" t="s">
        <v>134</v>
      </c>
      <c r="J1006" t="s">
        <v>20</v>
      </c>
      <c r="K1006" s="5">
        <f>154 / 86400</f>
        <v>1.7824074074074075E-3</v>
      </c>
      <c r="L1006" s="5">
        <f>370 / 86400</f>
        <v>4.2824074074074075E-3</v>
      </c>
    </row>
    <row r="1007" spans="1:12" x14ac:dyDescent="0.25">
      <c r="A1007" s="3">
        <v>45708.641550925924</v>
      </c>
      <c r="B1007" t="s">
        <v>83</v>
      </c>
      <c r="C1007" s="3">
        <v>45708.646493055552</v>
      </c>
      <c r="D1007" t="s">
        <v>105</v>
      </c>
      <c r="E1007" s="4">
        <v>0.61699999999999999</v>
      </c>
      <c r="F1007" s="4">
        <v>353020.984</v>
      </c>
      <c r="G1007" s="4">
        <v>353021.60100000002</v>
      </c>
      <c r="H1007" s="5">
        <f>220 / 86400</f>
        <v>2.5462962962962965E-3</v>
      </c>
      <c r="I1007" t="s">
        <v>38</v>
      </c>
      <c r="J1007" t="s">
        <v>55</v>
      </c>
      <c r="K1007" s="5">
        <f>426 / 86400</f>
        <v>4.9305555555555552E-3</v>
      </c>
      <c r="L1007" s="5">
        <f>858 / 86400</f>
        <v>9.9305555555555553E-3</v>
      </c>
    </row>
    <row r="1008" spans="1:12" x14ac:dyDescent="0.25">
      <c r="A1008" s="3">
        <v>45708.656423611115</v>
      </c>
      <c r="B1008" t="s">
        <v>105</v>
      </c>
      <c r="C1008" s="3">
        <v>45708.662280092598</v>
      </c>
      <c r="D1008" t="s">
        <v>395</v>
      </c>
      <c r="E1008" s="4">
        <v>1.377</v>
      </c>
      <c r="F1008" s="4">
        <v>353021.60100000002</v>
      </c>
      <c r="G1008" s="4">
        <v>353022.978</v>
      </c>
      <c r="H1008" s="5">
        <f>179 / 86400</f>
        <v>2.0717592592592593E-3</v>
      </c>
      <c r="I1008" t="s">
        <v>54</v>
      </c>
      <c r="J1008" t="s">
        <v>97</v>
      </c>
      <c r="K1008" s="5">
        <f>505 / 86400</f>
        <v>5.8449074074074072E-3</v>
      </c>
      <c r="L1008" s="5">
        <f>3 / 86400</f>
        <v>3.4722222222222222E-5</v>
      </c>
    </row>
    <row r="1009" spans="1:12" x14ac:dyDescent="0.25">
      <c r="A1009" s="3">
        <v>45708.662314814814</v>
      </c>
      <c r="B1009" t="s">
        <v>395</v>
      </c>
      <c r="C1009" s="3">
        <v>45708.66479166667</v>
      </c>
      <c r="D1009" t="s">
        <v>395</v>
      </c>
      <c r="E1009" s="4">
        <v>1.2999999999999999E-2</v>
      </c>
      <c r="F1009" s="4">
        <v>353022.978</v>
      </c>
      <c r="G1009" s="4">
        <v>353022.99099999998</v>
      </c>
      <c r="H1009" s="5">
        <f>192 / 86400</f>
        <v>2.2222222222222222E-3</v>
      </c>
      <c r="I1009" t="s">
        <v>143</v>
      </c>
      <c r="J1009" t="s">
        <v>22</v>
      </c>
      <c r="K1009" s="5">
        <f>214 / 86400</f>
        <v>2.476851851851852E-3</v>
      </c>
      <c r="L1009" s="5">
        <f>4 / 86400</f>
        <v>4.6296296296296294E-5</v>
      </c>
    </row>
    <row r="1010" spans="1:12" x14ac:dyDescent="0.25">
      <c r="A1010" s="3">
        <v>45708.664837962962</v>
      </c>
      <c r="B1010" t="s">
        <v>395</v>
      </c>
      <c r="C1010" s="3">
        <v>45708.66851851852</v>
      </c>
      <c r="D1010" t="s">
        <v>395</v>
      </c>
      <c r="E1010" s="4">
        <v>4.0000000000000001E-3</v>
      </c>
      <c r="F1010" s="4">
        <v>353022.99099999998</v>
      </c>
      <c r="G1010" s="4">
        <v>353022.995</v>
      </c>
      <c r="H1010" s="5">
        <f>294 / 86400</f>
        <v>3.4027777777777776E-3</v>
      </c>
      <c r="I1010" t="s">
        <v>145</v>
      </c>
      <c r="J1010" t="s">
        <v>22</v>
      </c>
      <c r="K1010" s="5">
        <f>318 / 86400</f>
        <v>3.6805555555555554E-3</v>
      </c>
      <c r="L1010" s="5">
        <f>63 / 86400</f>
        <v>7.291666666666667E-4</v>
      </c>
    </row>
    <row r="1011" spans="1:12" x14ac:dyDescent="0.25">
      <c r="A1011" s="3">
        <v>45708.669247685189</v>
      </c>
      <c r="B1011" t="s">
        <v>395</v>
      </c>
      <c r="C1011" s="3">
        <v>45708.669409722221</v>
      </c>
      <c r="D1011" t="s">
        <v>395</v>
      </c>
      <c r="E1011" s="4">
        <v>2E-3</v>
      </c>
      <c r="F1011" s="4">
        <v>353022.995</v>
      </c>
      <c r="G1011" s="4">
        <v>353022.99699999997</v>
      </c>
      <c r="H1011" s="5">
        <f>0 / 86400</f>
        <v>0</v>
      </c>
      <c r="I1011" t="s">
        <v>22</v>
      </c>
      <c r="J1011" t="s">
        <v>145</v>
      </c>
      <c r="K1011" s="5">
        <f>13 / 86400</f>
        <v>1.5046296296296297E-4</v>
      </c>
      <c r="L1011" s="5">
        <f>261 / 86400</f>
        <v>3.0208333333333333E-3</v>
      </c>
    </row>
    <row r="1012" spans="1:12" x14ac:dyDescent="0.25">
      <c r="A1012" s="3">
        <v>45708.672430555554</v>
      </c>
      <c r="B1012" t="s">
        <v>395</v>
      </c>
      <c r="C1012" s="3">
        <v>45708.808749999997</v>
      </c>
      <c r="D1012" t="s">
        <v>21</v>
      </c>
      <c r="E1012" s="4">
        <v>50.216999999999999</v>
      </c>
      <c r="F1012" s="4">
        <v>353022.99699999997</v>
      </c>
      <c r="G1012" s="4">
        <v>353073.21399999998</v>
      </c>
      <c r="H1012" s="5">
        <f>4779 / 86400</f>
        <v>5.5312500000000001E-2</v>
      </c>
      <c r="I1012" t="s">
        <v>61</v>
      </c>
      <c r="J1012" t="s">
        <v>44</v>
      </c>
      <c r="K1012" s="5">
        <f>11777 / 86400</f>
        <v>0.13630787037037037</v>
      </c>
      <c r="L1012" s="5">
        <f>121 / 86400</f>
        <v>1.4004629629629629E-3</v>
      </c>
    </row>
    <row r="1013" spans="1:12" x14ac:dyDescent="0.25">
      <c r="A1013" s="3">
        <v>45708.810150462959</v>
      </c>
      <c r="B1013" t="s">
        <v>21</v>
      </c>
      <c r="C1013" s="3">
        <v>45708.952997685185</v>
      </c>
      <c r="D1013" t="s">
        <v>88</v>
      </c>
      <c r="E1013" s="4">
        <v>55.814</v>
      </c>
      <c r="F1013" s="4">
        <v>353073.21399999998</v>
      </c>
      <c r="G1013" s="4">
        <v>353129.02799999999</v>
      </c>
      <c r="H1013" s="5">
        <f>4658 / 86400</f>
        <v>5.3912037037037036E-2</v>
      </c>
      <c r="I1013" t="s">
        <v>120</v>
      </c>
      <c r="J1013" t="s">
        <v>49</v>
      </c>
      <c r="K1013" s="5">
        <f>12342 / 86400</f>
        <v>0.14284722222222221</v>
      </c>
      <c r="L1013" s="5">
        <f>4060 / 86400</f>
        <v>4.6990740740740743E-2</v>
      </c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s="10" customFormat="1" ht="20.100000000000001" customHeight="1" x14ac:dyDescent="0.35">
      <c r="A1016" s="15" t="s">
        <v>501</v>
      </c>
      <c r="B1016" s="15"/>
      <c r="C1016" s="15"/>
      <c r="D1016" s="15"/>
      <c r="E1016" s="15"/>
      <c r="F1016" s="15"/>
      <c r="G1016" s="15"/>
      <c r="H1016" s="15"/>
      <c r="I1016" s="15"/>
      <c r="J1016" s="15"/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2" ht="30" x14ac:dyDescent="0.25">
      <c r="A1018" s="2" t="s">
        <v>6</v>
      </c>
      <c r="B1018" s="2" t="s">
        <v>7</v>
      </c>
      <c r="C1018" s="2" t="s">
        <v>8</v>
      </c>
      <c r="D1018" s="2" t="s">
        <v>9</v>
      </c>
      <c r="E1018" s="2" t="s">
        <v>10</v>
      </c>
      <c r="F1018" s="2" t="s">
        <v>11</v>
      </c>
      <c r="G1018" s="2" t="s">
        <v>12</v>
      </c>
      <c r="H1018" s="2" t="s">
        <v>13</v>
      </c>
      <c r="I1018" s="2" t="s">
        <v>14</v>
      </c>
      <c r="J1018" s="2" t="s">
        <v>15</v>
      </c>
      <c r="K1018" s="2" t="s">
        <v>16</v>
      </c>
      <c r="L1018" s="2" t="s">
        <v>17</v>
      </c>
    </row>
    <row r="1019" spans="1:12" x14ac:dyDescent="0.25">
      <c r="A1019" s="3">
        <v>45708.213749999995</v>
      </c>
      <c r="B1019" t="s">
        <v>89</v>
      </c>
      <c r="C1019" s="3">
        <v>45708.213993055557</v>
      </c>
      <c r="D1019" t="s">
        <v>89</v>
      </c>
      <c r="E1019" s="4">
        <v>0</v>
      </c>
      <c r="F1019" s="4">
        <v>411873.24699999997</v>
      </c>
      <c r="G1019" s="4">
        <v>411873.24699999997</v>
      </c>
      <c r="H1019" s="5">
        <f>19 / 86400</f>
        <v>2.199074074074074E-4</v>
      </c>
      <c r="I1019" t="s">
        <v>22</v>
      </c>
      <c r="J1019" t="s">
        <v>22</v>
      </c>
      <c r="K1019" s="5">
        <f>21 / 86400</f>
        <v>2.4305555555555555E-4</v>
      </c>
      <c r="L1019" s="5">
        <f>18510 / 86400</f>
        <v>0.2142361111111111</v>
      </c>
    </row>
    <row r="1020" spans="1:12" x14ac:dyDescent="0.25">
      <c r="A1020" s="3">
        <v>45708.214479166665</v>
      </c>
      <c r="B1020" t="s">
        <v>89</v>
      </c>
      <c r="C1020" s="3">
        <v>45708.229259259257</v>
      </c>
      <c r="D1020" t="s">
        <v>413</v>
      </c>
      <c r="E1020" s="4">
        <v>9.7360000000000007</v>
      </c>
      <c r="F1020" s="4">
        <v>411873.24699999997</v>
      </c>
      <c r="G1020" s="4">
        <v>411882.98300000001</v>
      </c>
      <c r="H1020" s="5">
        <f>259 / 86400</f>
        <v>2.9976851851851853E-3</v>
      </c>
      <c r="I1020" t="s">
        <v>290</v>
      </c>
      <c r="J1020" t="s">
        <v>150</v>
      </c>
      <c r="K1020" s="5">
        <f>1277 / 86400</f>
        <v>1.4780092592592593E-2</v>
      </c>
      <c r="L1020" s="5">
        <f>1086 / 86400</f>
        <v>1.2569444444444444E-2</v>
      </c>
    </row>
    <row r="1021" spans="1:12" x14ac:dyDescent="0.25">
      <c r="A1021" s="3">
        <v>45708.2418287037</v>
      </c>
      <c r="B1021" t="s">
        <v>182</v>
      </c>
      <c r="C1021" s="3">
        <v>45708.466168981482</v>
      </c>
      <c r="D1021" t="s">
        <v>83</v>
      </c>
      <c r="E1021" s="4">
        <v>86.015000000000001</v>
      </c>
      <c r="F1021" s="4">
        <v>411882.98300000001</v>
      </c>
      <c r="G1021" s="4">
        <v>411968.99800000002</v>
      </c>
      <c r="H1021" s="5">
        <f>6913 / 86400</f>
        <v>8.0011574074074068E-2</v>
      </c>
      <c r="I1021" t="s">
        <v>46</v>
      </c>
      <c r="J1021" t="s">
        <v>49</v>
      </c>
      <c r="K1021" s="5">
        <f>19383 / 86400</f>
        <v>0.22434027777777779</v>
      </c>
      <c r="L1021" s="5">
        <f>1309 / 86400</f>
        <v>1.5150462962962963E-2</v>
      </c>
    </row>
    <row r="1022" spans="1:12" x14ac:dyDescent="0.25">
      <c r="A1022" s="3">
        <v>45708.481319444443</v>
      </c>
      <c r="B1022" t="s">
        <v>83</v>
      </c>
      <c r="C1022" s="3">
        <v>45708.484270833331</v>
      </c>
      <c r="D1022" t="s">
        <v>397</v>
      </c>
      <c r="E1022" s="4">
        <v>0.56699999999999995</v>
      </c>
      <c r="F1022" s="4">
        <v>411968.99800000002</v>
      </c>
      <c r="G1022" s="4">
        <v>411969.565</v>
      </c>
      <c r="H1022" s="5">
        <f>119 / 86400</f>
        <v>1.3773148148148147E-3</v>
      </c>
      <c r="I1022" t="s">
        <v>150</v>
      </c>
      <c r="J1022" t="s">
        <v>168</v>
      </c>
      <c r="K1022" s="5">
        <f>255 / 86400</f>
        <v>2.9513888888888888E-3</v>
      </c>
      <c r="L1022" s="5">
        <f>1890 / 86400</f>
        <v>2.1874999999999999E-2</v>
      </c>
    </row>
    <row r="1023" spans="1:12" x14ac:dyDescent="0.25">
      <c r="A1023" s="3">
        <v>45708.506145833337</v>
      </c>
      <c r="B1023" t="s">
        <v>397</v>
      </c>
      <c r="C1023" s="3">
        <v>45708.50917824074</v>
      </c>
      <c r="D1023" t="s">
        <v>149</v>
      </c>
      <c r="E1023" s="4">
        <v>0.68500000000000005</v>
      </c>
      <c r="F1023" s="4">
        <v>411969.565</v>
      </c>
      <c r="G1023" s="4">
        <v>411970.25</v>
      </c>
      <c r="H1023" s="5">
        <f>80 / 86400</f>
        <v>9.2592592592592596E-4</v>
      </c>
      <c r="I1023" t="s">
        <v>148</v>
      </c>
      <c r="J1023" t="s">
        <v>137</v>
      </c>
      <c r="K1023" s="5">
        <f>262 / 86400</f>
        <v>3.0324074074074073E-3</v>
      </c>
      <c r="L1023" s="5">
        <f>1655 / 86400</f>
        <v>1.9155092592592592E-2</v>
      </c>
    </row>
    <row r="1024" spans="1:12" x14ac:dyDescent="0.25">
      <c r="A1024" s="3">
        <v>45708.528333333335</v>
      </c>
      <c r="B1024" t="s">
        <v>149</v>
      </c>
      <c r="C1024" s="3">
        <v>45708.792395833334</v>
      </c>
      <c r="D1024" t="s">
        <v>89</v>
      </c>
      <c r="E1024" s="4">
        <v>113.941</v>
      </c>
      <c r="F1024" s="4">
        <v>411970.25</v>
      </c>
      <c r="G1024" s="4">
        <v>412084.19099999999</v>
      </c>
      <c r="H1024" s="5">
        <f>6981 / 86400</f>
        <v>8.0798611111111113E-2</v>
      </c>
      <c r="I1024" t="s">
        <v>120</v>
      </c>
      <c r="J1024" t="s">
        <v>34</v>
      </c>
      <c r="K1024" s="5">
        <f>22815 / 86400</f>
        <v>0.26406249999999998</v>
      </c>
      <c r="L1024" s="5">
        <f>17936 / 86400</f>
        <v>0.20759259259259261</v>
      </c>
    </row>
    <row r="1025" spans="1:1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s="10" customFormat="1" ht="20.100000000000001" customHeight="1" x14ac:dyDescent="0.35">
      <c r="A1027" s="15" t="s">
        <v>502</v>
      </c>
      <c r="B1027" s="15"/>
      <c r="C1027" s="15"/>
      <c r="D1027" s="15"/>
      <c r="E1027" s="15"/>
      <c r="F1027" s="15"/>
      <c r="G1027" s="15"/>
      <c r="H1027" s="15"/>
      <c r="I1027" s="15"/>
      <c r="J1027" s="15"/>
    </row>
    <row r="1028" spans="1:12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</row>
    <row r="1029" spans="1:12" ht="30" x14ac:dyDescent="0.25">
      <c r="A1029" s="2" t="s">
        <v>6</v>
      </c>
      <c r="B1029" s="2" t="s">
        <v>7</v>
      </c>
      <c r="C1029" s="2" t="s">
        <v>8</v>
      </c>
      <c r="D1029" s="2" t="s">
        <v>9</v>
      </c>
      <c r="E1029" s="2" t="s">
        <v>10</v>
      </c>
      <c r="F1029" s="2" t="s">
        <v>11</v>
      </c>
      <c r="G1029" s="2" t="s">
        <v>12</v>
      </c>
      <c r="H1029" s="2" t="s">
        <v>13</v>
      </c>
      <c r="I1029" s="2" t="s">
        <v>14</v>
      </c>
      <c r="J1029" s="2" t="s">
        <v>15</v>
      </c>
      <c r="K1029" s="2" t="s">
        <v>16</v>
      </c>
      <c r="L1029" s="2" t="s">
        <v>17</v>
      </c>
    </row>
    <row r="1030" spans="1:12" x14ac:dyDescent="0.25">
      <c r="A1030" s="3">
        <v>45708.151412037041</v>
      </c>
      <c r="B1030" t="s">
        <v>27</v>
      </c>
      <c r="C1030" s="3">
        <v>45708.22111111111</v>
      </c>
      <c r="D1030" t="s">
        <v>21</v>
      </c>
      <c r="E1030" s="4">
        <v>34.594000000000001</v>
      </c>
      <c r="F1030" s="4">
        <v>442840.24800000002</v>
      </c>
      <c r="G1030" s="4">
        <v>442874.842</v>
      </c>
      <c r="H1030" s="5">
        <f>1441 / 86400</f>
        <v>1.667824074074074E-2</v>
      </c>
      <c r="I1030" t="s">
        <v>33</v>
      </c>
      <c r="J1030" t="s">
        <v>38</v>
      </c>
      <c r="K1030" s="5">
        <f>6022 / 86400</f>
        <v>6.969907407407408E-2</v>
      </c>
      <c r="L1030" s="5">
        <f>13413 / 86400</f>
        <v>0.15524305555555556</v>
      </c>
    </row>
    <row r="1031" spans="1:12" x14ac:dyDescent="0.25">
      <c r="A1031" s="3">
        <v>45708.224942129629</v>
      </c>
      <c r="B1031" t="s">
        <v>21</v>
      </c>
      <c r="C1031" s="3">
        <v>45708.331076388888</v>
      </c>
      <c r="D1031" t="s">
        <v>149</v>
      </c>
      <c r="E1031" s="4">
        <v>50.686</v>
      </c>
      <c r="F1031" s="4">
        <v>442874.842</v>
      </c>
      <c r="G1031" s="4">
        <v>442925.52799999999</v>
      </c>
      <c r="H1031" s="5">
        <f>2240 / 86400</f>
        <v>2.5925925925925925E-2</v>
      </c>
      <c r="I1031" t="s">
        <v>172</v>
      </c>
      <c r="J1031" t="s">
        <v>131</v>
      </c>
      <c r="K1031" s="5">
        <f>9169 / 86400</f>
        <v>0.10612268518518518</v>
      </c>
      <c r="L1031" s="5">
        <f>1629 / 86400</f>
        <v>1.8854166666666668E-2</v>
      </c>
    </row>
    <row r="1032" spans="1:12" x14ac:dyDescent="0.25">
      <c r="A1032" s="3">
        <v>45708.34993055556</v>
      </c>
      <c r="B1032" t="s">
        <v>149</v>
      </c>
      <c r="C1032" s="3">
        <v>45708.357129629629</v>
      </c>
      <c r="D1032" t="s">
        <v>443</v>
      </c>
      <c r="E1032" s="4">
        <v>1.4510000000000001</v>
      </c>
      <c r="F1032" s="4">
        <v>442925.52799999999</v>
      </c>
      <c r="G1032" s="4">
        <v>442926.97899999999</v>
      </c>
      <c r="H1032" s="5">
        <f>259 / 86400</f>
        <v>2.9976851851851853E-3</v>
      </c>
      <c r="I1032" t="s">
        <v>134</v>
      </c>
      <c r="J1032" t="s">
        <v>168</v>
      </c>
      <c r="K1032" s="5">
        <f>621 / 86400</f>
        <v>7.1875000000000003E-3</v>
      </c>
      <c r="L1032" s="5">
        <f>335 / 86400</f>
        <v>3.8773148148148148E-3</v>
      </c>
    </row>
    <row r="1033" spans="1:12" x14ac:dyDescent="0.25">
      <c r="A1033" s="3">
        <v>45708.36100694444</v>
      </c>
      <c r="B1033" t="s">
        <v>443</v>
      </c>
      <c r="C1033" s="3">
        <v>45708.481365740736</v>
      </c>
      <c r="D1033" t="s">
        <v>419</v>
      </c>
      <c r="E1033" s="4">
        <v>49.68</v>
      </c>
      <c r="F1033" s="4">
        <v>442926.97899999999</v>
      </c>
      <c r="G1033" s="4">
        <v>442976.65899999999</v>
      </c>
      <c r="H1033" s="5">
        <f>3281 / 86400</f>
        <v>3.7974537037037036E-2</v>
      </c>
      <c r="I1033" t="s">
        <v>118</v>
      </c>
      <c r="J1033" t="s">
        <v>20</v>
      </c>
      <c r="K1033" s="5">
        <f>10399 / 86400</f>
        <v>0.1203587962962963</v>
      </c>
      <c r="L1033" s="5">
        <f>3620 / 86400</f>
        <v>4.189814814814815E-2</v>
      </c>
    </row>
    <row r="1034" spans="1:12" x14ac:dyDescent="0.25">
      <c r="A1034" s="3">
        <v>45708.523263888885</v>
      </c>
      <c r="B1034" t="s">
        <v>419</v>
      </c>
      <c r="C1034" s="3">
        <v>45708.69059027778</v>
      </c>
      <c r="D1034" t="s">
        <v>27</v>
      </c>
      <c r="E1034" s="4">
        <v>68.224000000000004</v>
      </c>
      <c r="F1034" s="4">
        <v>442976.65899999999</v>
      </c>
      <c r="G1034" s="4">
        <v>443044.88299999997</v>
      </c>
      <c r="H1034" s="5">
        <f>4959 / 86400</f>
        <v>5.7395833333333333E-2</v>
      </c>
      <c r="I1034" t="s">
        <v>90</v>
      </c>
      <c r="J1034" t="s">
        <v>20</v>
      </c>
      <c r="K1034" s="5">
        <f>14456 / 86400</f>
        <v>0.16731481481481481</v>
      </c>
      <c r="L1034" s="5">
        <f>1101 / 86400</f>
        <v>1.2743055555555556E-2</v>
      </c>
    </row>
    <row r="1035" spans="1:12" x14ac:dyDescent="0.25">
      <c r="A1035" s="3">
        <v>45708.703333333338</v>
      </c>
      <c r="B1035" t="s">
        <v>27</v>
      </c>
      <c r="C1035" s="3">
        <v>45708.708194444444</v>
      </c>
      <c r="D1035" t="s">
        <v>141</v>
      </c>
      <c r="E1035" s="4">
        <v>0.75</v>
      </c>
      <c r="F1035" s="4">
        <v>443044.88299999997</v>
      </c>
      <c r="G1035" s="4">
        <v>443045.63299999997</v>
      </c>
      <c r="H1035" s="5">
        <f>159 / 86400</f>
        <v>1.8402777777777777E-3</v>
      </c>
      <c r="I1035" t="s">
        <v>150</v>
      </c>
      <c r="J1035" t="s">
        <v>32</v>
      </c>
      <c r="K1035" s="5">
        <f>420 / 86400</f>
        <v>4.8611111111111112E-3</v>
      </c>
      <c r="L1035" s="5">
        <f>102 / 86400</f>
        <v>1.1805555555555556E-3</v>
      </c>
    </row>
    <row r="1036" spans="1:12" x14ac:dyDescent="0.25">
      <c r="A1036" s="3">
        <v>45708.709374999999</v>
      </c>
      <c r="B1036" t="s">
        <v>141</v>
      </c>
      <c r="C1036" s="3">
        <v>45708.713171296295</v>
      </c>
      <c r="D1036" t="s">
        <v>141</v>
      </c>
      <c r="E1036" s="4">
        <v>1.61</v>
      </c>
      <c r="F1036" s="4">
        <v>443045.63299999997</v>
      </c>
      <c r="G1036" s="4">
        <v>443047.24300000002</v>
      </c>
      <c r="H1036" s="5">
        <f>20 / 86400</f>
        <v>2.3148148148148149E-4</v>
      </c>
      <c r="I1036" t="s">
        <v>217</v>
      </c>
      <c r="J1036" t="s">
        <v>34</v>
      </c>
      <c r="K1036" s="5">
        <f>328 / 86400</f>
        <v>3.7962962962962963E-3</v>
      </c>
      <c r="L1036" s="5">
        <f>338 / 86400</f>
        <v>3.9120370370370368E-3</v>
      </c>
    </row>
    <row r="1037" spans="1:12" x14ac:dyDescent="0.25">
      <c r="A1037" s="3">
        <v>45708.717083333337</v>
      </c>
      <c r="B1037" t="s">
        <v>141</v>
      </c>
      <c r="C1037" s="3">
        <v>45708.720173611116</v>
      </c>
      <c r="D1037" t="s">
        <v>27</v>
      </c>
      <c r="E1037" s="4">
        <v>0.746</v>
      </c>
      <c r="F1037" s="4">
        <v>443047.24300000002</v>
      </c>
      <c r="G1037" s="4">
        <v>443047.989</v>
      </c>
      <c r="H1037" s="5">
        <f>20 / 86400</f>
        <v>2.3148148148148149E-4</v>
      </c>
      <c r="I1037" t="s">
        <v>68</v>
      </c>
      <c r="J1037" t="s">
        <v>97</v>
      </c>
      <c r="K1037" s="5">
        <f>267 / 86400</f>
        <v>3.0902777777777777E-3</v>
      </c>
      <c r="L1037" s="5">
        <f>24176 / 86400</f>
        <v>0.27981481481481479</v>
      </c>
    </row>
    <row r="1038" spans="1:1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</row>
    <row r="1039" spans="1:1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2" s="10" customFormat="1" ht="20.100000000000001" customHeight="1" x14ac:dyDescent="0.35">
      <c r="A1040" s="15" t="s">
        <v>503</v>
      </c>
      <c r="B1040" s="15"/>
      <c r="C1040" s="15"/>
      <c r="D1040" s="15"/>
      <c r="E1040" s="15"/>
      <c r="F1040" s="15"/>
      <c r="G1040" s="15"/>
      <c r="H1040" s="15"/>
      <c r="I1040" s="15"/>
      <c r="J1040" s="15"/>
    </row>
    <row r="1041" spans="1:12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2" ht="30" x14ac:dyDescent="0.25">
      <c r="A1042" s="2" t="s">
        <v>6</v>
      </c>
      <c r="B1042" s="2" t="s">
        <v>7</v>
      </c>
      <c r="C1042" s="2" t="s">
        <v>8</v>
      </c>
      <c r="D1042" s="2" t="s">
        <v>9</v>
      </c>
      <c r="E1042" s="2" t="s">
        <v>10</v>
      </c>
      <c r="F1042" s="2" t="s">
        <v>11</v>
      </c>
      <c r="G1042" s="2" t="s">
        <v>12</v>
      </c>
      <c r="H1042" s="2" t="s">
        <v>13</v>
      </c>
      <c r="I1042" s="2" t="s">
        <v>14</v>
      </c>
      <c r="J1042" s="2" t="s">
        <v>15</v>
      </c>
      <c r="K1042" s="2" t="s">
        <v>16</v>
      </c>
      <c r="L1042" s="2" t="s">
        <v>17</v>
      </c>
    </row>
    <row r="1043" spans="1:12" x14ac:dyDescent="0.25">
      <c r="A1043" s="3">
        <v>45708.229490740741</v>
      </c>
      <c r="B1043" t="s">
        <v>88</v>
      </c>
      <c r="C1043" s="3">
        <v>45708.474224537036</v>
      </c>
      <c r="D1043" t="s">
        <v>149</v>
      </c>
      <c r="E1043" s="4">
        <v>97.230999999999995</v>
      </c>
      <c r="F1043" s="4">
        <v>475129.52</v>
      </c>
      <c r="G1043" s="4">
        <v>475226.75099999999</v>
      </c>
      <c r="H1043" s="5">
        <f>6919 / 86400</f>
        <v>8.0081018518518524E-2</v>
      </c>
      <c r="I1043" t="s">
        <v>92</v>
      </c>
      <c r="J1043" t="s">
        <v>20</v>
      </c>
      <c r="K1043" s="5">
        <f>21145 / 86400</f>
        <v>0.2447337962962963</v>
      </c>
      <c r="L1043" s="5">
        <f>20133 / 86400</f>
        <v>0.23302083333333334</v>
      </c>
    </row>
    <row r="1044" spans="1:12" x14ac:dyDescent="0.25">
      <c r="A1044" s="3">
        <v>45708.477754629625</v>
      </c>
      <c r="B1044" t="s">
        <v>149</v>
      </c>
      <c r="C1044" s="3">
        <v>45708.480671296296</v>
      </c>
      <c r="D1044" t="s">
        <v>83</v>
      </c>
      <c r="E1044" s="4">
        <v>1.3140000000000001</v>
      </c>
      <c r="F1044" s="4">
        <v>475226.75099999999</v>
      </c>
      <c r="G1044" s="4">
        <v>475228.065</v>
      </c>
      <c r="H1044" s="5">
        <f>0 / 86400</f>
        <v>0</v>
      </c>
      <c r="I1044" t="s">
        <v>150</v>
      </c>
      <c r="J1044" t="s">
        <v>68</v>
      </c>
      <c r="K1044" s="5">
        <f>252 / 86400</f>
        <v>2.9166666666666668E-3</v>
      </c>
      <c r="L1044" s="5">
        <f>183 / 86400</f>
        <v>2.1180555555555558E-3</v>
      </c>
    </row>
    <row r="1045" spans="1:12" x14ac:dyDescent="0.25">
      <c r="A1045" s="3">
        <v>45708.482789351852</v>
      </c>
      <c r="B1045" t="s">
        <v>83</v>
      </c>
      <c r="C1045" s="3">
        <v>45708.483171296291</v>
      </c>
      <c r="D1045" t="s">
        <v>152</v>
      </c>
      <c r="E1045" s="4">
        <v>3.2000000000000001E-2</v>
      </c>
      <c r="F1045" s="4">
        <v>475228.065</v>
      </c>
      <c r="G1045" s="4">
        <v>475228.09700000001</v>
      </c>
      <c r="H1045" s="5">
        <f>0 / 86400</f>
        <v>0</v>
      </c>
      <c r="I1045" t="s">
        <v>26</v>
      </c>
      <c r="J1045" t="s">
        <v>143</v>
      </c>
      <c r="K1045" s="5">
        <f>32 / 86400</f>
        <v>3.7037037037037035E-4</v>
      </c>
      <c r="L1045" s="5">
        <f>141 / 86400</f>
        <v>1.6319444444444445E-3</v>
      </c>
    </row>
    <row r="1046" spans="1:12" x14ac:dyDescent="0.25">
      <c r="A1046" s="3">
        <v>45708.484803240739</v>
      </c>
      <c r="B1046" t="s">
        <v>152</v>
      </c>
      <c r="C1046" s="3">
        <v>45708.49119212963</v>
      </c>
      <c r="D1046" t="s">
        <v>407</v>
      </c>
      <c r="E1046" s="4">
        <v>0.29099999999999998</v>
      </c>
      <c r="F1046" s="4">
        <v>475228.09700000001</v>
      </c>
      <c r="G1046" s="4">
        <v>475228.38799999998</v>
      </c>
      <c r="H1046" s="5">
        <f>379 / 86400</f>
        <v>4.386574074074074E-3</v>
      </c>
      <c r="I1046" t="s">
        <v>29</v>
      </c>
      <c r="J1046" t="s">
        <v>136</v>
      </c>
      <c r="K1046" s="5">
        <f>552 / 86400</f>
        <v>6.3888888888888893E-3</v>
      </c>
      <c r="L1046" s="5">
        <f>1678 / 86400</f>
        <v>1.9421296296296298E-2</v>
      </c>
    </row>
    <row r="1047" spans="1:12" x14ac:dyDescent="0.25">
      <c r="A1047" s="3">
        <v>45708.510613425926</v>
      </c>
      <c r="B1047" t="s">
        <v>407</v>
      </c>
      <c r="C1047" s="3">
        <v>45708.761030092588</v>
      </c>
      <c r="D1047" t="s">
        <v>444</v>
      </c>
      <c r="E1047" s="4">
        <v>91.83</v>
      </c>
      <c r="F1047" s="4">
        <v>475228.38799999998</v>
      </c>
      <c r="G1047" s="4">
        <v>475320.21799999999</v>
      </c>
      <c r="H1047" s="5">
        <f>7600 / 86400</f>
        <v>8.7962962962962965E-2</v>
      </c>
      <c r="I1047" t="s">
        <v>120</v>
      </c>
      <c r="J1047" t="s">
        <v>44</v>
      </c>
      <c r="K1047" s="5">
        <f>21636 / 86400</f>
        <v>0.25041666666666668</v>
      </c>
      <c r="L1047" s="5">
        <f>466 / 86400</f>
        <v>5.3935185185185188E-3</v>
      </c>
    </row>
    <row r="1048" spans="1:12" x14ac:dyDescent="0.25">
      <c r="A1048" s="3">
        <v>45708.766423611116</v>
      </c>
      <c r="B1048" t="s">
        <v>444</v>
      </c>
      <c r="C1048" s="3">
        <v>45708.770127314812</v>
      </c>
      <c r="D1048" t="s">
        <v>91</v>
      </c>
      <c r="E1048" s="4">
        <v>0.77300000000000002</v>
      </c>
      <c r="F1048" s="4">
        <v>475320.21799999999</v>
      </c>
      <c r="G1048" s="4">
        <v>475320.99099999998</v>
      </c>
      <c r="H1048" s="5">
        <f>120 / 86400</f>
        <v>1.3888888888888889E-3</v>
      </c>
      <c r="I1048" t="s">
        <v>150</v>
      </c>
      <c r="J1048" t="s">
        <v>137</v>
      </c>
      <c r="K1048" s="5">
        <f>320 / 86400</f>
        <v>3.7037037037037038E-3</v>
      </c>
      <c r="L1048" s="5">
        <f>19860 / 86400</f>
        <v>0.2298611111111111</v>
      </c>
    </row>
    <row r="1049" spans="1:1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</row>
    <row r="1050" spans="1:12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</row>
    <row r="1051" spans="1:12" s="10" customFormat="1" ht="20.100000000000001" customHeight="1" x14ac:dyDescent="0.35">
      <c r="A1051" s="15" t="s">
        <v>504</v>
      </c>
      <c r="B1051" s="15"/>
      <c r="C1051" s="15"/>
      <c r="D1051" s="15"/>
      <c r="E1051" s="15"/>
      <c r="F1051" s="15"/>
      <c r="G1051" s="15"/>
      <c r="H1051" s="15"/>
      <c r="I1051" s="15"/>
      <c r="J1051" s="15"/>
    </row>
    <row r="1052" spans="1:1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</row>
    <row r="1053" spans="1:12" ht="30" x14ac:dyDescent="0.25">
      <c r="A1053" s="2" t="s">
        <v>6</v>
      </c>
      <c r="B1053" s="2" t="s">
        <v>7</v>
      </c>
      <c r="C1053" s="2" t="s">
        <v>8</v>
      </c>
      <c r="D1053" s="2" t="s">
        <v>9</v>
      </c>
      <c r="E1053" s="2" t="s">
        <v>10</v>
      </c>
      <c r="F1053" s="2" t="s">
        <v>11</v>
      </c>
      <c r="G1053" s="2" t="s">
        <v>12</v>
      </c>
      <c r="H1053" s="2" t="s">
        <v>13</v>
      </c>
      <c r="I1053" s="2" t="s">
        <v>14</v>
      </c>
      <c r="J1053" s="2" t="s">
        <v>15</v>
      </c>
      <c r="K1053" s="2" t="s">
        <v>16</v>
      </c>
      <c r="L1053" s="2" t="s">
        <v>17</v>
      </c>
    </row>
    <row r="1054" spans="1:12" x14ac:dyDescent="0.25">
      <c r="A1054" s="3">
        <v>45708.00644675926</v>
      </c>
      <c r="B1054" t="s">
        <v>93</v>
      </c>
      <c r="C1054" s="3">
        <v>45708.009189814809</v>
      </c>
      <c r="D1054" t="s">
        <v>85</v>
      </c>
      <c r="E1054" s="4">
        <v>0.42599999999999999</v>
      </c>
      <c r="F1054" s="4">
        <v>415668.03</v>
      </c>
      <c r="G1054" s="4">
        <v>415668.45600000001</v>
      </c>
      <c r="H1054" s="5">
        <f>60 / 86400</f>
        <v>6.9444444444444447E-4</v>
      </c>
      <c r="I1054" t="s">
        <v>29</v>
      </c>
      <c r="J1054" t="s">
        <v>32</v>
      </c>
      <c r="K1054" s="5">
        <f>237 / 86400</f>
        <v>2.7430555555555554E-3</v>
      </c>
      <c r="L1054" s="5">
        <f>910 / 86400</f>
        <v>1.0532407407407407E-2</v>
      </c>
    </row>
    <row r="1055" spans="1:12" x14ac:dyDescent="0.25">
      <c r="A1055" s="3">
        <v>45708.013275462959</v>
      </c>
      <c r="B1055" t="s">
        <v>85</v>
      </c>
      <c r="C1055" s="3">
        <v>45708.01363425926</v>
      </c>
      <c r="D1055" t="s">
        <v>85</v>
      </c>
      <c r="E1055" s="4">
        <v>2.1999999999999999E-2</v>
      </c>
      <c r="F1055" s="4">
        <v>415668.45600000001</v>
      </c>
      <c r="G1055" s="4">
        <v>415668.478</v>
      </c>
      <c r="H1055" s="5">
        <f>0 / 86400</f>
        <v>0</v>
      </c>
      <c r="I1055" t="s">
        <v>32</v>
      </c>
      <c r="J1055" t="s">
        <v>135</v>
      </c>
      <c r="K1055" s="5">
        <f>31 / 86400</f>
        <v>3.5879629629629629E-4</v>
      </c>
      <c r="L1055" s="5">
        <f>9220 / 86400</f>
        <v>0.10671296296296297</v>
      </c>
    </row>
    <row r="1056" spans="1:12" x14ac:dyDescent="0.25">
      <c r="A1056" s="3">
        <v>45708.120347222226</v>
      </c>
      <c r="B1056" t="s">
        <v>85</v>
      </c>
      <c r="C1056" s="3">
        <v>45708.194293981476</v>
      </c>
      <c r="D1056" t="s">
        <v>414</v>
      </c>
      <c r="E1056" s="4">
        <v>36.981000000000002</v>
      </c>
      <c r="F1056" s="4">
        <v>415668.478</v>
      </c>
      <c r="G1056" s="4">
        <v>415705.45899999997</v>
      </c>
      <c r="H1056" s="5">
        <f>1658 / 86400</f>
        <v>1.9189814814814816E-2</v>
      </c>
      <c r="I1056" t="s">
        <v>92</v>
      </c>
      <c r="J1056" t="s">
        <v>38</v>
      </c>
      <c r="K1056" s="5">
        <f>6388 / 86400</f>
        <v>7.3935185185185187E-2</v>
      </c>
      <c r="L1056" s="5">
        <f>463 / 86400</f>
        <v>5.3587962962962964E-3</v>
      </c>
    </row>
    <row r="1057" spans="1:12" x14ac:dyDescent="0.25">
      <c r="A1057" s="3">
        <v>45708.199652777781</v>
      </c>
      <c r="B1057" t="s">
        <v>414</v>
      </c>
      <c r="C1057" s="3">
        <v>45708.303668981476</v>
      </c>
      <c r="D1057" t="s">
        <v>149</v>
      </c>
      <c r="E1057" s="4">
        <v>52.744</v>
      </c>
      <c r="F1057" s="4">
        <v>415705.45899999997</v>
      </c>
      <c r="G1057" s="4">
        <v>415758.20299999998</v>
      </c>
      <c r="H1057" s="5">
        <f>2560 / 86400</f>
        <v>2.9629629629629631E-2</v>
      </c>
      <c r="I1057" t="s">
        <v>130</v>
      </c>
      <c r="J1057" t="s">
        <v>38</v>
      </c>
      <c r="K1057" s="5">
        <f>8986 / 86400</f>
        <v>0.10400462962962963</v>
      </c>
      <c r="L1057" s="5">
        <f>788 / 86400</f>
        <v>9.1203703703703707E-3</v>
      </c>
    </row>
    <row r="1058" spans="1:12" x14ac:dyDescent="0.25">
      <c r="A1058" s="3">
        <v>45708.312789351854</v>
      </c>
      <c r="B1058" t="s">
        <v>149</v>
      </c>
      <c r="C1058" s="3">
        <v>45708.312916666662</v>
      </c>
      <c r="D1058" t="s">
        <v>149</v>
      </c>
      <c r="E1058" s="4">
        <v>0</v>
      </c>
      <c r="F1058" s="4">
        <v>415758.20299999998</v>
      </c>
      <c r="G1058" s="4">
        <v>415758.20299999998</v>
      </c>
      <c r="H1058" s="5">
        <f>0 / 86400</f>
        <v>0</v>
      </c>
      <c r="I1058" t="s">
        <v>22</v>
      </c>
      <c r="J1058" t="s">
        <v>22</v>
      </c>
      <c r="K1058" s="5">
        <f>10 / 86400</f>
        <v>1.1574074074074075E-4</v>
      </c>
      <c r="L1058" s="5">
        <f>1581 / 86400</f>
        <v>1.8298611111111113E-2</v>
      </c>
    </row>
    <row r="1059" spans="1:12" x14ac:dyDescent="0.25">
      <c r="A1059" s="3">
        <v>45708.33121527778</v>
      </c>
      <c r="B1059" t="s">
        <v>149</v>
      </c>
      <c r="C1059" s="3">
        <v>45708.335648148146</v>
      </c>
      <c r="D1059" t="s">
        <v>83</v>
      </c>
      <c r="E1059" s="4">
        <v>1.37</v>
      </c>
      <c r="F1059" s="4">
        <v>415758.20299999998</v>
      </c>
      <c r="G1059" s="4">
        <v>415759.57299999997</v>
      </c>
      <c r="H1059" s="5">
        <f>59 / 86400</f>
        <v>6.8287037037037036E-4</v>
      </c>
      <c r="I1059" t="s">
        <v>31</v>
      </c>
      <c r="J1059" t="s">
        <v>29</v>
      </c>
      <c r="K1059" s="5">
        <f>382 / 86400</f>
        <v>4.4212962962962964E-3</v>
      </c>
      <c r="L1059" s="5">
        <f>578 / 86400</f>
        <v>6.6898148148148151E-3</v>
      </c>
    </row>
    <row r="1060" spans="1:12" x14ac:dyDescent="0.25">
      <c r="A1060" s="3">
        <v>45708.342337962968</v>
      </c>
      <c r="B1060" t="s">
        <v>83</v>
      </c>
      <c r="C1060" s="3">
        <v>45708.344710648147</v>
      </c>
      <c r="D1060" t="s">
        <v>395</v>
      </c>
      <c r="E1060" s="4">
        <v>0.88</v>
      </c>
      <c r="F1060" s="4">
        <v>415759.57299999997</v>
      </c>
      <c r="G1060" s="4">
        <v>415760.45299999998</v>
      </c>
      <c r="H1060" s="5">
        <f>19 / 86400</f>
        <v>2.199074074074074E-4</v>
      </c>
      <c r="I1060" t="s">
        <v>178</v>
      </c>
      <c r="J1060" t="s">
        <v>44</v>
      </c>
      <c r="K1060" s="5">
        <f>205 / 86400</f>
        <v>2.3726851851851851E-3</v>
      </c>
      <c r="L1060" s="5">
        <f>208 / 86400</f>
        <v>2.4074074074074076E-3</v>
      </c>
    </row>
    <row r="1061" spans="1:12" x14ac:dyDescent="0.25">
      <c r="A1061" s="3">
        <v>45708.347118055557</v>
      </c>
      <c r="B1061" t="s">
        <v>395</v>
      </c>
      <c r="C1061" s="3">
        <v>45708.456817129627</v>
      </c>
      <c r="D1061" t="s">
        <v>364</v>
      </c>
      <c r="E1061" s="4">
        <v>47.456000000000003</v>
      </c>
      <c r="F1061" s="4">
        <v>415760.45299999998</v>
      </c>
      <c r="G1061" s="4">
        <v>415807.90899999999</v>
      </c>
      <c r="H1061" s="5">
        <f>3218 / 86400</f>
        <v>3.7245370370370373E-2</v>
      </c>
      <c r="I1061" t="s">
        <v>118</v>
      </c>
      <c r="J1061" t="s">
        <v>34</v>
      </c>
      <c r="K1061" s="5">
        <f>9477 / 86400</f>
        <v>0.10968749999999999</v>
      </c>
      <c r="L1061" s="5">
        <f>325 / 86400</f>
        <v>3.7615740740740739E-3</v>
      </c>
    </row>
    <row r="1062" spans="1:12" x14ac:dyDescent="0.25">
      <c r="A1062" s="3">
        <v>45708.4605787037</v>
      </c>
      <c r="B1062" t="s">
        <v>364</v>
      </c>
      <c r="C1062" s="3">
        <v>45708.550300925926</v>
      </c>
      <c r="D1062" t="s">
        <v>24</v>
      </c>
      <c r="E1062" s="4">
        <v>27.338999999999999</v>
      </c>
      <c r="F1062" s="4">
        <v>415807.90899999999</v>
      </c>
      <c r="G1062" s="4">
        <v>415835.24800000002</v>
      </c>
      <c r="H1062" s="5">
        <f>2960 / 86400</f>
        <v>3.425925925925926E-2</v>
      </c>
      <c r="I1062" t="s">
        <v>130</v>
      </c>
      <c r="J1062" t="s">
        <v>29</v>
      </c>
      <c r="K1062" s="5">
        <f>7752 / 86400</f>
        <v>8.9722222222222217E-2</v>
      </c>
      <c r="L1062" s="5">
        <f>319 / 86400</f>
        <v>3.6921296296296298E-3</v>
      </c>
    </row>
    <row r="1063" spans="1:12" x14ac:dyDescent="0.25">
      <c r="A1063" s="3">
        <v>45708.553993055553</v>
      </c>
      <c r="B1063" t="s">
        <v>24</v>
      </c>
      <c r="C1063" s="3">
        <v>45708.560543981483</v>
      </c>
      <c r="D1063" t="s">
        <v>85</v>
      </c>
      <c r="E1063" s="4">
        <v>1.5980000000000001</v>
      </c>
      <c r="F1063" s="4">
        <v>415835.24800000002</v>
      </c>
      <c r="G1063" s="4">
        <v>415836.84600000002</v>
      </c>
      <c r="H1063" s="5">
        <f>120 / 86400</f>
        <v>1.3888888888888889E-3</v>
      </c>
      <c r="I1063" t="s">
        <v>178</v>
      </c>
      <c r="J1063" t="s">
        <v>97</v>
      </c>
      <c r="K1063" s="5">
        <f>566 / 86400</f>
        <v>6.5509259259259262E-3</v>
      </c>
      <c r="L1063" s="5">
        <f>6443 / 86400</f>
        <v>7.4571759259259254E-2</v>
      </c>
    </row>
    <row r="1064" spans="1:12" x14ac:dyDescent="0.25">
      <c r="A1064" s="3">
        <v>45708.635115740741</v>
      </c>
      <c r="B1064" t="s">
        <v>85</v>
      </c>
      <c r="C1064" s="3">
        <v>45708.815972222219</v>
      </c>
      <c r="D1064" t="s">
        <v>280</v>
      </c>
      <c r="E1064" s="4">
        <v>80.811999999999998</v>
      </c>
      <c r="F1064" s="4">
        <v>415836.84600000002</v>
      </c>
      <c r="G1064" s="4">
        <v>415917.658</v>
      </c>
      <c r="H1064" s="5">
        <f>5999 / 86400</f>
        <v>6.9432870370370367E-2</v>
      </c>
      <c r="I1064" t="s">
        <v>52</v>
      </c>
      <c r="J1064" t="s">
        <v>68</v>
      </c>
      <c r="K1064" s="5">
        <f>15625 / 86400</f>
        <v>0.18084490740740741</v>
      </c>
      <c r="L1064" s="5">
        <f>95 / 86400</f>
        <v>1.0995370370370371E-3</v>
      </c>
    </row>
    <row r="1065" spans="1:12" x14ac:dyDescent="0.25">
      <c r="A1065" s="3">
        <v>45708.817071759258</v>
      </c>
      <c r="B1065" t="s">
        <v>280</v>
      </c>
      <c r="C1065" s="3">
        <v>45708.818518518514</v>
      </c>
      <c r="D1065" t="s">
        <v>280</v>
      </c>
      <c r="E1065" s="4">
        <v>8.0000000000000002E-3</v>
      </c>
      <c r="F1065" s="4">
        <v>415917.658</v>
      </c>
      <c r="G1065" s="4">
        <v>415917.66600000003</v>
      </c>
      <c r="H1065" s="5">
        <f>119 / 86400</f>
        <v>1.3773148148148147E-3</v>
      </c>
      <c r="I1065" t="s">
        <v>22</v>
      </c>
      <c r="J1065" t="s">
        <v>22</v>
      </c>
      <c r="K1065" s="5">
        <f>124 / 86400</f>
        <v>1.4351851851851852E-3</v>
      </c>
      <c r="L1065" s="5">
        <f>68 / 86400</f>
        <v>7.8703703703703705E-4</v>
      </c>
    </row>
    <row r="1066" spans="1:12" x14ac:dyDescent="0.25">
      <c r="A1066" s="3">
        <v>45708.81930555556</v>
      </c>
      <c r="B1066" t="s">
        <v>280</v>
      </c>
      <c r="C1066" s="3">
        <v>45708.820185185185</v>
      </c>
      <c r="D1066" t="s">
        <v>280</v>
      </c>
      <c r="E1066" s="4">
        <v>2E-3</v>
      </c>
      <c r="F1066" s="4">
        <v>415917.66600000003</v>
      </c>
      <c r="G1066" s="4">
        <v>415917.66800000001</v>
      </c>
      <c r="H1066" s="5">
        <f>59 / 86400</f>
        <v>6.8287037037037036E-4</v>
      </c>
      <c r="I1066" t="s">
        <v>22</v>
      </c>
      <c r="J1066" t="s">
        <v>22</v>
      </c>
      <c r="K1066" s="5">
        <f>76 / 86400</f>
        <v>8.7962962962962962E-4</v>
      </c>
      <c r="L1066" s="5">
        <f>565 / 86400</f>
        <v>6.5393518518518517E-3</v>
      </c>
    </row>
    <row r="1067" spans="1:12" x14ac:dyDescent="0.25">
      <c r="A1067" s="3">
        <v>45708.826724537037</v>
      </c>
      <c r="B1067" t="s">
        <v>280</v>
      </c>
      <c r="C1067" s="3">
        <v>45708.915034722224</v>
      </c>
      <c r="D1067" t="s">
        <v>363</v>
      </c>
      <c r="E1067" s="4">
        <v>43.603000000000002</v>
      </c>
      <c r="F1067" s="4">
        <v>415917.66800000001</v>
      </c>
      <c r="G1067" s="4">
        <v>415961.27100000001</v>
      </c>
      <c r="H1067" s="5">
        <f>2439 / 86400</f>
        <v>2.8229166666666666E-2</v>
      </c>
      <c r="I1067" t="s">
        <v>81</v>
      </c>
      <c r="J1067" t="s">
        <v>38</v>
      </c>
      <c r="K1067" s="5">
        <f>7630 / 86400</f>
        <v>8.8310185185185186E-2</v>
      </c>
      <c r="L1067" s="5">
        <f>1062 / 86400</f>
        <v>1.2291666666666666E-2</v>
      </c>
    </row>
    <row r="1068" spans="1:12" x14ac:dyDescent="0.25">
      <c r="A1068" s="3">
        <v>45708.92732638889</v>
      </c>
      <c r="B1068" t="s">
        <v>363</v>
      </c>
      <c r="C1068" s="3">
        <v>45708.931145833332</v>
      </c>
      <c r="D1068" t="s">
        <v>106</v>
      </c>
      <c r="E1068" s="4">
        <v>0.49299999999999999</v>
      </c>
      <c r="F1068" s="4">
        <v>415961.27100000001</v>
      </c>
      <c r="G1068" s="4">
        <v>415961.76400000002</v>
      </c>
      <c r="H1068" s="5">
        <f>220 / 86400</f>
        <v>2.5462962962962965E-3</v>
      </c>
      <c r="I1068" t="s">
        <v>164</v>
      </c>
      <c r="J1068" t="s">
        <v>55</v>
      </c>
      <c r="K1068" s="5">
        <f>330 / 86400</f>
        <v>3.8194444444444443E-3</v>
      </c>
      <c r="L1068" s="5">
        <f>212 / 86400</f>
        <v>2.4537037037037036E-3</v>
      </c>
    </row>
    <row r="1069" spans="1:12" x14ac:dyDescent="0.25">
      <c r="A1069" s="3">
        <v>45708.933599537035</v>
      </c>
      <c r="B1069" t="s">
        <v>106</v>
      </c>
      <c r="C1069" s="3">
        <v>45708.993796296301</v>
      </c>
      <c r="D1069" t="s">
        <v>84</v>
      </c>
      <c r="E1069" s="4">
        <v>27.349</v>
      </c>
      <c r="F1069" s="4">
        <v>415961.76400000002</v>
      </c>
      <c r="G1069" s="4">
        <v>415989.11300000001</v>
      </c>
      <c r="H1069" s="5">
        <f>1959 / 86400</f>
        <v>2.267361111111111E-2</v>
      </c>
      <c r="I1069" t="s">
        <v>130</v>
      </c>
      <c r="J1069" t="s">
        <v>68</v>
      </c>
      <c r="K1069" s="5">
        <f>5201 / 86400</f>
        <v>6.0196759259259262E-2</v>
      </c>
      <c r="L1069" s="5">
        <f>179 / 86400</f>
        <v>2.0717592592592593E-3</v>
      </c>
    </row>
    <row r="1070" spans="1:12" x14ac:dyDescent="0.25">
      <c r="A1070" s="3">
        <v>45708.995868055557</v>
      </c>
      <c r="B1070" t="s">
        <v>84</v>
      </c>
      <c r="C1070" s="3">
        <v>45708.998622685191</v>
      </c>
      <c r="D1070" t="s">
        <v>84</v>
      </c>
      <c r="E1070" s="4">
        <v>5.3999999999999999E-2</v>
      </c>
      <c r="F1070" s="4">
        <v>415989.11300000001</v>
      </c>
      <c r="G1070" s="4">
        <v>415989.16700000002</v>
      </c>
      <c r="H1070" s="5">
        <f>180 / 86400</f>
        <v>2.0833333333333333E-3</v>
      </c>
      <c r="I1070" t="s">
        <v>26</v>
      </c>
      <c r="J1070" t="s">
        <v>145</v>
      </c>
      <c r="K1070" s="5">
        <f>237 / 86400</f>
        <v>2.7430555555555554E-3</v>
      </c>
      <c r="L1070" s="5">
        <f>118 / 86400</f>
        <v>1.3657407407407407E-3</v>
      </c>
    </row>
    <row r="1071" spans="1:1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</row>
    <row r="1072" spans="1:1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</row>
    <row r="1073" spans="1:12" s="10" customFormat="1" ht="20.100000000000001" customHeight="1" x14ac:dyDescent="0.35">
      <c r="A1073" s="15" t="s">
        <v>505</v>
      </c>
      <c r="B1073" s="15"/>
      <c r="C1073" s="15"/>
      <c r="D1073" s="15"/>
      <c r="E1073" s="15"/>
      <c r="F1073" s="15"/>
      <c r="G1073" s="15"/>
      <c r="H1073" s="15"/>
      <c r="I1073" s="15"/>
      <c r="J1073" s="15"/>
    </row>
    <row r="1074" spans="1:1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</row>
    <row r="1075" spans="1:12" ht="30" x14ac:dyDescent="0.25">
      <c r="A1075" s="2" t="s">
        <v>6</v>
      </c>
      <c r="B1075" s="2" t="s">
        <v>7</v>
      </c>
      <c r="C1075" s="2" t="s">
        <v>8</v>
      </c>
      <c r="D1075" s="2" t="s">
        <v>9</v>
      </c>
      <c r="E1075" s="2" t="s">
        <v>10</v>
      </c>
      <c r="F1075" s="2" t="s">
        <v>11</v>
      </c>
      <c r="G1075" s="2" t="s">
        <v>12</v>
      </c>
      <c r="H1075" s="2" t="s">
        <v>13</v>
      </c>
      <c r="I1075" s="2" t="s">
        <v>14</v>
      </c>
      <c r="J1075" s="2" t="s">
        <v>15</v>
      </c>
      <c r="K1075" s="2" t="s">
        <v>16</v>
      </c>
      <c r="L1075" s="2" t="s">
        <v>17</v>
      </c>
    </row>
    <row r="1076" spans="1:12" x14ac:dyDescent="0.25">
      <c r="A1076" s="3">
        <v>45708.177210648151</v>
      </c>
      <c r="B1076" t="s">
        <v>27</v>
      </c>
      <c r="C1076" s="3">
        <v>45708.23637731481</v>
      </c>
      <c r="D1076" t="s">
        <v>21</v>
      </c>
      <c r="E1076" s="4">
        <v>31.393999999999998</v>
      </c>
      <c r="F1076" s="4">
        <v>329560.43199999997</v>
      </c>
      <c r="G1076" s="4">
        <v>329591.826</v>
      </c>
      <c r="H1076" s="5">
        <f>958 / 86400</f>
        <v>1.1087962962962963E-2</v>
      </c>
      <c r="I1076" t="s">
        <v>46</v>
      </c>
      <c r="J1076" t="s">
        <v>148</v>
      </c>
      <c r="K1076" s="5">
        <f>5112 / 86400</f>
        <v>5.9166666666666666E-2</v>
      </c>
      <c r="L1076" s="5">
        <f>15384 / 86400</f>
        <v>0.17805555555555555</v>
      </c>
    </row>
    <row r="1077" spans="1:12" x14ac:dyDescent="0.25">
      <c r="A1077" s="3">
        <v>45708.237222222218</v>
      </c>
      <c r="B1077" t="s">
        <v>21</v>
      </c>
      <c r="C1077" s="3">
        <v>45708.351157407407</v>
      </c>
      <c r="D1077" t="s">
        <v>121</v>
      </c>
      <c r="E1077" s="4">
        <v>50.146999999999998</v>
      </c>
      <c r="F1077" s="4">
        <v>329591.826</v>
      </c>
      <c r="G1077" s="4">
        <v>329641.973</v>
      </c>
      <c r="H1077" s="5">
        <f>2660 / 86400</f>
        <v>3.0787037037037036E-2</v>
      </c>
      <c r="I1077" t="s">
        <v>40</v>
      </c>
      <c r="J1077" t="s">
        <v>34</v>
      </c>
      <c r="K1077" s="5">
        <f>9843 / 86400</f>
        <v>0.11392361111111111</v>
      </c>
      <c r="L1077" s="5">
        <f>2629 / 86400</f>
        <v>3.0428240740740742E-2</v>
      </c>
    </row>
    <row r="1078" spans="1:12" x14ac:dyDescent="0.25">
      <c r="A1078" s="3">
        <v>45708.381585648152</v>
      </c>
      <c r="B1078" t="s">
        <v>121</v>
      </c>
      <c r="C1078" s="3">
        <v>45708.382974537039</v>
      </c>
      <c r="D1078" t="s">
        <v>121</v>
      </c>
      <c r="E1078" s="4">
        <v>0.105</v>
      </c>
      <c r="F1078" s="4">
        <v>329641.973</v>
      </c>
      <c r="G1078" s="4">
        <v>329642.07799999998</v>
      </c>
      <c r="H1078" s="5">
        <f>20 / 86400</f>
        <v>2.3148148148148149E-4</v>
      </c>
      <c r="I1078" t="s">
        <v>26</v>
      </c>
      <c r="J1078" t="s">
        <v>135</v>
      </c>
      <c r="K1078" s="5">
        <f>120 / 86400</f>
        <v>1.3888888888888889E-3</v>
      </c>
      <c r="L1078" s="5">
        <f>10443 / 86400</f>
        <v>0.12086805555555556</v>
      </c>
    </row>
    <row r="1079" spans="1:12" x14ac:dyDescent="0.25">
      <c r="A1079" s="3">
        <v>45708.503842592589</v>
      </c>
      <c r="B1079" t="s">
        <v>121</v>
      </c>
      <c r="C1079" s="3">
        <v>45708.50881944444</v>
      </c>
      <c r="D1079" t="s">
        <v>149</v>
      </c>
      <c r="E1079" s="4">
        <v>1.19</v>
      </c>
      <c r="F1079" s="4">
        <v>329642.07799999998</v>
      </c>
      <c r="G1079" s="4">
        <v>329643.26799999998</v>
      </c>
      <c r="H1079" s="5">
        <f>40 / 86400</f>
        <v>4.6296296296296298E-4</v>
      </c>
      <c r="I1079" t="s">
        <v>68</v>
      </c>
      <c r="J1079" t="s">
        <v>97</v>
      </c>
      <c r="K1079" s="5">
        <f>429 / 86400</f>
        <v>4.9652777777777777E-3</v>
      </c>
      <c r="L1079" s="5">
        <f>741 / 86400</f>
        <v>8.5763888888888886E-3</v>
      </c>
    </row>
    <row r="1080" spans="1:12" x14ac:dyDescent="0.25">
      <c r="A1080" s="3">
        <v>45708.517395833333</v>
      </c>
      <c r="B1080" t="s">
        <v>149</v>
      </c>
      <c r="C1080" s="3">
        <v>45708.580868055556</v>
      </c>
      <c r="D1080" t="s">
        <v>24</v>
      </c>
      <c r="E1080" s="4">
        <v>26.952999999999999</v>
      </c>
      <c r="F1080" s="4">
        <v>329643.26799999998</v>
      </c>
      <c r="G1080" s="4">
        <v>329670.22100000002</v>
      </c>
      <c r="H1080" s="5">
        <f>1279 / 86400</f>
        <v>1.480324074074074E-2</v>
      </c>
      <c r="I1080" t="s">
        <v>390</v>
      </c>
      <c r="J1080" t="s">
        <v>34</v>
      </c>
      <c r="K1080" s="5">
        <f>5483 / 86400</f>
        <v>6.3460648148148155E-2</v>
      </c>
      <c r="L1080" s="5">
        <f>273 / 86400</f>
        <v>3.1597222222222222E-3</v>
      </c>
    </row>
    <row r="1081" spans="1:12" x14ac:dyDescent="0.25">
      <c r="A1081" s="3">
        <v>45708.584027777775</v>
      </c>
      <c r="B1081" t="s">
        <v>24</v>
      </c>
      <c r="C1081" s="3">
        <v>45708.585381944446</v>
      </c>
      <c r="D1081" t="s">
        <v>24</v>
      </c>
      <c r="E1081" s="4">
        <v>0.13900000000000001</v>
      </c>
      <c r="F1081" s="4">
        <v>329670.22100000002</v>
      </c>
      <c r="G1081" s="4">
        <v>329670.36</v>
      </c>
      <c r="H1081" s="5">
        <f>60 / 86400</f>
        <v>6.9444444444444447E-4</v>
      </c>
      <c r="I1081" t="s">
        <v>86</v>
      </c>
      <c r="J1081" t="s">
        <v>143</v>
      </c>
      <c r="K1081" s="5">
        <f>116 / 86400</f>
        <v>1.3425925925925925E-3</v>
      </c>
      <c r="L1081" s="5">
        <f>203 / 86400</f>
        <v>2.3495370370370371E-3</v>
      </c>
    </row>
    <row r="1082" spans="1:12" x14ac:dyDescent="0.25">
      <c r="A1082" s="3">
        <v>45708.587731481486</v>
      </c>
      <c r="B1082" t="s">
        <v>24</v>
      </c>
      <c r="C1082" s="3">
        <v>45708.597395833334</v>
      </c>
      <c r="D1082" t="s">
        <v>27</v>
      </c>
      <c r="E1082" s="4">
        <v>2.0059999999999998</v>
      </c>
      <c r="F1082" s="4">
        <v>329670.36</v>
      </c>
      <c r="G1082" s="4">
        <v>329672.36599999998</v>
      </c>
      <c r="H1082" s="5">
        <f>360 / 86400</f>
        <v>4.1666666666666666E-3</v>
      </c>
      <c r="I1082" t="s">
        <v>178</v>
      </c>
      <c r="J1082" t="s">
        <v>137</v>
      </c>
      <c r="K1082" s="5">
        <f>834 / 86400</f>
        <v>9.6527777777777775E-3</v>
      </c>
      <c r="L1082" s="5">
        <f>121 / 86400</f>
        <v>1.4004629629629629E-3</v>
      </c>
    </row>
    <row r="1083" spans="1:12" x14ac:dyDescent="0.25">
      <c r="A1083" s="3">
        <v>45708.598796296297</v>
      </c>
      <c r="B1083" t="s">
        <v>27</v>
      </c>
      <c r="C1083" s="3">
        <v>45708.602870370371</v>
      </c>
      <c r="D1083" t="s">
        <v>141</v>
      </c>
      <c r="E1083" s="4">
        <v>0.71299999999999997</v>
      </c>
      <c r="F1083" s="4">
        <v>329672.36599999998</v>
      </c>
      <c r="G1083" s="4">
        <v>329673.07900000003</v>
      </c>
      <c r="H1083" s="5">
        <f>139 / 86400</f>
        <v>1.6087962962962963E-3</v>
      </c>
      <c r="I1083" t="s">
        <v>20</v>
      </c>
      <c r="J1083" t="s">
        <v>26</v>
      </c>
      <c r="K1083" s="5">
        <f>351 / 86400</f>
        <v>4.0625000000000001E-3</v>
      </c>
      <c r="L1083" s="5">
        <f>1265 / 86400</f>
        <v>1.4641203703703703E-2</v>
      </c>
    </row>
    <row r="1084" spans="1:12" x14ac:dyDescent="0.25">
      <c r="A1084" s="3">
        <v>45708.617511574077</v>
      </c>
      <c r="B1084" t="s">
        <v>141</v>
      </c>
      <c r="C1084" s="3">
        <v>45708.618043981478</v>
      </c>
      <c r="D1084" t="s">
        <v>141</v>
      </c>
      <c r="E1084" s="4">
        <v>0</v>
      </c>
      <c r="F1084" s="4">
        <v>329673.07900000003</v>
      </c>
      <c r="G1084" s="4">
        <v>329673.07900000003</v>
      </c>
      <c r="H1084" s="5">
        <f>39 / 86400</f>
        <v>4.5138888888888887E-4</v>
      </c>
      <c r="I1084" t="s">
        <v>22</v>
      </c>
      <c r="J1084" t="s">
        <v>22</v>
      </c>
      <c r="K1084" s="5">
        <f>45 / 86400</f>
        <v>5.2083333333333333E-4</v>
      </c>
      <c r="L1084" s="5">
        <f>2012 / 86400</f>
        <v>2.3287037037037037E-2</v>
      </c>
    </row>
    <row r="1085" spans="1:12" x14ac:dyDescent="0.25">
      <c r="A1085" s="3">
        <v>45708.641331018516</v>
      </c>
      <c r="B1085" t="s">
        <v>141</v>
      </c>
      <c r="C1085" s="3">
        <v>45708.647453703699</v>
      </c>
      <c r="D1085" t="s">
        <v>27</v>
      </c>
      <c r="E1085" s="4">
        <v>2.6840000000000002</v>
      </c>
      <c r="F1085" s="4">
        <v>329673.07900000003</v>
      </c>
      <c r="G1085" s="4">
        <v>329675.76299999998</v>
      </c>
      <c r="H1085" s="5">
        <f>20 / 86400</f>
        <v>2.3148148148148149E-4</v>
      </c>
      <c r="I1085" t="s">
        <v>140</v>
      </c>
      <c r="J1085" t="s">
        <v>34</v>
      </c>
      <c r="K1085" s="5">
        <f>529 / 86400</f>
        <v>6.122685185185185E-3</v>
      </c>
      <c r="L1085" s="5">
        <f>864 / 86400</f>
        <v>0.01</v>
      </c>
    </row>
    <row r="1086" spans="1:12" x14ac:dyDescent="0.25">
      <c r="A1086" s="3">
        <v>45708.657453703709</v>
      </c>
      <c r="B1086" t="s">
        <v>27</v>
      </c>
      <c r="C1086" s="3">
        <v>45708.669861111106</v>
      </c>
      <c r="D1086" t="s">
        <v>386</v>
      </c>
      <c r="E1086" s="4">
        <v>9.093</v>
      </c>
      <c r="F1086" s="4">
        <v>329675.76299999998</v>
      </c>
      <c r="G1086" s="4">
        <v>329684.85600000003</v>
      </c>
      <c r="H1086" s="5">
        <f>219 / 86400</f>
        <v>2.5347222222222221E-3</v>
      </c>
      <c r="I1086" t="s">
        <v>101</v>
      </c>
      <c r="J1086" t="s">
        <v>134</v>
      </c>
      <c r="K1086" s="5">
        <f>1072 / 86400</f>
        <v>1.2407407407407407E-2</v>
      </c>
      <c r="L1086" s="5">
        <f>993 / 86400</f>
        <v>1.1493055555555555E-2</v>
      </c>
    </row>
    <row r="1087" spans="1:12" x14ac:dyDescent="0.25">
      <c r="A1087" s="3">
        <v>45708.681354166663</v>
      </c>
      <c r="B1087" t="s">
        <v>386</v>
      </c>
      <c r="C1087" s="3">
        <v>45708.697465277779</v>
      </c>
      <c r="D1087" t="s">
        <v>87</v>
      </c>
      <c r="E1087" s="4">
        <v>9.7669999999999995</v>
      </c>
      <c r="F1087" s="4">
        <v>329684.85600000003</v>
      </c>
      <c r="G1087" s="4">
        <v>329694.62300000002</v>
      </c>
      <c r="H1087" s="5">
        <f>439 / 86400</f>
        <v>5.0810185185185186E-3</v>
      </c>
      <c r="I1087" t="s">
        <v>113</v>
      </c>
      <c r="J1087" t="s">
        <v>142</v>
      </c>
      <c r="K1087" s="5">
        <f>1392 / 86400</f>
        <v>1.6111111111111111E-2</v>
      </c>
      <c r="L1087" s="5">
        <f>51 / 86400</f>
        <v>5.9027777777777778E-4</v>
      </c>
    </row>
    <row r="1088" spans="1:12" x14ac:dyDescent="0.25">
      <c r="A1088" s="3">
        <v>45708.698055555556</v>
      </c>
      <c r="B1088" t="s">
        <v>87</v>
      </c>
      <c r="C1088" s="3">
        <v>45708.783761574072</v>
      </c>
      <c r="D1088" t="s">
        <v>445</v>
      </c>
      <c r="E1088" s="4">
        <v>29.786999999999999</v>
      </c>
      <c r="F1088" s="4">
        <v>329694.62300000002</v>
      </c>
      <c r="G1088" s="4">
        <v>329724.40999999997</v>
      </c>
      <c r="H1088" s="5">
        <f>3341 / 86400</f>
        <v>3.8668981481481485E-2</v>
      </c>
      <c r="I1088" t="s">
        <v>67</v>
      </c>
      <c r="J1088" t="s">
        <v>58</v>
      </c>
      <c r="K1088" s="5">
        <f>7404 / 86400</f>
        <v>8.5694444444444448E-2</v>
      </c>
      <c r="L1088" s="5">
        <f>72 / 86400</f>
        <v>8.3333333333333339E-4</v>
      </c>
    </row>
    <row r="1089" spans="1:12" x14ac:dyDescent="0.25">
      <c r="A1089" s="3">
        <v>45708.784594907411</v>
      </c>
      <c r="B1089" t="s">
        <v>446</v>
      </c>
      <c r="C1089" s="3">
        <v>45708.78601851852</v>
      </c>
      <c r="D1089" t="s">
        <v>242</v>
      </c>
      <c r="E1089" s="4">
        <v>0</v>
      </c>
      <c r="F1089" s="4">
        <v>329724.40999999997</v>
      </c>
      <c r="G1089" s="4">
        <v>329724.40999999997</v>
      </c>
      <c r="H1089" s="5">
        <f>119 / 86400</f>
        <v>1.3773148148148147E-3</v>
      </c>
      <c r="I1089" t="s">
        <v>22</v>
      </c>
      <c r="J1089" t="s">
        <v>22</v>
      </c>
      <c r="K1089" s="5">
        <f>122 / 86400</f>
        <v>1.4120370370370369E-3</v>
      </c>
      <c r="L1089" s="5">
        <f>203 / 86400</f>
        <v>2.3495370370370371E-3</v>
      </c>
    </row>
    <row r="1090" spans="1:12" x14ac:dyDescent="0.25">
      <c r="A1090" s="3">
        <v>45708.788368055553</v>
      </c>
      <c r="B1090" t="s">
        <v>364</v>
      </c>
      <c r="C1090" s="3">
        <v>45708.973043981481</v>
      </c>
      <c r="D1090" t="s">
        <v>413</v>
      </c>
      <c r="E1090" s="4">
        <v>70.653999999999996</v>
      </c>
      <c r="F1090" s="4">
        <v>329724.40999999997</v>
      </c>
      <c r="G1090" s="4">
        <v>329795.06400000001</v>
      </c>
      <c r="H1090" s="5">
        <f>5883 / 86400</f>
        <v>6.8090277777777777E-2</v>
      </c>
      <c r="I1090" t="s">
        <v>113</v>
      </c>
      <c r="J1090" t="s">
        <v>49</v>
      </c>
      <c r="K1090" s="5">
        <f>15955 / 86400</f>
        <v>0.18466435185185184</v>
      </c>
      <c r="L1090" s="5">
        <f>437 / 86400</f>
        <v>5.0578703703703706E-3</v>
      </c>
    </row>
    <row r="1091" spans="1:12" x14ac:dyDescent="0.25">
      <c r="A1091" s="3">
        <v>45708.978101851855</v>
      </c>
      <c r="B1091" t="s">
        <v>413</v>
      </c>
      <c r="C1091" s="3">
        <v>45708.978865740741</v>
      </c>
      <c r="D1091" t="s">
        <v>413</v>
      </c>
      <c r="E1091" s="4">
        <v>2.1999999999999999E-2</v>
      </c>
      <c r="F1091" s="4">
        <v>329795.06400000001</v>
      </c>
      <c r="G1091" s="4">
        <v>329795.08600000001</v>
      </c>
      <c r="H1091" s="5">
        <f>40 / 86400</f>
        <v>4.6296296296296298E-4</v>
      </c>
      <c r="I1091" t="s">
        <v>145</v>
      </c>
      <c r="J1091" t="s">
        <v>145</v>
      </c>
      <c r="K1091" s="5">
        <f>65 / 86400</f>
        <v>7.5231481481481482E-4</v>
      </c>
      <c r="L1091" s="5">
        <f>169 / 86400</f>
        <v>1.9560185185185184E-3</v>
      </c>
    </row>
    <row r="1092" spans="1:12" x14ac:dyDescent="0.25">
      <c r="A1092" s="3">
        <v>45708.980821759258</v>
      </c>
      <c r="B1092" t="s">
        <v>413</v>
      </c>
      <c r="C1092" s="3">
        <v>45708.995925925927</v>
      </c>
      <c r="D1092" t="s">
        <v>27</v>
      </c>
      <c r="E1092" s="4">
        <v>10.602</v>
      </c>
      <c r="F1092" s="4">
        <v>329795.08600000001</v>
      </c>
      <c r="G1092" s="4">
        <v>329805.68800000002</v>
      </c>
      <c r="H1092" s="5">
        <f>240 / 86400</f>
        <v>2.7777777777777779E-3</v>
      </c>
      <c r="I1092" t="s">
        <v>177</v>
      </c>
      <c r="J1092" t="s">
        <v>217</v>
      </c>
      <c r="K1092" s="5">
        <f>1304 / 86400</f>
        <v>1.5092592592592593E-2</v>
      </c>
      <c r="L1092" s="5">
        <f>113 / 86400</f>
        <v>1.3078703703703703E-3</v>
      </c>
    </row>
    <row r="1093" spans="1:12" x14ac:dyDescent="0.25">
      <c r="A1093" s="3">
        <v>45708.997233796297</v>
      </c>
      <c r="B1093" t="s">
        <v>27</v>
      </c>
      <c r="C1093" s="3">
        <v>45708.997777777782</v>
      </c>
      <c r="D1093" t="s">
        <v>27</v>
      </c>
      <c r="E1093" s="4">
        <v>1.7000000000000001E-2</v>
      </c>
      <c r="F1093" s="4">
        <v>329805.68800000002</v>
      </c>
      <c r="G1093" s="4">
        <v>329805.70500000002</v>
      </c>
      <c r="H1093" s="5">
        <f>20 / 86400</f>
        <v>2.3148148148148149E-4</v>
      </c>
      <c r="I1093" t="s">
        <v>32</v>
      </c>
      <c r="J1093" t="s">
        <v>145</v>
      </c>
      <c r="K1093" s="5">
        <f>47 / 86400</f>
        <v>5.4398148148148144E-4</v>
      </c>
      <c r="L1093" s="5">
        <f>191 / 86400</f>
        <v>2.2106481481481482E-3</v>
      </c>
    </row>
    <row r="1094" spans="1:12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s="10" customFormat="1" ht="20.100000000000001" customHeight="1" x14ac:dyDescent="0.35">
      <c r="A1096" s="15" t="s">
        <v>506</v>
      </c>
      <c r="B1096" s="15"/>
      <c r="C1096" s="15"/>
      <c r="D1096" s="15"/>
      <c r="E1096" s="15"/>
      <c r="F1096" s="15"/>
      <c r="G1096" s="15"/>
      <c r="H1096" s="15"/>
      <c r="I1096" s="15"/>
      <c r="J1096" s="15"/>
    </row>
    <row r="1097" spans="1:12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</row>
    <row r="1098" spans="1:12" ht="30" x14ac:dyDescent="0.25">
      <c r="A1098" s="2" t="s">
        <v>6</v>
      </c>
      <c r="B1098" s="2" t="s">
        <v>7</v>
      </c>
      <c r="C1098" s="2" t="s">
        <v>8</v>
      </c>
      <c r="D1098" s="2" t="s">
        <v>9</v>
      </c>
      <c r="E1098" s="2" t="s">
        <v>10</v>
      </c>
      <c r="F1098" s="2" t="s">
        <v>11</v>
      </c>
      <c r="G1098" s="2" t="s">
        <v>12</v>
      </c>
      <c r="H1098" s="2" t="s">
        <v>13</v>
      </c>
      <c r="I1098" s="2" t="s">
        <v>14</v>
      </c>
      <c r="J1098" s="2" t="s">
        <v>15</v>
      </c>
      <c r="K1098" s="2" t="s">
        <v>16</v>
      </c>
      <c r="L1098" s="2" t="s">
        <v>17</v>
      </c>
    </row>
    <row r="1099" spans="1:12" x14ac:dyDescent="0.25">
      <c r="A1099" s="3">
        <v>45708.56958333333</v>
      </c>
      <c r="B1099" t="s">
        <v>27</v>
      </c>
      <c r="C1099" s="3">
        <v>45708.808715277773</v>
      </c>
      <c r="D1099" t="s">
        <v>83</v>
      </c>
      <c r="E1099" s="4">
        <v>82.149000000000001</v>
      </c>
      <c r="F1099" s="4">
        <v>361274.272</v>
      </c>
      <c r="G1099" s="4">
        <v>361356.42099999997</v>
      </c>
      <c r="H1099" s="5">
        <f>7562 / 86400</f>
        <v>8.7523148148148142E-2</v>
      </c>
      <c r="I1099" t="s">
        <v>43</v>
      </c>
      <c r="J1099" t="s">
        <v>58</v>
      </c>
      <c r="K1099" s="5">
        <f>20661 / 86400</f>
        <v>0.23913194444444444</v>
      </c>
      <c r="L1099" s="5">
        <f>49669 / 86400</f>
        <v>0.57487268518518519</v>
      </c>
    </row>
    <row r="1100" spans="1:12" x14ac:dyDescent="0.25">
      <c r="A1100" s="3">
        <v>45708.814004629632</v>
      </c>
      <c r="B1100" t="s">
        <v>83</v>
      </c>
      <c r="C1100" s="3">
        <v>45708.992164351846</v>
      </c>
      <c r="D1100" t="s">
        <v>27</v>
      </c>
      <c r="E1100" s="4">
        <v>74.933000000000007</v>
      </c>
      <c r="F1100" s="4">
        <v>361356.42099999997</v>
      </c>
      <c r="G1100" s="4">
        <v>361431.35399999999</v>
      </c>
      <c r="H1100" s="5">
        <f>5760 / 86400</f>
        <v>6.6666666666666666E-2</v>
      </c>
      <c r="I1100" t="s">
        <v>81</v>
      </c>
      <c r="J1100" t="s">
        <v>34</v>
      </c>
      <c r="K1100" s="5">
        <f>15392 / 86400</f>
        <v>0.17814814814814814</v>
      </c>
      <c r="L1100" s="5">
        <f>676 / 86400</f>
        <v>7.8240740740740736E-3</v>
      </c>
    </row>
    <row r="1101" spans="1:12" x14ac:dyDescent="0.2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</row>
    <row r="1102" spans="1:1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</row>
    <row r="1103" spans="1:12" s="10" customFormat="1" ht="20.100000000000001" customHeight="1" x14ac:dyDescent="0.35">
      <c r="A1103" s="15" t="s">
        <v>507</v>
      </c>
      <c r="B1103" s="15"/>
      <c r="C1103" s="15"/>
      <c r="D1103" s="15"/>
      <c r="E1103" s="15"/>
      <c r="F1103" s="15"/>
      <c r="G1103" s="15"/>
      <c r="H1103" s="15"/>
      <c r="I1103" s="15"/>
      <c r="J1103" s="15"/>
    </row>
    <row r="1104" spans="1:12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</row>
    <row r="1105" spans="1:12" ht="30" x14ac:dyDescent="0.25">
      <c r="A1105" s="2" t="s">
        <v>6</v>
      </c>
      <c r="B1105" s="2" t="s">
        <v>7</v>
      </c>
      <c r="C1105" s="2" t="s">
        <v>8</v>
      </c>
      <c r="D1105" s="2" t="s">
        <v>9</v>
      </c>
      <c r="E1105" s="2" t="s">
        <v>10</v>
      </c>
      <c r="F1105" s="2" t="s">
        <v>11</v>
      </c>
      <c r="G1105" s="2" t="s">
        <v>12</v>
      </c>
      <c r="H1105" s="2" t="s">
        <v>13</v>
      </c>
      <c r="I1105" s="2" t="s">
        <v>14</v>
      </c>
      <c r="J1105" s="2" t="s">
        <v>15</v>
      </c>
      <c r="K1105" s="2" t="s">
        <v>16</v>
      </c>
      <c r="L1105" s="2" t="s">
        <v>17</v>
      </c>
    </row>
    <row r="1106" spans="1:12" x14ac:dyDescent="0.25">
      <c r="A1106" s="3">
        <v>45708.276782407411</v>
      </c>
      <c r="B1106" t="s">
        <v>94</v>
      </c>
      <c r="C1106" s="3">
        <v>45708.308483796296</v>
      </c>
      <c r="D1106" t="s">
        <v>94</v>
      </c>
      <c r="E1106" s="4">
        <v>10.829000000000001</v>
      </c>
      <c r="F1106" s="4">
        <v>82397.595000000001</v>
      </c>
      <c r="G1106" s="4">
        <v>82408.423999999999</v>
      </c>
      <c r="H1106" s="5">
        <f>1060 / 86400</f>
        <v>1.2268518518518519E-2</v>
      </c>
      <c r="I1106" t="s">
        <v>96</v>
      </c>
      <c r="J1106" t="s">
        <v>58</v>
      </c>
      <c r="K1106" s="5">
        <f>2739 / 86400</f>
        <v>3.170138888888889E-2</v>
      </c>
      <c r="L1106" s="5">
        <f>73984 / 86400</f>
        <v>0.85629629629629633</v>
      </c>
    </row>
    <row r="1107" spans="1:12" x14ac:dyDescent="0.25">
      <c r="A1107" s="3">
        <v>45708.887997685189</v>
      </c>
      <c r="B1107" t="s">
        <v>94</v>
      </c>
      <c r="C1107" s="3">
        <v>45708.913854166662</v>
      </c>
      <c r="D1107" t="s">
        <v>95</v>
      </c>
      <c r="E1107" s="4">
        <v>2.351</v>
      </c>
      <c r="F1107" s="4">
        <v>82408.423999999999</v>
      </c>
      <c r="G1107" s="4">
        <v>82410.774999999994</v>
      </c>
      <c r="H1107" s="5">
        <f>1119 / 86400</f>
        <v>1.2951388888888889E-2</v>
      </c>
      <c r="I1107" t="s">
        <v>65</v>
      </c>
      <c r="J1107" t="s">
        <v>143</v>
      </c>
      <c r="K1107" s="5">
        <f>2234 / 86400</f>
        <v>2.585648148148148E-2</v>
      </c>
      <c r="L1107" s="5">
        <f>7442 / 86400</f>
        <v>8.6134259259259258E-2</v>
      </c>
    </row>
    <row r="1108" spans="1:12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</row>
    <row r="1109" spans="1:1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</row>
    <row r="1110" spans="1:12" s="10" customFormat="1" ht="20.100000000000001" customHeight="1" x14ac:dyDescent="0.35">
      <c r="A1110" s="15" t="s">
        <v>508</v>
      </c>
      <c r="B1110" s="15"/>
      <c r="C1110" s="15"/>
      <c r="D1110" s="15"/>
      <c r="E1110" s="15"/>
      <c r="F1110" s="15"/>
      <c r="G1110" s="15"/>
      <c r="H1110" s="15"/>
      <c r="I1110" s="15"/>
      <c r="J1110" s="15"/>
    </row>
    <row r="1111" spans="1:1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2" ht="30" x14ac:dyDescent="0.25">
      <c r="A1112" s="2" t="s">
        <v>6</v>
      </c>
      <c r="B1112" s="2" t="s">
        <v>7</v>
      </c>
      <c r="C1112" s="2" t="s">
        <v>8</v>
      </c>
      <c r="D1112" s="2" t="s">
        <v>9</v>
      </c>
      <c r="E1112" s="2" t="s">
        <v>10</v>
      </c>
      <c r="F1112" s="2" t="s">
        <v>11</v>
      </c>
      <c r="G1112" s="2" t="s">
        <v>12</v>
      </c>
      <c r="H1112" s="2" t="s">
        <v>13</v>
      </c>
      <c r="I1112" s="2" t="s">
        <v>14</v>
      </c>
      <c r="J1112" s="2" t="s">
        <v>15</v>
      </c>
      <c r="K1112" s="2" t="s">
        <v>16</v>
      </c>
      <c r="L1112" s="2" t="s">
        <v>17</v>
      </c>
    </row>
    <row r="1113" spans="1:12" x14ac:dyDescent="0.25">
      <c r="A1113" s="3">
        <v>45708.199988425928</v>
      </c>
      <c r="B1113" t="s">
        <v>41</v>
      </c>
      <c r="C1113" s="3">
        <v>45708.203148148154</v>
      </c>
      <c r="D1113" t="s">
        <v>395</v>
      </c>
      <c r="E1113" s="4">
        <v>0.59599999999999997</v>
      </c>
      <c r="F1113" s="4">
        <v>471094.86900000001</v>
      </c>
      <c r="G1113" s="4">
        <v>471095.46500000003</v>
      </c>
      <c r="H1113" s="5">
        <f>79 / 86400</f>
        <v>9.1435185185185185E-4</v>
      </c>
      <c r="I1113" t="s">
        <v>131</v>
      </c>
      <c r="J1113" t="s">
        <v>168</v>
      </c>
      <c r="K1113" s="5">
        <f>273 / 86400</f>
        <v>3.1597222222222222E-3</v>
      </c>
      <c r="L1113" s="5">
        <f>17625 / 86400</f>
        <v>0.20399305555555555</v>
      </c>
    </row>
    <row r="1114" spans="1:12" x14ac:dyDescent="0.25">
      <c r="A1114" s="3">
        <v>45708.207152777773</v>
      </c>
      <c r="B1114" t="s">
        <v>395</v>
      </c>
      <c r="C1114" s="3">
        <v>45708.207407407404</v>
      </c>
      <c r="D1114" t="s">
        <v>395</v>
      </c>
      <c r="E1114" s="4">
        <v>1.2E-2</v>
      </c>
      <c r="F1114" s="4">
        <v>471095.46500000003</v>
      </c>
      <c r="G1114" s="4">
        <v>471095.47700000001</v>
      </c>
      <c r="H1114" s="5">
        <f>0 / 86400</f>
        <v>0</v>
      </c>
      <c r="I1114" t="s">
        <v>143</v>
      </c>
      <c r="J1114" t="s">
        <v>136</v>
      </c>
      <c r="K1114" s="5">
        <f>21 / 86400</f>
        <v>2.4305555555555555E-4</v>
      </c>
      <c r="L1114" s="5">
        <f>116 / 86400</f>
        <v>1.3425925925925925E-3</v>
      </c>
    </row>
    <row r="1115" spans="1:12" x14ac:dyDescent="0.25">
      <c r="A1115" s="3">
        <v>45708.208750000005</v>
      </c>
      <c r="B1115" t="s">
        <v>395</v>
      </c>
      <c r="C1115" s="3">
        <v>45708.4605787037</v>
      </c>
      <c r="D1115" t="s">
        <v>149</v>
      </c>
      <c r="E1115" s="4">
        <v>101.52800000000001</v>
      </c>
      <c r="F1115" s="4">
        <v>471095.47700000001</v>
      </c>
      <c r="G1115" s="4">
        <v>471197.005</v>
      </c>
      <c r="H1115" s="5">
        <f>7571 / 86400</f>
        <v>8.7627314814814811E-2</v>
      </c>
      <c r="I1115" t="s">
        <v>52</v>
      </c>
      <c r="J1115" t="s">
        <v>20</v>
      </c>
      <c r="K1115" s="5">
        <f>21757 / 86400</f>
        <v>0.25181712962962965</v>
      </c>
      <c r="L1115" s="5">
        <f>2 / 86400</f>
        <v>2.3148148148148147E-5</v>
      </c>
    </row>
    <row r="1116" spans="1:12" x14ac:dyDescent="0.25">
      <c r="A1116" s="3">
        <v>45708.460601851853</v>
      </c>
      <c r="B1116" t="s">
        <v>149</v>
      </c>
      <c r="C1116" s="3">
        <v>45708.460648148146</v>
      </c>
      <c r="D1116" t="s">
        <v>149</v>
      </c>
      <c r="E1116" s="4">
        <v>0</v>
      </c>
      <c r="F1116" s="4">
        <v>471197.005</v>
      </c>
      <c r="G1116" s="4">
        <v>471197.005</v>
      </c>
      <c r="H1116" s="5">
        <f>0 / 86400</f>
        <v>0</v>
      </c>
      <c r="I1116" t="s">
        <v>22</v>
      </c>
      <c r="J1116" t="s">
        <v>22</v>
      </c>
      <c r="K1116" s="5">
        <f>4 / 86400</f>
        <v>4.6296296296296294E-5</v>
      </c>
      <c r="L1116" s="5">
        <f>694 / 86400</f>
        <v>8.0324074074074082E-3</v>
      </c>
    </row>
    <row r="1117" spans="1:12" x14ac:dyDescent="0.25">
      <c r="A1117" s="3">
        <v>45708.468680555554</v>
      </c>
      <c r="B1117" t="s">
        <v>149</v>
      </c>
      <c r="C1117" s="3">
        <v>45708.472314814819</v>
      </c>
      <c r="D1117" t="s">
        <v>83</v>
      </c>
      <c r="E1117" s="4">
        <v>1.3440000000000001</v>
      </c>
      <c r="F1117" s="4">
        <v>471197.005</v>
      </c>
      <c r="G1117" s="4">
        <v>471198.34899999999</v>
      </c>
      <c r="H1117" s="5">
        <f>59 / 86400</f>
        <v>6.8287037037037036E-4</v>
      </c>
      <c r="I1117" t="s">
        <v>31</v>
      </c>
      <c r="J1117" t="s">
        <v>44</v>
      </c>
      <c r="K1117" s="5">
        <f>314 / 86400</f>
        <v>3.6342592592592594E-3</v>
      </c>
      <c r="L1117" s="5">
        <f>194 / 86400</f>
        <v>2.2453703703703702E-3</v>
      </c>
    </row>
    <row r="1118" spans="1:12" x14ac:dyDescent="0.25">
      <c r="A1118" s="3">
        <v>45708.47456018519</v>
      </c>
      <c r="B1118" t="s">
        <v>83</v>
      </c>
      <c r="C1118" s="3">
        <v>45708.474745370375</v>
      </c>
      <c r="D1118" t="s">
        <v>83</v>
      </c>
      <c r="E1118" s="4">
        <v>5.0000000000000001E-3</v>
      </c>
      <c r="F1118" s="4">
        <v>471198.34899999999</v>
      </c>
      <c r="G1118" s="4">
        <v>471198.35399999999</v>
      </c>
      <c r="H1118" s="5">
        <f>0 / 86400</f>
        <v>0</v>
      </c>
      <c r="I1118" t="s">
        <v>55</v>
      </c>
      <c r="J1118" t="s">
        <v>145</v>
      </c>
      <c r="K1118" s="5">
        <f>16 / 86400</f>
        <v>1.8518518518518518E-4</v>
      </c>
      <c r="L1118" s="5">
        <f>467 / 86400</f>
        <v>5.4050925925925924E-3</v>
      </c>
    </row>
    <row r="1119" spans="1:12" x14ac:dyDescent="0.25">
      <c r="A1119" s="3">
        <v>45708.480150462958</v>
      </c>
      <c r="B1119" t="s">
        <v>83</v>
      </c>
      <c r="C1119" s="3">
        <v>45708.483518518522</v>
      </c>
      <c r="D1119" t="s">
        <v>121</v>
      </c>
      <c r="E1119" s="4">
        <v>0.98199999999999998</v>
      </c>
      <c r="F1119" s="4">
        <v>471198.35399999999</v>
      </c>
      <c r="G1119" s="4">
        <v>471199.33600000001</v>
      </c>
      <c r="H1119" s="5">
        <f>80 / 86400</f>
        <v>9.2592592592592596E-4</v>
      </c>
      <c r="I1119" t="s">
        <v>140</v>
      </c>
      <c r="J1119" t="s">
        <v>65</v>
      </c>
      <c r="K1119" s="5">
        <f>290 / 86400</f>
        <v>3.3564814814814816E-3</v>
      </c>
      <c r="L1119" s="5">
        <f>629 / 86400</f>
        <v>7.2800925925925923E-3</v>
      </c>
    </row>
    <row r="1120" spans="1:12" x14ac:dyDescent="0.25">
      <c r="A1120" s="3">
        <v>45708.490798611107</v>
      </c>
      <c r="B1120" t="s">
        <v>121</v>
      </c>
      <c r="C1120" s="3">
        <v>45708.4924537037</v>
      </c>
      <c r="D1120" t="s">
        <v>53</v>
      </c>
      <c r="E1120" s="4">
        <v>0.20100000000000001</v>
      </c>
      <c r="F1120" s="4">
        <v>471199.33600000001</v>
      </c>
      <c r="G1120" s="4">
        <v>471199.53700000001</v>
      </c>
      <c r="H1120" s="5">
        <f>39 / 86400</f>
        <v>4.5138888888888887E-4</v>
      </c>
      <c r="I1120" t="s">
        <v>44</v>
      </c>
      <c r="J1120" t="s">
        <v>55</v>
      </c>
      <c r="K1120" s="5">
        <f>143 / 86400</f>
        <v>1.6550925925925926E-3</v>
      </c>
      <c r="L1120" s="5">
        <f>633 / 86400</f>
        <v>7.3263888888888892E-3</v>
      </c>
    </row>
    <row r="1121" spans="1:12" x14ac:dyDescent="0.25">
      <c r="A1121" s="3">
        <v>45708.499780092592</v>
      </c>
      <c r="B1121" t="s">
        <v>53</v>
      </c>
      <c r="C1121" s="3">
        <v>45708.755381944444</v>
      </c>
      <c r="D1121" t="s">
        <v>83</v>
      </c>
      <c r="E1121" s="4">
        <v>93.816999999999993</v>
      </c>
      <c r="F1121" s="4">
        <v>471199.53700000001</v>
      </c>
      <c r="G1121" s="4">
        <v>471293.35399999999</v>
      </c>
      <c r="H1121" s="5">
        <f>9500 / 86400</f>
        <v>0.10995370370370371</v>
      </c>
      <c r="I1121" t="s">
        <v>61</v>
      </c>
      <c r="J1121" t="s">
        <v>44</v>
      </c>
      <c r="K1121" s="5">
        <f>22083 / 86400</f>
        <v>0.25559027777777776</v>
      </c>
      <c r="L1121" s="5">
        <f>490 / 86400</f>
        <v>5.6712962962962967E-3</v>
      </c>
    </row>
    <row r="1122" spans="1:12" x14ac:dyDescent="0.25">
      <c r="A1122" s="3">
        <v>45708.761053240742</v>
      </c>
      <c r="B1122" t="s">
        <v>83</v>
      </c>
      <c r="C1122" s="3">
        <v>45708.764432870375</v>
      </c>
      <c r="D1122" t="s">
        <v>41</v>
      </c>
      <c r="E1122" s="4">
        <v>1.032</v>
      </c>
      <c r="F1122" s="4">
        <v>471293.35399999999</v>
      </c>
      <c r="G1122" s="4">
        <v>471294.386</v>
      </c>
      <c r="H1122" s="5">
        <f>59 / 86400</f>
        <v>6.8287037037037036E-4</v>
      </c>
      <c r="I1122" t="s">
        <v>139</v>
      </c>
      <c r="J1122" t="s">
        <v>29</v>
      </c>
      <c r="K1122" s="5">
        <f>291 / 86400</f>
        <v>3.3680555555555556E-3</v>
      </c>
      <c r="L1122" s="5">
        <f>192 / 86400</f>
        <v>2.2222222222222222E-3</v>
      </c>
    </row>
    <row r="1123" spans="1:12" x14ac:dyDescent="0.25">
      <c r="A1123" s="3">
        <v>45708.766655092593</v>
      </c>
      <c r="B1123" t="s">
        <v>41</v>
      </c>
      <c r="C1123" s="3">
        <v>45708.770104166666</v>
      </c>
      <c r="D1123" t="s">
        <v>395</v>
      </c>
      <c r="E1123" s="4">
        <v>0.86099999999999999</v>
      </c>
      <c r="F1123" s="4">
        <v>471294.386</v>
      </c>
      <c r="G1123" s="4">
        <v>471295.24699999997</v>
      </c>
      <c r="H1123" s="5">
        <f>60 / 86400</f>
        <v>6.9444444444444447E-4</v>
      </c>
      <c r="I1123" t="s">
        <v>54</v>
      </c>
      <c r="J1123" t="s">
        <v>97</v>
      </c>
      <c r="K1123" s="5">
        <f>297 / 86400</f>
        <v>3.4375E-3</v>
      </c>
      <c r="L1123" s="5">
        <f>151 / 86400</f>
        <v>1.7476851851851852E-3</v>
      </c>
    </row>
    <row r="1124" spans="1:12" x14ac:dyDescent="0.25">
      <c r="A1124" s="3">
        <v>45708.771851851852</v>
      </c>
      <c r="B1124" t="s">
        <v>395</v>
      </c>
      <c r="C1124" s="3">
        <v>45708.772569444445</v>
      </c>
      <c r="D1124" t="s">
        <v>395</v>
      </c>
      <c r="E1124" s="4">
        <v>2E-3</v>
      </c>
      <c r="F1124" s="4">
        <v>471295.24699999997</v>
      </c>
      <c r="G1124" s="4">
        <v>471295.24900000001</v>
      </c>
      <c r="H1124" s="5">
        <f>59 / 86400</f>
        <v>6.8287037037037036E-4</v>
      </c>
      <c r="I1124" t="s">
        <v>22</v>
      </c>
      <c r="J1124" t="s">
        <v>22</v>
      </c>
      <c r="K1124" s="5">
        <f>61 / 86400</f>
        <v>7.0601851851851847E-4</v>
      </c>
      <c r="L1124" s="5">
        <f>470 / 86400</f>
        <v>5.4398148148148149E-3</v>
      </c>
    </row>
    <row r="1125" spans="1:12" x14ac:dyDescent="0.25">
      <c r="A1125" s="3">
        <v>45708.778009259258</v>
      </c>
      <c r="B1125" t="s">
        <v>395</v>
      </c>
      <c r="C1125" s="3">
        <v>45708.963113425925</v>
      </c>
      <c r="D1125" t="s">
        <v>114</v>
      </c>
      <c r="E1125" s="4">
        <v>93.989000000000004</v>
      </c>
      <c r="F1125" s="4">
        <v>471295.24900000001</v>
      </c>
      <c r="G1125" s="4">
        <v>471389.23800000001</v>
      </c>
      <c r="H1125" s="5">
        <f>4917 / 86400</f>
        <v>5.6909722222222223E-2</v>
      </c>
      <c r="I1125" t="s">
        <v>61</v>
      </c>
      <c r="J1125" t="s">
        <v>38</v>
      </c>
      <c r="K1125" s="5">
        <f>15993 / 86400</f>
        <v>0.18510416666666665</v>
      </c>
      <c r="L1125" s="5">
        <f>774 / 86400</f>
        <v>8.9583333333333338E-3</v>
      </c>
    </row>
    <row r="1126" spans="1:12" x14ac:dyDescent="0.25">
      <c r="A1126" s="3">
        <v>45708.972071759257</v>
      </c>
      <c r="B1126" t="s">
        <v>114</v>
      </c>
      <c r="C1126" s="3">
        <v>45708.973865740743</v>
      </c>
      <c r="D1126" t="s">
        <v>447</v>
      </c>
      <c r="E1126" s="4">
        <v>0.68300000000000005</v>
      </c>
      <c r="F1126" s="4">
        <v>471389.23800000001</v>
      </c>
      <c r="G1126" s="4">
        <v>471389.92099999997</v>
      </c>
      <c r="H1126" s="5">
        <f>20 / 86400</f>
        <v>2.3148148148148149E-4</v>
      </c>
      <c r="I1126" t="s">
        <v>250</v>
      </c>
      <c r="J1126" t="s">
        <v>49</v>
      </c>
      <c r="K1126" s="5">
        <f>155 / 86400</f>
        <v>1.7939814814814815E-3</v>
      </c>
      <c r="L1126" s="5">
        <f>289 / 86400</f>
        <v>3.3449074074074076E-3</v>
      </c>
    </row>
    <row r="1127" spans="1:12" x14ac:dyDescent="0.25">
      <c r="A1127" s="3">
        <v>45708.977210648147</v>
      </c>
      <c r="B1127" t="s">
        <v>447</v>
      </c>
      <c r="C1127" s="3">
        <v>45708.978831018518</v>
      </c>
      <c r="D1127" t="s">
        <v>41</v>
      </c>
      <c r="E1127" s="4">
        <v>0.18099999999999999</v>
      </c>
      <c r="F1127" s="4">
        <v>471389.92200000002</v>
      </c>
      <c r="G1127" s="4">
        <v>471390.103</v>
      </c>
      <c r="H1127" s="5">
        <f>40 / 86400</f>
        <v>4.6296296296296298E-4</v>
      </c>
      <c r="I1127" t="s">
        <v>97</v>
      </c>
      <c r="J1127" t="s">
        <v>55</v>
      </c>
      <c r="K1127" s="5">
        <f>140 / 86400</f>
        <v>1.6203703703703703E-3</v>
      </c>
      <c r="L1127" s="5">
        <f>1828 / 86400</f>
        <v>2.1157407407407406E-2</v>
      </c>
    </row>
    <row r="1128" spans="1:12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</row>
    <row r="1129" spans="1:12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</row>
    <row r="1130" spans="1:12" s="10" customFormat="1" ht="20.100000000000001" customHeight="1" x14ac:dyDescent="0.35">
      <c r="A1130" s="15" t="s">
        <v>509</v>
      </c>
      <c r="B1130" s="15"/>
      <c r="C1130" s="15"/>
      <c r="D1130" s="15"/>
      <c r="E1130" s="15"/>
      <c r="F1130" s="15"/>
      <c r="G1130" s="15"/>
      <c r="H1130" s="15"/>
      <c r="I1130" s="15"/>
      <c r="J1130" s="15"/>
    </row>
    <row r="1131" spans="1:1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</row>
    <row r="1132" spans="1:12" ht="30" x14ac:dyDescent="0.25">
      <c r="A1132" s="2" t="s">
        <v>6</v>
      </c>
      <c r="B1132" s="2" t="s">
        <v>7</v>
      </c>
      <c r="C1132" s="2" t="s">
        <v>8</v>
      </c>
      <c r="D1132" s="2" t="s">
        <v>9</v>
      </c>
      <c r="E1132" s="2" t="s">
        <v>10</v>
      </c>
      <c r="F1132" s="2" t="s">
        <v>11</v>
      </c>
      <c r="G1132" s="2" t="s">
        <v>12</v>
      </c>
      <c r="H1132" s="2" t="s">
        <v>13</v>
      </c>
      <c r="I1132" s="2" t="s">
        <v>14</v>
      </c>
      <c r="J1132" s="2" t="s">
        <v>15</v>
      </c>
      <c r="K1132" s="2" t="s">
        <v>16</v>
      </c>
      <c r="L1132" s="2" t="s">
        <v>17</v>
      </c>
    </row>
    <row r="1133" spans="1:12" x14ac:dyDescent="0.25">
      <c r="A1133" s="3">
        <v>45708.516423611116</v>
      </c>
      <c r="B1133" t="s">
        <v>98</v>
      </c>
      <c r="C1133" s="3">
        <v>45708.524247685185</v>
      </c>
      <c r="D1133" t="s">
        <v>98</v>
      </c>
      <c r="E1133" s="4">
        <v>0</v>
      </c>
      <c r="F1133" s="4">
        <v>428213.33600000001</v>
      </c>
      <c r="G1133" s="4">
        <v>428213.33600000001</v>
      </c>
      <c r="H1133" s="5">
        <f>659 / 86400</f>
        <v>7.6273148148148151E-3</v>
      </c>
      <c r="I1133" t="s">
        <v>22</v>
      </c>
      <c r="J1133" t="s">
        <v>22</v>
      </c>
      <c r="K1133" s="5">
        <f>676 / 86400</f>
        <v>7.8240740740740736E-3</v>
      </c>
      <c r="L1133" s="5">
        <f>44750 / 86400</f>
        <v>0.51793981481481477</v>
      </c>
    </row>
    <row r="1134" spans="1:12" x14ac:dyDescent="0.25">
      <c r="A1134" s="3">
        <v>45708.525763888887</v>
      </c>
      <c r="B1134" t="s">
        <v>98</v>
      </c>
      <c r="C1134" s="3">
        <v>45708.526041666672</v>
      </c>
      <c r="D1134" t="s">
        <v>98</v>
      </c>
      <c r="E1134" s="4">
        <v>0</v>
      </c>
      <c r="F1134" s="4">
        <v>428213.33600000001</v>
      </c>
      <c r="G1134" s="4">
        <v>428213.33600000001</v>
      </c>
      <c r="H1134" s="5">
        <f>19 / 86400</f>
        <v>2.199074074074074E-4</v>
      </c>
      <c r="I1134" t="s">
        <v>22</v>
      </c>
      <c r="J1134" t="s">
        <v>22</v>
      </c>
      <c r="K1134" s="5">
        <f>24 / 86400</f>
        <v>2.7777777777777778E-4</v>
      </c>
      <c r="L1134" s="5">
        <f>96 / 86400</f>
        <v>1.1111111111111111E-3</v>
      </c>
    </row>
    <row r="1135" spans="1:12" x14ac:dyDescent="0.25">
      <c r="A1135" s="3">
        <v>45708.52715277778</v>
      </c>
      <c r="B1135" t="s">
        <v>98</v>
      </c>
      <c r="C1135" s="3">
        <v>45708.529224537036</v>
      </c>
      <c r="D1135" t="s">
        <v>98</v>
      </c>
      <c r="E1135" s="4">
        <v>0</v>
      </c>
      <c r="F1135" s="4">
        <v>428213.33600000001</v>
      </c>
      <c r="G1135" s="4">
        <v>428213.33600000001</v>
      </c>
      <c r="H1135" s="5">
        <f>159 / 86400</f>
        <v>1.8402777777777777E-3</v>
      </c>
      <c r="I1135" t="s">
        <v>22</v>
      </c>
      <c r="J1135" t="s">
        <v>22</v>
      </c>
      <c r="K1135" s="5">
        <f>179 / 86400</f>
        <v>2.0717592592592593E-3</v>
      </c>
      <c r="L1135" s="5">
        <f>125 / 86400</f>
        <v>1.4467592592592592E-3</v>
      </c>
    </row>
    <row r="1136" spans="1:12" x14ac:dyDescent="0.25">
      <c r="A1136" s="3">
        <v>45708.530671296292</v>
      </c>
      <c r="B1136" t="s">
        <v>98</v>
      </c>
      <c r="C1136" s="3">
        <v>45708.619062500002</v>
      </c>
      <c r="D1136" t="s">
        <v>98</v>
      </c>
      <c r="E1136" s="4">
        <v>0</v>
      </c>
      <c r="F1136" s="4">
        <v>428213.33600000001</v>
      </c>
      <c r="G1136" s="4">
        <v>428213.33600000001</v>
      </c>
      <c r="H1136" s="5">
        <f>7619 / 86400</f>
        <v>8.818287037037037E-2</v>
      </c>
      <c r="I1136" t="s">
        <v>22</v>
      </c>
      <c r="J1136" t="s">
        <v>22</v>
      </c>
      <c r="K1136" s="5">
        <f>7637 / 86400</f>
        <v>8.8391203703703708E-2</v>
      </c>
      <c r="L1136" s="5">
        <f>14 / 86400</f>
        <v>1.6203703703703703E-4</v>
      </c>
    </row>
    <row r="1137" spans="1:12" x14ac:dyDescent="0.25">
      <c r="A1137" s="3">
        <v>45708.619224537033</v>
      </c>
      <c r="B1137" t="s">
        <v>98</v>
      </c>
      <c r="C1137" s="3">
        <v>45708.706979166665</v>
      </c>
      <c r="D1137" t="s">
        <v>98</v>
      </c>
      <c r="E1137" s="4">
        <v>0</v>
      </c>
      <c r="F1137" s="4">
        <v>428213.33600000001</v>
      </c>
      <c r="G1137" s="4">
        <v>428213.33600000001</v>
      </c>
      <c r="H1137" s="5">
        <f>7579 / 86400</f>
        <v>8.7719907407407413E-2</v>
      </c>
      <c r="I1137" t="s">
        <v>22</v>
      </c>
      <c r="J1137" t="s">
        <v>22</v>
      </c>
      <c r="K1137" s="5">
        <f>7581 / 86400</f>
        <v>8.774305555555556E-2</v>
      </c>
      <c r="L1137" s="5">
        <f>1 / 86400</f>
        <v>1.1574074074074073E-5</v>
      </c>
    </row>
    <row r="1138" spans="1:12" x14ac:dyDescent="0.25">
      <c r="A1138" s="3">
        <v>45708.706990740742</v>
      </c>
      <c r="B1138" t="s">
        <v>98</v>
      </c>
      <c r="C1138" s="3">
        <v>45708.70722222222</v>
      </c>
      <c r="D1138" t="s">
        <v>98</v>
      </c>
      <c r="E1138" s="4">
        <v>0</v>
      </c>
      <c r="F1138" s="4">
        <v>428213.33600000001</v>
      </c>
      <c r="G1138" s="4">
        <v>428213.33600000001</v>
      </c>
      <c r="H1138" s="5">
        <f>17 / 86400</f>
        <v>1.9675925925925926E-4</v>
      </c>
      <c r="I1138" t="s">
        <v>22</v>
      </c>
      <c r="J1138" t="s">
        <v>22</v>
      </c>
      <c r="K1138" s="5">
        <f>20 / 86400</f>
        <v>2.3148148148148149E-4</v>
      </c>
      <c r="L1138" s="5">
        <f>16 / 86400</f>
        <v>1.8518518518518518E-4</v>
      </c>
    </row>
    <row r="1139" spans="1:12" x14ac:dyDescent="0.25">
      <c r="A1139" s="3">
        <v>45708.707407407404</v>
      </c>
      <c r="B1139" t="s">
        <v>98</v>
      </c>
      <c r="C1139" s="3">
        <v>45708.707476851851</v>
      </c>
      <c r="D1139" t="s">
        <v>98</v>
      </c>
      <c r="E1139" s="4">
        <v>0</v>
      </c>
      <c r="F1139" s="4">
        <v>428213.33600000001</v>
      </c>
      <c r="G1139" s="4">
        <v>428213.33600000001</v>
      </c>
      <c r="H1139" s="5">
        <f>1 / 86400</f>
        <v>1.1574074074074073E-5</v>
      </c>
      <c r="I1139" t="s">
        <v>22</v>
      </c>
      <c r="J1139" t="s">
        <v>22</v>
      </c>
      <c r="K1139" s="5">
        <f>6 / 86400</f>
        <v>6.9444444444444444E-5</v>
      </c>
      <c r="L1139" s="5">
        <f>22 / 86400</f>
        <v>2.5462962962962961E-4</v>
      </c>
    </row>
    <row r="1140" spans="1:12" x14ac:dyDescent="0.25">
      <c r="A1140" s="3">
        <v>45708.707731481481</v>
      </c>
      <c r="B1140" t="s">
        <v>98</v>
      </c>
      <c r="C1140" s="3">
        <v>45708.707997685182</v>
      </c>
      <c r="D1140" t="s">
        <v>98</v>
      </c>
      <c r="E1140" s="4">
        <v>0</v>
      </c>
      <c r="F1140" s="4">
        <v>428213.33600000001</v>
      </c>
      <c r="G1140" s="4">
        <v>428213.33600000001</v>
      </c>
      <c r="H1140" s="5">
        <f>19 / 86400</f>
        <v>2.199074074074074E-4</v>
      </c>
      <c r="I1140" t="s">
        <v>22</v>
      </c>
      <c r="J1140" t="s">
        <v>22</v>
      </c>
      <c r="K1140" s="5">
        <f>23 / 86400</f>
        <v>2.6620370370370372E-4</v>
      </c>
      <c r="L1140" s="5">
        <f>20 / 86400</f>
        <v>2.3148148148148149E-4</v>
      </c>
    </row>
    <row r="1141" spans="1:12" x14ac:dyDescent="0.25">
      <c r="A1141" s="3">
        <v>45708.708229166667</v>
      </c>
      <c r="B1141" t="s">
        <v>98</v>
      </c>
      <c r="C1141" s="3">
        <v>45708.708518518513</v>
      </c>
      <c r="D1141" t="s">
        <v>98</v>
      </c>
      <c r="E1141" s="4">
        <v>0</v>
      </c>
      <c r="F1141" s="4">
        <v>428213.33600000001</v>
      </c>
      <c r="G1141" s="4">
        <v>428213.33600000001</v>
      </c>
      <c r="H1141" s="5">
        <f>19 / 86400</f>
        <v>2.199074074074074E-4</v>
      </c>
      <c r="I1141" t="s">
        <v>22</v>
      </c>
      <c r="J1141" t="s">
        <v>22</v>
      </c>
      <c r="K1141" s="5">
        <f>25 / 86400</f>
        <v>2.8935185185185184E-4</v>
      </c>
      <c r="L1141" s="5">
        <f>11 / 86400</f>
        <v>1.273148148148148E-4</v>
      </c>
    </row>
    <row r="1142" spans="1:12" x14ac:dyDescent="0.25">
      <c r="A1142" s="3">
        <v>45708.708645833336</v>
      </c>
      <c r="B1142" t="s">
        <v>98</v>
      </c>
      <c r="C1142" s="3">
        <v>45708.708738425921</v>
      </c>
      <c r="D1142" t="s">
        <v>98</v>
      </c>
      <c r="E1142" s="4">
        <v>0</v>
      </c>
      <c r="F1142" s="4">
        <v>428213.33600000001</v>
      </c>
      <c r="G1142" s="4">
        <v>428213.33600000001</v>
      </c>
      <c r="H1142" s="5">
        <f>3 / 86400</f>
        <v>3.4722222222222222E-5</v>
      </c>
      <c r="I1142" t="s">
        <v>22</v>
      </c>
      <c r="J1142" t="s">
        <v>22</v>
      </c>
      <c r="K1142" s="5">
        <f>8 / 86400</f>
        <v>9.2592592592592588E-5</v>
      </c>
      <c r="L1142" s="5">
        <f>6 / 86400</f>
        <v>6.9444444444444444E-5</v>
      </c>
    </row>
    <row r="1143" spans="1:12" x14ac:dyDescent="0.25">
      <c r="A1143" s="3">
        <v>45708.708807870367</v>
      </c>
      <c r="B1143" t="s">
        <v>98</v>
      </c>
      <c r="C1143" s="3">
        <v>45708.742997685185</v>
      </c>
      <c r="D1143" t="s">
        <v>98</v>
      </c>
      <c r="E1143" s="4">
        <v>0</v>
      </c>
      <c r="F1143" s="4">
        <v>428213.33600000001</v>
      </c>
      <c r="G1143" s="4">
        <v>428213.33600000001</v>
      </c>
      <c r="H1143" s="5">
        <f>2950 / 86400</f>
        <v>3.4143518518518517E-2</v>
      </c>
      <c r="I1143" t="s">
        <v>22</v>
      </c>
      <c r="J1143" t="s">
        <v>22</v>
      </c>
      <c r="K1143" s="5">
        <f>2954 / 86400</f>
        <v>3.4189814814814812E-2</v>
      </c>
      <c r="L1143" s="5">
        <f>3 / 86400</f>
        <v>3.4722222222222222E-5</v>
      </c>
    </row>
    <row r="1144" spans="1:12" x14ac:dyDescent="0.25">
      <c r="A1144" s="3">
        <v>45708.743032407408</v>
      </c>
      <c r="B1144" t="s">
        <v>98</v>
      </c>
      <c r="C1144" s="3">
        <v>45708.743101851855</v>
      </c>
      <c r="D1144" t="s">
        <v>98</v>
      </c>
      <c r="E1144" s="4">
        <v>0</v>
      </c>
      <c r="F1144" s="4">
        <v>428213.33600000001</v>
      </c>
      <c r="G1144" s="4">
        <v>428213.33600000001</v>
      </c>
      <c r="H1144" s="5">
        <f t="shared" ref="H1144:H1149" si="10">0 / 86400</f>
        <v>0</v>
      </c>
      <c r="I1144" t="s">
        <v>22</v>
      </c>
      <c r="J1144" t="s">
        <v>22</v>
      </c>
      <c r="K1144" s="5">
        <f>6 / 86400</f>
        <v>6.9444444444444444E-5</v>
      </c>
      <c r="L1144" s="5">
        <f>17 / 86400</f>
        <v>1.9675925925925926E-4</v>
      </c>
    </row>
    <row r="1145" spans="1:12" x14ac:dyDescent="0.25">
      <c r="A1145" s="3">
        <v>45708.743298611109</v>
      </c>
      <c r="B1145" t="s">
        <v>98</v>
      </c>
      <c r="C1145" s="3">
        <v>45708.743414351848</v>
      </c>
      <c r="D1145" t="s">
        <v>98</v>
      </c>
      <c r="E1145" s="4">
        <v>0</v>
      </c>
      <c r="F1145" s="4">
        <v>428213.33600000001</v>
      </c>
      <c r="G1145" s="4">
        <v>428213.33600000001</v>
      </c>
      <c r="H1145" s="5">
        <f t="shared" si="10"/>
        <v>0</v>
      </c>
      <c r="I1145" t="s">
        <v>22</v>
      </c>
      <c r="J1145" t="s">
        <v>22</v>
      </c>
      <c r="K1145" s="5">
        <f>9 / 86400</f>
        <v>1.0416666666666667E-4</v>
      </c>
      <c r="L1145" s="5">
        <f>11 / 86400</f>
        <v>1.273148148148148E-4</v>
      </c>
    </row>
    <row r="1146" spans="1:12" x14ac:dyDescent="0.25">
      <c r="A1146" s="3">
        <v>45708.74354166667</v>
      </c>
      <c r="B1146" t="s">
        <v>98</v>
      </c>
      <c r="C1146" s="3">
        <v>45708.743726851855</v>
      </c>
      <c r="D1146" t="s">
        <v>98</v>
      </c>
      <c r="E1146" s="4">
        <v>0</v>
      </c>
      <c r="F1146" s="4">
        <v>428213.33600000001</v>
      </c>
      <c r="G1146" s="4">
        <v>428213.33600000001</v>
      </c>
      <c r="H1146" s="5">
        <f t="shared" si="10"/>
        <v>0</v>
      </c>
      <c r="I1146" t="s">
        <v>22</v>
      </c>
      <c r="J1146" t="s">
        <v>22</v>
      </c>
      <c r="K1146" s="5">
        <f>15 / 86400</f>
        <v>1.7361111111111112E-4</v>
      </c>
      <c r="L1146" s="5">
        <f>37 / 86400</f>
        <v>4.2824074074074075E-4</v>
      </c>
    </row>
    <row r="1147" spans="1:12" x14ac:dyDescent="0.25">
      <c r="A1147" s="3">
        <v>45708.744155092594</v>
      </c>
      <c r="B1147" t="s">
        <v>98</v>
      </c>
      <c r="C1147" s="3">
        <v>45708.744351851856</v>
      </c>
      <c r="D1147" t="s">
        <v>98</v>
      </c>
      <c r="E1147" s="4">
        <v>0</v>
      </c>
      <c r="F1147" s="4">
        <v>428213.33600000001</v>
      </c>
      <c r="G1147" s="4">
        <v>428213.33600000001</v>
      </c>
      <c r="H1147" s="5">
        <f t="shared" si="10"/>
        <v>0</v>
      </c>
      <c r="I1147" t="s">
        <v>22</v>
      </c>
      <c r="J1147" t="s">
        <v>22</v>
      </c>
      <c r="K1147" s="5">
        <f>16 / 86400</f>
        <v>1.8518518518518518E-4</v>
      </c>
      <c r="L1147" s="5">
        <f>22 / 86400</f>
        <v>2.5462962962962961E-4</v>
      </c>
    </row>
    <row r="1148" spans="1:12" x14ac:dyDescent="0.25">
      <c r="A1148" s="3">
        <v>45708.744606481487</v>
      </c>
      <c r="B1148" t="s">
        <v>98</v>
      </c>
      <c r="C1148" s="3">
        <v>45708.744675925926</v>
      </c>
      <c r="D1148" t="s">
        <v>98</v>
      </c>
      <c r="E1148" s="4">
        <v>0</v>
      </c>
      <c r="F1148" s="4">
        <v>428213.33600000001</v>
      </c>
      <c r="G1148" s="4">
        <v>428213.33600000001</v>
      </c>
      <c r="H1148" s="5">
        <f t="shared" si="10"/>
        <v>0</v>
      </c>
      <c r="I1148" t="s">
        <v>22</v>
      </c>
      <c r="J1148" t="s">
        <v>22</v>
      </c>
      <c r="K1148" s="5">
        <f>5 / 86400</f>
        <v>5.7870370370370373E-5</v>
      </c>
      <c r="L1148" s="5">
        <f>14 / 86400</f>
        <v>1.6203703703703703E-4</v>
      </c>
    </row>
    <row r="1149" spans="1:12" x14ac:dyDescent="0.25">
      <c r="A1149" s="3">
        <v>45708.744837962964</v>
      </c>
      <c r="B1149" t="s">
        <v>98</v>
      </c>
      <c r="C1149" s="3">
        <v>45708.744953703703</v>
      </c>
      <c r="D1149" t="s">
        <v>98</v>
      </c>
      <c r="E1149" s="4">
        <v>0</v>
      </c>
      <c r="F1149" s="4">
        <v>428213.33600000001</v>
      </c>
      <c r="G1149" s="4">
        <v>428213.33600000001</v>
      </c>
      <c r="H1149" s="5">
        <f t="shared" si="10"/>
        <v>0</v>
      </c>
      <c r="I1149" t="s">
        <v>22</v>
      </c>
      <c r="J1149" t="s">
        <v>22</v>
      </c>
      <c r="K1149" s="5">
        <f>9 / 86400</f>
        <v>1.0416666666666667E-4</v>
      </c>
      <c r="L1149" s="5">
        <f>17 / 86400</f>
        <v>1.9675925925925926E-4</v>
      </c>
    </row>
    <row r="1150" spans="1:12" x14ac:dyDescent="0.25">
      <c r="A1150" s="3">
        <v>45708.745150462964</v>
      </c>
      <c r="B1150" t="s">
        <v>98</v>
      </c>
      <c r="C1150" s="3">
        <v>45708.745393518519</v>
      </c>
      <c r="D1150" t="s">
        <v>98</v>
      </c>
      <c r="E1150" s="4">
        <v>0</v>
      </c>
      <c r="F1150" s="4">
        <v>428213.33600000001</v>
      </c>
      <c r="G1150" s="4">
        <v>428213.33600000001</v>
      </c>
      <c r="H1150" s="5">
        <f>19 / 86400</f>
        <v>2.199074074074074E-4</v>
      </c>
      <c r="I1150" t="s">
        <v>22</v>
      </c>
      <c r="J1150" t="s">
        <v>22</v>
      </c>
      <c r="K1150" s="5">
        <f>20 / 86400</f>
        <v>2.3148148148148149E-4</v>
      </c>
      <c r="L1150" s="5">
        <f>4 / 86400</f>
        <v>4.6296296296296294E-5</v>
      </c>
    </row>
    <row r="1151" spans="1:12" x14ac:dyDescent="0.25">
      <c r="A1151" s="3">
        <v>45708.745439814811</v>
      </c>
      <c r="B1151" t="s">
        <v>98</v>
      </c>
      <c r="C1151" s="3">
        <v>45708.746319444443</v>
      </c>
      <c r="D1151" t="s">
        <v>98</v>
      </c>
      <c r="E1151" s="4">
        <v>0</v>
      </c>
      <c r="F1151" s="4">
        <v>428213.33600000001</v>
      </c>
      <c r="G1151" s="4">
        <v>428213.33600000001</v>
      </c>
      <c r="H1151" s="5">
        <f>75 / 86400</f>
        <v>8.6805555555555551E-4</v>
      </c>
      <c r="I1151" t="s">
        <v>22</v>
      </c>
      <c r="J1151" t="s">
        <v>22</v>
      </c>
      <c r="K1151" s="5">
        <f>76 / 86400</f>
        <v>8.7962962962962962E-4</v>
      </c>
      <c r="L1151" s="5">
        <f>30 / 86400</f>
        <v>3.4722222222222224E-4</v>
      </c>
    </row>
    <row r="1152" spans="1:12" x14ac:dyDescent="0.25">
      <c r="A1152" s="3">
        <v>45708.746666666666</v>
      </c>
      <c r="B1152" t="s">
        <v>98</v>
      </c>
      <c r="C1152" s="3">
        <v>45708.792905092589</v>
      </c>
      <c r="D1152" t="s">
        <v>98</v>
      </c>
      <c r="E1152" s="4">
        <v>0</v>
      </c>
      <c r="F1152" s="4">
        <v>428213.33600000001</v>
      </c>
      <c r="G1152" s="4">
        <v>428213.33600000001</v>
      </c>
      <c r="H1152" s="5">
        <f>3989 / 86400</f>
        <v>4.6168981481481484E-2</v>
      </c>
      <c r="I1152" t="s">
        <v>22</v>
      </c>
      <c r="J1152" t="s">
        <v>22</v>
      </c>
      <c r="K1152" s="5">
        <f>3995 / 86400</f>
        <v>4.6238425925925926E-2</v>
      </c>
      <c r="L1152" s="5">
        <f>216 / 86400</f>
        <v>2.5000000000000001E-3</v>
      </c>
    </row>
    <row r="1153" spans="1:12" x14ac:dyDescent="0.25">
      <c r="A1153" s="3">
        <v>45708.795405092591</v>
      </c>
      <c r="B1153" t="s">
        <v>98</v>
      </c>
      <c r="C1153" s="3">
        <v>45708.795578703706</v>
      </c>
      <c r="D1153" t="s">
        <v>98</v>
      </c>
      <c r="E1153" s="4">
        <v>0</v>
      </c>
      <c r="F1153" s="4">
        <v>428213.33600000001</v>
      </c>
      <c r="G1153" s="4">
        <v>428213.33600000001</v>
      </c>
      <c r="H1153" s="5">
        <f>0 / 86400</f>
        <v>0</v>
      </c>
      <c r="I1153" t="s">
        <v>22</v>
      </c>
      <c r="J1153" t="s">
        <v>22</v>
      </c>
      <c r="K1153" s="5">
        <f>14 / 86400</f>
        <v>1.6203703703703703E-4</v>
      </c>
      <c r="L1153" s="5">
        <f>316 / 86400</f>
        <v>3.6574074074074074E-3</v>
      </c>
    </row>
    <row r="1154" spans="1:12" x14ac:dyDescent="0.25">
      <c r="A1154" s="3">
        <v>45708.79923611111</v>
      </c>
      <c r="B1154" t="s">
        <v>98</v>
      </c>
      <c r="C1154" s="3">
        <v>45708.800625000003</v>
      </c>
      <c r="D1154" t="s">
        <v>98</v>
      </c>
      <c r="E1154" s="4">
        <v>0</v>
      </c>
      <c r="F1154" s="4">
        <v>428213.33600000001</v>
      </c>
      <c r="G1154" s="4">
        <v>428213.33600000001</v>
      </c>
      <c r="H1154" s="5">
        <f>99 / 86400</f>
        <v>1.1458333333333333E-3</v>
      </c>
      <c r="I1154" t="s">
        <v>22</v>
      </c>
      <c r="J1154" t="s">
        <v>22</v>
      </c>
      <c r="K1154" s="5">
        <f>119 / 86400</f>
        <v>1.3773148148148147E-3</v>
      </c>
      <c r="L1154" s="5">
        <f>168 / 86400</f>
        <v>1.9444444444444444E-3</v>
      </c>
    </row>
    <row r="1155" spans="1:12" x14ac:dyDescent="0.25">
      <c r="A1155" s="3">
        <v>45708.802569444444</v>
      </c>
      <c r="B1155" t="s">
        <v>98</v>
      </c>
      <c r="C1155" s="3">
        <v>45708.806828703702</v>
      </c>
      <c r="D1155" t="s">
        <v>98</v>
      </c>
      <c r="E1155" s="4">
        <v>0</v>
      </c>
      <c r="F1155" s="4">
        <v>428213.33600000001</v>
      </c>
      <c r="G1155" s="4">
        <v>428213.33600000001</v>
      </c>
      <c r="H1155" s="5">
        <f>359 / 86400</f>
        <v>4.1550925925925922E-3</v>
      </c>
      <c r="I1155" t="s">
        <v>22</v>
      </c>
      <c r="J1155" t="s">
        <v>22</v>
      </c>
      <c r="K1155" s="5">
        <f>368 / 86400</f>
        <v>4.2592592592592595E-3</v>
      </c>
      <c r="L1155" s="5">
        <f>38 / 86400</f>
        <v>4.3981481481481481E-4</v>
      </c>
    </row>
    <row r="1156" spans="1:12" x14ac:dyDescent="0.25">
      <c r="A1156" s="3">
        <v>45708.807268518518</v>
      </c>
      <c r="B1156" t="s">
        <v>98</v>
      </c>
      <c r="C1156" s="3">
        <v>45708.813831018517</v>
      </c>
      <c r="D1156" t="s">
        <v>98</v>
      </c>
      <c r="E1156" s="4">
        <v>0</v>
      </c>
      <c r="F1156" s="4">
        <v>428213.33600000001</v>
      </c>
      <c r="G1156" s="4">
        <v>428213.33600000001</v>
      </c>
      <c r="H1156" s="5">
        <f>559 / 86400</f>
        <v>6.4699074074074077E-3</v>
      </c>
      <c r="I1156" t="s">
        <v>22</v>
      </c>
      <c r="J1156" t="s">
        <v>22</v>
      </c>
      <c r="K1156" s="5">
        <f>567 / 86400</f>
        <v>6.5624999999999998E-3</v>
      </c>
      <c r="L1156" s="5">
        <f>16084 / 86400</f>
        <v>0.18615740740740741</v>
      </c>
    </row>
    <row r="1157" spans="1:12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</row>
    <row r="1158" spans="1:1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</row>
    <row r="1159" spans="1:12" s="10" customFormat="1" ht="20.100000000000001" customHeight="1" x14ac:dyDescent="0.35">
      <c r="A1159" s="15" t="s">
        <v>510</v>
      </c>
      <c r="B1159" s="15"/>
      <c r="C1159" s="15"/>
      <c r="D1159" s="15"/>
      <c r="E1159" s="15"/>
      <c r="F1159" s="15"/>
      <c r="G1159" s="15"/>
      <c r="H1159" s="15"/>
      <c r="I1159" s="15"/>
      <c r="J1159" s="15"/>
    </row>
    <row r="1160" spans="1:12" x14ac:dyDescent="0.2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</row>
    <row r="1161" spans="1:12" ht="30" x14ac:dyDescent="0.25">
      <c r="A1161" s="2" t="s">
        <v>6</v>
      </c>
      <c r="B1161" s="2" t="s">
        <v>7</v>
      </c>
      <c r="C1161" s="2" t="s">
        <v>8</v>
      </c>
      <c r="D1161" s="2" t="s">
        <v>9</v>
      </c>
      <c r="E1161" s="2" t="s">
        <v>10</v>
      </c>
      <c r="F1161" s="2" t="s">
        <v>11</v>
      </c>
      <c r="G1161" s="2" t="s">
        <v>12</v>
      </c>
      <c r="H1161" s="2" t="s">
        <v>13</v>
      </c>
      <c r="I1161" s="2" t="s">
        <v>14</v>
      </c>
      <c r="J1161" s="2" t="s">
        <v>15</v>
      </c>
      <c r="K1161" s="2" t="s">
        <v>16</v>
      </c>
      <c r="L1161" s="2" t="s">
        <v>17</v>
      </c>
    </row>
    <row r="1162" spans="1:12" x14ac:dyDescent="0.25">
      <c r="A1162" s="3">
        <v>45708.160138888888</v>
      </c>
      <c r="B1162" t="s">
        <v>27</v>
      </c>
      <c r="C1162" s="3">
        <v>45708.210104166668</v>
      </c>
      <c r="D1162" t="s">
        <v>448</v>
      </c>
      <c r="E1162" s="4">
        <v>36.371000000000002</v>
      </c>
      <c r="F1162" s="4">
        <v>576599.99800000002</v>
      </c>
      <c r="G1162" s="4">
        <v>576636.36899999995</v>
      </c>
      <c r="H1162" s="5">
        <f>739 / 86400</f>
        <v>8.5532407407407415E-3</v>
      </c>
      <c r="I1162" t="s">
        <v>67</v>
      </c>
      <c r="J1162" t="s">
        <v>54</v>
      </c>
      <c r="K1162" s="5">
        <f>4317 / 86400</f>
        <v>4.9965277777777775E-2</v>
      </c>
      <c r="L1162" s="5">
        <f>14058 / 86400</f>
        <v>0.16270833333333334</v>
      </c>
    </row>
    <row r="1163" spans="1:12" x14ac:dyDescent="0.25">
      <c r="A1163" s="3">
        <v>45708.212673611109</v>
      </c>
      <c r="B1163" t="s">
        <v>448</v>
      </c>
      <c r="C1163" s="3">
        <v>45708.218252314815</v>
      </c>
      <c r="D1163" t="s">
        <v>448</v>
      </c>
      <c r="E1163" s="4">
        <v>0</v>
      </c>
      <c r="F1163" s="4">
        <v>576636.36899999995</v>
      </c>
      <c r="G1163" s="4">
        <v>576636.36899999995</v>
      </c>
      <c r="H1163" s="5">
        <f>479 / 86400</f>
        <v>5.5439814814814813E-3</v>
      </c>
      <c r="I1163" t="s">
        <v>22</v>
      </c>
      <c r="J1163" t="s">
        <v>22</v>
      </c>
      <c r="K1163" s="5">
        <f>482 / 86400</f>
        <v>5.5787037037037038E-3</v>
      </c>
      <c r="L1163" s="5">
        <f>2493 / 86400</f>
        <v>2.8854166666666667E-2</v>
      </c>
    </row>
    <row r="1164" spans="1:12" x14ac:dyDescent="0.25">
      <c r="A1164" s="3">
        <v>45708.247106481482</v>
      </c>
      <c r="B1164" t="s">
        <v>448</v>
      </c>
      <c r="C1164" s="3">
        <v>45708.255127314813</v>
      </c>
      <c r="D1164" t="s">
        <v>449</v>
      </c>
      <c r="E1164" s="4">
        <v>1.28</v>
      </c>
      <c r="F1164" s="4">
        <v>576636.36899999995</v>
      </c>
      <c r="G1164" s="4">
        <v>576637.64899999998</v>
      </c>
      <c r="H1164" s="5">
        <f>239 / 86400</f>
        <v>2.7662037037037039E-3</v>
      </c>
      <c r="I1164" t="s">
        <v>178</v>
      </c>
      <c r="J1164" t="s">
        <v>26</v>
      </c>
      <c r="K1164" s="5">
        <f>692 / 86400</f>
        <v>8.0092592592592594E-3</v>
      </c>
      <c r="L1164" s="5">
        <f>1715 / 86400</f>
        <v>1.9849537037037037E-2</v>
      </c>
    </row>
    <row r="1165" spans="1:12" x14ac:dyDescent="0.25">
      <c r="A1165" s="3">
        <v>45708.274976851855</v>
      </c>
      <c r="B1165" t="s">
        <v>449</v>
      </c>
      <c r="C1165" s="3">
        <v>45708.346134259264</v>
      </c>
      <c r="D1165" t="s">
        <v>27</v>
      </c>
      <c r="E1165" s="4">
        <v>35.645000000000003</v>
      </c>
      <c r="F1165" s="4">
        <v>576637.64899999998</v>
      </c>
      <c r="G1165" s="4">
        <v>576673.29399999999</v>
      </c>
      <c r="H1165" s="5">
        <f>1818 / 86400</f>
        <v>2.1041666666666667E-2</v>
      </c>
      <c r="I1165" t="s">
        <v>99</v>
      </c>
      <c r="J1165" t="s">
        <v>38</v>
      </c>
      <c r="K1165" s="5">
        <f>6147 / 86400</f>
        <v>7.1145833333333339E-2</v>
      </c>
      <c r="L1165" s="5">
        <f>5009 / 86400</f>
        <v>5.797453703703704E-2</v>
      </c>
    </row>
    <row r="1166" spans="1:12" x14ac:dyDescent="0.25">
      <c r="A1166" s="3">
        <v>45708.404108796298</v>
      </c>
      <c r="B1166" t="s">
        <v>27</v>
      </c>
      <c r="C1166" s="3">
        <v>45708.409224537041</v>
      </c>
      <c r="D1166" t="s">
        <v>141</v>
      </c>
      <c r="E1166" s="4">
        <v>1.722</v>
      </c>
      <c r="F1166" s="4">
        <v>576673.29399999999</v>
      </c>
      <c r="G1166" s="4">
        <v>576675.01599999995</v>
      </c>
      <c r="H1166" s="5">
        <f>40 / 86400</f>
        <v>4.6296296296296298E-4</v>
      </c>
      <c r="I1166" t="s">
        <v>250</v>
      </c>
      <c r="J1166" t="s">
        <v>58</v>
      </c>
      <c r="K1166" s="5">
        <f>441 / 86400</f>
        <v>5.1041666666666666E-3</v>
      </c>
      <c r="L1166" s="5">
        <f>188 / 86400</f>
        <v>2.1759259259259258E-3</v>
      </c>
    </row>
    <row r="1167" spans="1:12" x14ac:dyDescent="0.25">
      <c r="A1167" s="3">
        <v>45708.411400462966</v>
      </c>
      <c r="B1167" t="s">
        <v>141</v>
      </c>
      <c r="C1167" s="3">
        <v>45708.414722222224</v>
      </c>
      <c r="D1167" t="s">
        <v>141</v>
      </c>
      <c r="E1167" s="4">
        <v>1.7999999999999999E-2</v>
      </c>
      <c r="F1167" s="4">
        <v>576675.01599999995</v>
      </c>
      <c r="G1167" s="4">
        <v>576675.03399999999</v>
      </c>
      <c r="H1167" s="5">
        <f>259 / 86400</f>
        <v>2.9976851851851853E-3</v>
      </c>
      <c r="I1167" t="s">
        <v>135</v>
      </c>
      <c r="J1167" t="s">
        <v>22</v>
      </c>
      <c r="K1167" s="5">
        <f>286 / 86400</f>
        <v>3.3101851851851851E-3</v>
      </c>
      <c r="L1167" s="5">
        <f>12341 / 86400</f>
        <v>0.14283564814814814</v>
      </c>
    </row>
    <row r="1168" spans="1:12" x14ac:dyDescent="0.25">
      <c r="A1168" s="3">
        <v>45708.557557870372</v>
      </c>
      <c r="B1168" t="s">
        <v>141</v>
      </c>
      <c r="C1168" s="3">
        <v>45708.559513888889</v>
      </c>
      <c r="D1168" t="s">
        <v>141</v>
      </c>
      <c r="E1168" s="4">
        <v>3.3000000000000002E-2</v>
      </c>
      <c r="F1168" s="4">
        <v>576675.03399999999</v>
      </c>
      <c r="G1168" s="4">
        <v>576675.06700000004</v>
      </c>
      <c r="H1168" s="5">
        <f>79 / 86400</f>
        <v>9.1435185185185185E-4</v>
      </c>
      <c r="I1168" t="s">
        <v>136</v>
      </c>
      <c r="J1168" t="s">
        <v>145</v>
      </c>
      <c r="K1168" s="5">
        <f>169 / 86400</f>
        <v>1.9560185185185184E-3</v>
      </c>
      <c r="L1168" s="5">
        <f>4670 / 86400</f>
        <v>5.4050925925925926E-2</v>
      </c>
    </row>
    <row r="1169" spans="1:12" x14ac:dyDescent="0.25">
      <c r="A1169" s="3">
        <v>45708.613564814819</v>
      </c>
      <c r="B1169" t="s">
        <v>141</v>
      </c>
      <c r="C1169" s="3">
        <v>45708.625219907408</v>
      </c>
      <c r="D1169" t="s">
        <v>27</v>
      </c>
      <c r="E1169" s="4">
        <v>2.3439999999999999</v>
      </c>
      <c r="F1169" s="4">
        <v>576675.06700000004</v>
      </c>
      <c r="G1169" s="4">
        <v>576677.41099999996</v>
      </c>
      <c r="H1169" s="5">
        <f>219 / 86400</f>
        <v>2.5347222222222221E-3</v>
      </c>
      <c r="I1169" t="s">
        <v>157</v>
      </c>
      <c r="J1169" t="s">
        <v>168</v>
      </c>
      <c r="K1169" s="5">
        <f>1007 / 86400</f>
        <v>1.1655092592592592E-2</v>
      </c>
      <c r="L1169" s="5">
        <f>4211 / 86400</f>
        <v>4.8738425925925928E-2</v>
      </c>
    </row>
    <row r="1170" spans="1:12" x14ac:dyDescent="0.25">
      <c r="A1170" s="3">
        <v>45708.673958333333</v>
      </c>
      <c r="B1170" t="s">
        <v>27</v>
      </c>
      <c r="C1170" s="3">
        <v>45708.686284722222</v>
      </c>
      <c r="D1170" t="s">
        <v>141</v>
      </c>
      <c r="E1170" s="4">
        <v>1.8819999999999999</v>
      </c>
      <c r="F1170" s="4">
        <v>576677.41099999996</v>
      </c>
      <c r="G1170" s="4">
        <v>576679.29299999995</v>
      </c>
      <c r="H1170" s="5">
        <f>500 / 86400</f>
        <v>5.7870370370370367E-3</v>
      </c>
      <c r="I1170" t="s">
        <v>144</v>
      </c>
      <c r="J1170" t="s">
        <v>32</v>
      </c>
      <c r="K1170" s="5">
        <f>1064 / 86400</f>
        <v>1.2314814814814815E-2</v>
      </c>
      <c r="L1170" s="5">
        <f>708 / 86400</f>
        <v>8.1944444444444452E-3</v>
      </c>
    </row>
    <row r="1171" spans="1:12" x14ac:dyDescent="0.25">
      <c r="A1171" s="3">
        <v>45708.694479166668</v>
      </c>
      <c r="B1171" t="s">
        <v>141</v>
      </c>
      <c r="C1171" s="3">
        <v>45708.702453703707</v>
      </c>
      <c r="D1171" t="s">
        <v>27</v>
      </c>
      <c r="E1171" s="4">
        <v>2.4689999999999999</v>
      </c>
      <c r="F1171" s="4">
        <v>576679.29299999995</v>
      </c>
      <c r="G1171" s="4">
        <v>576681.76199999999</v>
      </c>
      <c r="H1171" s="5">
        <f>39 / 86400</f>
        <v>4.5138888888888887E-4</v>
      </c>
      <c r="I1171" t="s">
        <v>189</v>
      </c>
      <c r="J1171" t="s">
        <v>29</v>
      </c>
      <c r="K1171" s="5">
        <f>689 / 86400</f>
        <v>7.9745370370370369E-3</v>
      </c>
      <c r="L1171" s="5">
        <f>9115 / 86400</f>
        <v>0.10549768518518518</v>
      </c>
    </row>
    <row r="1172" spans="1:12" x14ac:dyDescent="0.25">
      <c r="A1172" s="3">
        <v>45708.807951388888</v>
      </c>
      <c r="B1172" t="s">
        <v>27</v>
      </c>
      <c r="C1172" s="3">
        <v>45708.819513888884</v>
      </c>
      <c r="D1172" t="s">
        <v>27</v>
      </c>
      <c r="E1172" s="4">
        <v>2.198</v>
      </c>
      <c r="F1172" s="4">
        <v>576681.76199999999</v>
      </c>
      <c r="G1172" s="4">
        <v>576683.96</v>
      </c>
      <c r="H1172" s="5">
        <f>378 / 86400</f>
        <v>4.3750000000000004E-3</v>
      </c>
      <c r="I1172" t="s">
        <v>217</v>
      </c>
      <c r="J1172" t="s">
        <v>168</v>
      </c>
      <c r="K1172" s="5">
        <f>999 / 86400</f>
        <v>1.15625E-2</v>
      </c>
      <c r="L1172" s="5">
        <f>15593 / 86400</f>
        <v>0.18047453703703703</v>
      </c>
    </row>
    <row r="1173" spans="1:1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</row>
    <row r="1174" spans="1:12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</row>
    <row r="1175" spans="1:12" s="10" customFormat="1" ht="20.100000000000001" customHeight="1" x14ac:dyDescent="0.35">
      <c r="A1175" s="15" t="s">
        <v>511</v>
      </c>
      <c r="B1175" s="15"/>
      <c r="C1175" s="15"/>
      <c r="D1175" s="15"/>
      <c r="E1175" s="15"/>
      <c r="F1175" s="15"/>
      <c r="G1175" s="15"/>
      <c r="H1175" s="15"/>
      <c r="I1175" s="15"/>
      <c r="J1175" s="15"/>
    </row>
    <row r="1176" spans="1:12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</row>
    <row r="1177" spans="1:12" ht="30" x14ac:dyDescent="0.25">
      <c r="A1177" s="2" t="s">
        <v>6</v>
      </c>
      <c r="B1177" s="2" t="s">
        <v>7</v>
      </c>
      <c r="C1177" s="2" t="s">
        <v>8</v>
      </c>
      <c r="D1177" s="2" t="s">
        <v>9</v>
      </c>
      <c r="E1177" s="2" t="s">
        <v>10</v>
      </c>
      <c r="F1177" s="2" t="s">
        <v>11</v>
      </c>
      <c r="G1177" s="2" t="s">
        <v>12</v>
      </c>
      <c r="H1177" s="2" t="s">
        <v>13</v>
      </c>
      <c r="I1177" s="2" t="s">
        <v>14</v>
      </c>
      <c r="J1177" s="2" t="s">
        <v>15</v>
      </c>
      <c r="K1177" s="2" t="s">
        <v>16</v>
      </c>
      <c r="L1177" s="2" t="s">
        <v>17</v>
      </c>
    </row>
    <row r="1178" spans="1:12" x14ac:dyDescent="0.25">
      <c r="A1178" s="3">
        <v>45708.2418287037</v>
      </c>
      <c r="B1178" t="s">
        <v>100</v>
      </c>
      <c r="C1178" s="3">
        <v>45708.574907407412</v>
      </c>
      <c r="D1178" t="s">
        <v>83</v>
      </c>
      <c r="E1178" s="4">
        <v>138.19300000000001</v>
      </c>
      <c r="F1178" s="4">
        <v>417528.49</v>
      </c>
      <c r="G1178" s="4">
        <v>417666.68300000002</v>
      </c>
      <c r="H1178" s="5">
        <f>8682 / 86400</f>
        <v>0.10048611111111111</v>
      </c>
      <c r="I1178" t="s">
        <v>101</v>
      </c>
      <c r="J1178" t="s">
        <v>20</v>
      </c>
      <c r="K1178" s="5">
        <f>28777 / 86400</f>
        <v>0.33306712962962964</v>
      </c>
      <c r="L1178" s="5">
        <f>21295 / 86400</f>
        <v>0.2464699074074074</v>
      </c>
    </row>
    <row r="1179" spans="1:12" x14ac:dyDescent="0.25">
      <c r="A1179" s="3">
        <v>45708.579548611116</v>
      </c>
      <c r="B1179" t="s">
        <v>83</v>
      </c>
      <c r="C1179" s="3">
        <v>45708.585474537038</v>
      </c>
      <c r="D1179" t="s">
        <v>127</v>
      </c>
      <c r="E1179" s="4">
        <v>1.3460000000000001</v>
      </c>
      <c r="F1179" s="4">
        <v>417666.68300000002</v>
      </c>
      <c r="G1179" s="4">
        <v>417668.02899999998</v>
      </c>
      <c r="H1179" s="5">
        <f>219 / 86400</f>
        <v>2.5347222222222221E-3</v>
      </c>
      <c r="I1179" t="s">
        <v>54</v>
      </c>
      <c r="J1179" t="s">
        <v>137</v>
      </c>
      <c r="K1179" s="5">
        <f>512 / 86400</f>
        <v>5.9259259259259256E-3</v>
      </c>
      <c r="L1179" s="5">
        <f>1847 / 86400</f>
        <v>2.1377314814814814E-2</v>
      </c>
    </row>
    <row r="1180" spans="1:12" x14ac:dyDescent="0.25">
      <c r="A1180" s="3">
        <v>45708.606851851851</v>
      </c>
      <c r="B1180" t="s">
        <v>127</v>
      </c>
      <c r="C1180" s="3">
        <v>45708.60701388889</v>
      </c>
      <c r="D1180" t="s">
        <v>149</v>
      </c>
      <c r="E1180" s="4">
        <v>1.7999999999999999E-2</v>
      </c>
      <c r="F1180" s="4">
        <v>417668.02899999998</v>
      </c>
      <c r="G1180" s="4">
        <v>417668.04700000002</v>
      </c>
      <c r="H1180" s="5">
        <f>0 / 86400</f>
        <v>0</v>
      </c>
      <c r="I1180" t="s">
        <v>168</v>
      </c>
      <c r="J1180" t="s">
        <v>55</v>
      </c>
      <c r="K1180" s="5">
        <f>14 / 86400</f>
        <v>1.6203703703703703E-4</v>
      </c>
      <c r="L1180" s="5">
        <f>1442 / 86400</f>
        <v>1.6689814814814814E-2</v>
      </c>
    </row>
    <row r="1181" spans="1:12" x14ac:dyDescent="0.25">
      <c r="A1181" s="3">
        <v>45708.623703703706</v>
      </c>
      <c r="B1181" t="s">
        <v>149</v>
      </c>
      <c r="C1181" s="3">
        <v>45708.852858796294</v>
      </c>
      <c r="D1181" t="s">
        <v>100</v>
      </c>
      <c r="E1181" s="4">
        <v>72.831999999999994</v>
      </c>
      <c r="F1181" s="4">
        <v>417668.04700000002</v>
      </c>
      <c r="G1181" s="4">
        <v>417740.87900000002</v>
      </c>
      <c r="H1181" s="5">
        <f>7323 / 86400</f>
        <v>8.475694444444444E-2</v>
      </c>
      <c r="I1181" t="s">
        <v>118</v>
      </c>
      <c r="J1181" t="s">
        <v>29</v>
      </c>
      <c r="K1181" s="5">
        <f>19799 / 86400</f>
        <v>0.22915509259259259</v>
      </c>
      <c r="L1181" s="5">
        <f>12712 / 86400</f>
        <v>0.14712962962962964</v>
      </c>
    </row>
    <row r="1182" spans="1:1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x14ac:dyDescent="0.2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</row>
    <row r="1184" spans="1:12" s="10" customFormat="1" ht="20.100000000000001" customHeight="1" x14ac:dyDescent="0.35">
      <c r="A1184" s="15" t="s">
        <v>512</v>
      </c>
      <c r="B1184" s="15"/>
      <c r="C1184" s="15"/>
      <c r="D1184" s="15"/>
      <c r="E1184" s="15"/>
      <c r="F1184" s="15"/>
      <c r="G1184" s="15"/>
      <c r="H1184" s="15"/>
      <c r="I1184" s="15"/>
      <c r="J1184" s="15"/>
    </row>
    <row r="1185" spans="1:1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</row>
    <row r="1186" spans="1:12" ht="30" x14ac:dyDescent="0.25">
      <c r="A1186" s="2" t="s">
        <v>6</v>
      </c>
      <c r="B1186" s="2" t="s">
        <v>7</v>
      </c>
      <c r="C1186" s="2" t="s">
        <v>8</v>
      </c>
      <c r="D1186" s="2" t="s">
        <v>9</v>
      </c>
      <c r="E1186" s="2" t="s">
        <v>10</v>
      </c>
      <c r="F1186" s="2" t="s">
        <v>11</v>
      </c>
      <c r="G1186" s="2" t="s">
        <v>12</v>
      </c>
      <c r="H1186" s="2" t="s">
        <v>13</v>
      </c>
      <c r="I1186" s="2" t="s">
        <v>14</v>
      </c>
      <c r="J1186" s="2" t="s">
        <v>15</v>
      </c>
      <c r="K1186" s="2" t="s">
        <v>16</v>
      </c>
      <c r="L1186" s="2" t="s">
        <v>17</v>
      </c>
    </row>
    <row r="1187" spans="1:12" x14ac:dyDescent="0.25">
      <c r="A1187" s="3">
        <v>45708.442615740743</v>
      </c>
      <c r="B1187" t="s">
        <v>102</v>
      </c>
      <c r="C1187" s="3">
        <v>45708.443113425921</v>
      </c>
      <c r="D1187" t="s">
        <v>450</v>
      </c>
      <c r="E1187" s="4">
        <v>4.2999999999999997E-2</v>
      </c>
      <c r="F1187" s="4">
        <v>401565.326</v>
      </c>
      <c r="G1187" s="4">
        <v>401565.36900000001</v>
      </c>
      <c r="H1187" s="5">
        <f>20 / 86400</f>
        <v>2.3148148148148149E-4</v>
      </c>
      <c r="I1187" t="s">
        <v>58</v>
      </c>
      <c r="J1187" t="s">
        <v>143</v>
      </c>
      <c r="K1187" s="5">
        <f>43 / 86400</f>
        <v>4.9768518518518521E-4</v>
      </c>
      <c r="L1187" s="5">
        <f>38378 / 86400</f>
        <v>0.44418981481481479</v>
      </c>
    </row>
    <row r="1188" spans="1:12" x14ac:dyDescent="0.25">
      <c r="A1188" s="3">
        <v>45708.444687499999</v>
      </c>
      <c r="B1188" t="s">
        <v>102</v>
      </c>
      <c r="C1188" s="3">
        <v>45708.444803240738</v>
      </c>
      <c r="D1188" t="s">
        <v>102</v>
      </c>
      <c r="E1188" s="4">
        <v>0</v>
      </c>
      <c r="F1188" s="4">
        <v>401565.36900000001</v>
      </c>
      <c r="G1188" s="4">
        <v>401565.36900000001</v>
      </c>
      <c r="H1188" s="5">
        <f>0 / 86400</f>
        <v>0</v>
      </c>
      <c r="I1188" t="s">
        <v>22</v>
      </c>
      <c r="J1188" t="s">
        <v>22</v>
      </c>
      <c r="K1188" s="5">
        <f>9 / 86400</f>
        <v>1.0416666666666667E-4</v>
      </c>
      <c r="L1188" s="5">
        <f>119 / 86400</f>
        <v>1.3773148148148147E-3</v>
      </c>
    </row>
    <row r="1189" spans="1:12" x14ac:dyDescent="0.25">
      <c r="A1189" s="3">
        <v>45708.446180555555</v>
      </c>
      <c r="B1189" t="s">
        <v>102</v>
      </c>
      <c r="C1189" s="3">
        <v>45708.44939814815</v>
      </c>
      <c r="D1189" t="s">
        <v>102</v>
      </c>
      <c r="E1189" s="4">
        <v>2.7E-2</v>
      </c>
      <c r="F1189" s="4">
        <v>401565.36900000001</v>
      </c>
      <c r="G1189" s="4">
        <v>401565.39600000001</v>
      </c>
      <c r="H1189" s="5">
        <f>219 / 86400</f>
        <v>2.5347222222222221E-3</v>
      </c>
      <c r="I1189" t="s">
        <v>32</v>
      </c>
      <c r="J1189" t="s">
        <v>22</v>
      </c>
      <c r="K1189" s="5">
        <f>277 / 86400</f>
        <v>3.2060185185185186E-3</v>
      </c>
      <c r="L1189" s="5">
        <f>2 / 86400</f>
        <v>2.3148148148148147E-5</v>
      </c>
    </row>
    <row r="1190" spans="1:12" x14ac:dyDescent="0.25">
      <c r="A1190" s="3">
        <v>45708.449421296296</v>
      </c>
      <c r="B1190" t="s">
        <v>102</v>
      </c>
      <c r="C1190" s="3">
        <v>45708.449907407412</v>
      </c>
      <c r="D1190" t="s">
        <v>102</v>
      </c>
      <c r="E1190" s="4">
        <v>3.0000000000000001E-3</v>
      </c>
      <c r="F1190" s="4">
        <v>401565.39600000001</v>
      </c>
      <c r="G1190" s="4">
        <v>401565.39899999998</v>
      </c>
      <c r="H1190" s="5">
        <f>20 / 86400</f>
        <v>2.3148148148148149E-4</v>
      </c>
      <c r="I1190" t="s">
        <v>136</v>
      </c>
      <c r="J1190" t="s">
        <v>22</v>
      </c>
      <c r="K1190" s="5">
        <f>41 / 86400</f>
        <v>4.7453703703703704E-4</v>
      </c>
      <c r="L1190" s="5">
        <f>47 / 86400</f>
        <v>5.4398148148148144E-4</v>
      </c>
    </row>
    <row r="1191" spans="1:12" x14ac:dyDescent="0.25">
      <c r="A1191" s="3">
        <v>45708.45045138889</v>
      </c>
      <c r="B1191" t="s">
        <v>450</v>
      </c>
      <c r="C1191" s="3">
        <v>45708.450914351852</v>
      </c>
      <c r="D1191" t="s">
        <v>102</v>
      </c>
      <c r="E1191" s="4">
        <v>0</v>
      </c>
      <c r="F1191" s="4">
        <v>401565.39899999998</v>
      </c>
      <c r="G1191" s="4">
        <v>401565.39899999998</v>
      </c>
      <c r="H1191" s="5">
        <f>19 / 86400</f>
        <v>2.199074074074074E-4</v>
      </c>
      <c r="I1191" t="s">
        <v>22</v>
      </c>
      <c r="J1191" t="s">
        <v>22</v>
      </c>
      <c r="K1191" s="5">
        <f>39 / 86400</f>
        <v>4.5138888888888887E-4</v>
      </c>
      <c r="L1191" s="5">
        <f>1 / 86400</f>
        <v>1.1574074074074073E-5</v>
      </c>
    </row>
    <row r="1192" spans="1:12" x14ac:dyDescent="0.25">
      <c r="A1192" s="3">
        <v>45708.450925925921</v>
      </c>
      <c r="B1192" t="s">
        <v>102</v>
      </c>
      <c r="C1192" s="3">
        <v>45708.451597222222</v>
      </c>
      <c r="D1192" t="s">
        <v>102</v>
      </c>
      <c r="E1192" s="4">
        <v>1E-3</v>
      </c>
      <c r="F1192" s="4">
        <v>401565.39899999998</v>
      </c>
      <c r="G1192" s="4">
        <v>401565.4</v>
      </c>
      <c r="H1192" s="5">
        <f>39 / 86400</f>
        <v>4.5138888888888887E-4</v>
      </c>
      <c r="I1192" t="s">
        <v>22</v>
      </c>
      <c r="J1192" t="s">
        <v>22</v>
      </c>
      <c r="K1192" s="5">
        <f>57 / 86400</f>
        <v>6.5972222222222224E-4</v>
      </c>
      <c r="L1192" s="5">
        <f>4 / 86400</f>
        <v>4.6296296296296294E-5</v>
      </c>
    </row>
    <row r="1193" spans="1:12" x14ac:dyDescent="0.25">
      <c r="A1193" s="3">
        <v>45708.451643518521</v>
      </c>
      <c r="B1193" t="s">
        <v>102</v>
      </c>
      <c r="C1193" s="3">
        <v>45708.453460648147</v>
      </c>
      <c r="D1193" t="s">
        <v>102</v>
      </c>
      <c r="E1193" s="4">
        <v>1.7999999999999999E-2</v>
      </c>
      <c r="F1193" s="4">
        <v>401565.4</v>
      </c>
      <c r="G1193" s="4">
        <v>401565.41800000001</v>
      </c>
      <c r="H1193" s="5">
        <f>119 / 86400</f>
        <v>1.3773148148148147E-3</v>
      </c>
      <c r="I1193" t="s">
        <v>143</v>
      </c>
      <c r="J1193" t="s">
        <v>22</v>
      </c>
      <c r="K1193" s="5">
        <f>156 / 86400</f>
        <v>1.8055555555555555E-3</v>
      </c>
      <c r="L1193" s="5">
        <f>2 / 86400</f>
        <v>2.3148148148148147E-5</v>
      </c>
    </row>
    <row r="1194" spans="1:12" x14ac:dyDescent="0.25">
      <c r="A1194" s="3">
        <v>45708.4534837963</v>
      </c>
      <c r="B1194" t="s">
        <v>102</v>
      </c>
      <c r="C1194" s="3">
        <v>45708.45930555556</v>
      </c>
      <c r="D1194" t="s">
        <v>451</v>
      </c>
      <c r="E1194" s="4">
        <v>8.7999999999999995E-2</v>
      </c>
      <c r="F1194" s="4">
        <v>401565.41800000001</v>
      </c>
      <c r="G1194" s="4">
        <v>401565.50599999999</v>
      </c>
      <c r="H1194" s="5">
        <f>340 / 86400</f>
        <v>3.9351851851851848E-3</v>
      </c>
      <c r="I1194" t="s">
        <v>32</v>
      </c>
      <c r="J1194" t="s">
        <v>145</v>
      </c>
      <c r="K1194" s="5">
        <f>503 / 86400</f>
        <v>5.8217592592592592E-3</v>
      </c>
      <c r="L1194" s="5">
        <f>8 / 86400</f>
        <v>9.2592592592592588E-5</v>
      </c>
    </row>
    <row r="1195" spans="1:12" x14ac:dyDescent="0.25">
      <c r="A1195" s="3">
        <v>45708.459398148145</v>
      </c>
      <c r="B1195" t="s">
        <v>451</v>
      </c>
      <c r="C1195" s="3">
        <v>45708.459456018521</v>
      </c>
      <c r="D1195" t="s">
        <v>451</v>
      </c>
      <c r="E1195" s="4">
        <v>0</v>
      </c>
      <c r="F1195" s="4">
        <v>401565.50599999999</v>
      </c>
      <c r="G1195" s="4">
        <v>401565.50599999999</v>
      </c>
      <c r="H1195" s="5">
        <f t="shared" ref="H1195:H1200" si="11">0 / 86400</f>
        <v>0</v>
      </c>
      <c r="I1195" t="s">
        <v>22</v>
      </c>
      <c r="J1195" t="s">
        <v>22</v>
      </c>
      <c r="K1195" s="5">
        <f>4 / 86400</f>
        <v>4.6296296296296294E-5</v>
      </c>
      <c r="L1195" s="5">
        <f>2626 / 86400</f>
        <v>3.0393518518518518E-2</v>
      </c>
    </row>
    <row r="1196" spans="1:12" x14ac:dyDescent="0.25">
      <c r="A1196" s="3">
        <v>45708.489849537036</v>
      </c>
      <c r="B1196" t="s">
        <v>450</v>
      </c>
      <c r="C1196" s="3">
        <v>45708.489872685182</v>
      </c>
      <c r="D1196" t="s">
        <v>450</v>
      </c>
      <c r="E1196" s="4">
        <v>0</v>
      </c>
      <c r="F1196" s="4">
        <v>401565.50599999999</v>
      </c>
      <c r="G1196" s="4">
        <v>401565.50599999999</v>
      </c>
      <c r="H1196" s="5">
        <f t="shared" si="11"/>
        <v>0</v>
      </c>
      <c r="I1196" t="s">
        <v>136</v>
      </c>
      <c r="J1196" t="s">
        <v>22</v>
      </c>
      <c r="K1196" s="5">
        <f>1 / 86400</f>
        <v>1.1574074074074073E-5</v>
      </c>
      <c r="L1196" s="5">
        <f>19 / 86400</f>
        <v>2.199074074074074E-4</v>
      </c>
    </row>
    <row r="1197" spans="1:12" x14ac:dyDescent="0.25">
      <c r="A1197" s="3">
        <v>45708.49009259259</v>
      </c>
      <c r="B1197" t="s">
        <v>450</v>
      </c>
      <c r="C1197" s="3">
        <v>45708.490266203706</v>
      </c>
      <c r="D1197" t="s">
        <v>450</v>
      </c>
      <c r="E1197" s="4">
        <v>2E-3</v>
      </c>
      <c r="F1197" s="4">
        <v>401565.50799999997</v>
      </c>
      <c r="G1197" s="4">
        <v>401565.51</v>
      </c>
      <c r="H1197" s="5">
        <f t="shared" si="11"/>
        <v>0</v>
      </c>
      <c r="I1197" t="s">
        <v>22</v>
      </c>
      <c r="J1197" t="s">
        <v>145</v>
      </c>
      <c r="K1197" s="5">
        <f>14 / 86400</f>
        <v>1.6203703703703703E-4</v>
      </c>
      <c r="L1197" s="5">
        <f>51 / 86400</f>
        <v>5.9027777777777778E-4</v>
      </c>
    </row>
    <row r="1198" spans="1:12" x14ac:dyDescent="0.25">
      <c r="A1198" s="3">
        <v>45708.490856481483</v>
      </c>
      <c r="B1198" t="s">
        <v>102</v>
      </c>
      <c r="C1198" s="3">
        <v>45708.490925925929</v>
      </c>
      <c r="D1198" t="s">
        <v>102</v>
      </c>
      <c r="E1198" s="4">
        <v>0</v>
      </c>
      <c r="F1198" s="4">
        <v>401565.51</v>
      </c>
      <c r="G1198" s="4">
        <v>401565.51</v>
      </c>
      <c r="H1198" s="5">
        <f t="shared" si="11"/>
        <v>0</v>
      </c>
      <c r="I1198" t="s">
        <v>22</v>
      </c>
      <c r="J1198" t="s">
        <v>22</v>
      </c>
      <c r="K1198" s="5">
        <f>5 / 86400</f>
        <v>5.7870370370370373E-5</v>
      </c>
      <c r="L1198" s="5">
        <f>37 / 86400</f>
        <v>4.2824074074074075E-4</v>
      </c>
    </row>
    <row r="1199" spans="1:12" x14ac:dyDescent="0.25">
      <c r="A1199" s="3">
        <v>45708.491354166668</v>
      </c>
      <c r="B1199" t="s">
        <v>450</v>
      </c>
      <c r="C1199" s="3">
        <v>45708.491574074069</v>
      </c>
      <c r="D1199" t="s">
        <v>450</v>
      </c>
      <c r="E1199" s="4">
        <v>0</v>
      </c>
      <c r="F1199" s="4">
        <v>401565.51</v>
      </c>
      <c r="G1199" s="4">
        <v>401565.51</v>
      </c>
      <c r="H1199" s="5">
        <f t="shared" si="11"/>
        <v>0</v>
      </c>
      <c r="I1199" t="s">
        <v>22</v>
      </c>
      <c r="J1199" t="s">
        <v>22</v>
      </c>
      <c r="K1199" s="5">
        <f>18 / 86400</f>
        <v>2.0833333333333335E-4</v>
      </c>
      <c r="L1199" s="5">
        <f>105 / 86400</f>
        <v>1.2152777777777778E-3</v>
      </c>
    </row>
    <row r="1200" spans="1:12" x14ac:dyDescent="0.25">
      <c r="A1200" s="3">
        <v>45708.492789351847</v>
      </c>
      <c r="B1200" t="s">
        <v>450</v>
      </c>
      <c r="C1200" s="3">
        <v>45708.492939814816</v>
      </c>
      <c r="D1200" t="s">
        <v>450</v>
      </c>
      <c r="E1200" s="4">
        <v>1E-3</v>
      </c>
      <c r="F1200" s="4">
        <v>401565.511</v>
      </c>
      <c r="G1200" s="4">
        <v>401565.51199999999</v>
      </c>
      <c r="H1200" s="5">
        <f t="shared" si="11"/>
        <v>0</v>
      </c>
      <c r="I1200" t="s">
        <v>136</v>
      </c>
      <c r="J1200" t="s">
        <v>22</v>
      </c>
      <c r="K1200" s="5">
        <f>12 / 86400</f>
        <v>1.3888888888888889E-4</v>
      </c>
      <c r="L1200" s="5">
        <f>57 / 86400</f>
        <v>6.5972222222222224E-4</v>
      </c>
    </row>
    <row r="1201" spans="1:12" x14ac:dyDescent="0.25">
      <c r="A1201" s="3">
        <v>45708.493599537032</v>
      </c>
      <c r="B1201" t="s">
        <v>450</v>
      </c>
      <c r="C1201" s="3">
        <v>45708.495219907403</v>
      </c>
      <c r="D1201" t="s">
        <v>451</v>
      </c>
      <c r="E1201" s="4">
        <v>8.9999999999999993E-3</v>
      </c>
      <c r="F1201" s="4">
        <v>401565.51299999998</v>
      </c>
      <c r="G1201" s="4">
        <v>401565.522</v>
      </c>
      <c r="H1201" s="5">
        <f>138 / 86400</f>
        <v>1.5972222222222223E-3</v>
      </c>
      <c r="I1201" t="s">
        <v>55</v>
      </c>
      <c r="J1201" t="s">
        <v>22</v>
      </c>
      <c r="K1201" s="5">
        <f>140 / 86400</f>
        <v>1.6203703703703703E-3</v>
      </c>
      <c r="L1201" s="5">
        <f>447 / 86400</f>
        <v>5.1736111111111115E-3</v>
      </c>
    </row>
    <row r="1202" spans="1:12" x14ac:dyDescent="0.25">
      <c r="A1202" s="3">
        <v>45708.500393518523</v>
      </c>
      <c r="B1202" t="s">
        <v>451</v>
      </c>
      <c r="C1202" s="3">
        <v>45708.500532407408</v>
      </c>
      <c r="D1202" t="s">
        <v>450</v>
      </c>
      <c r="E1202" s="4">
        <v>3.0000000000000001E-3</v>
      </c>
      <c r="F1202" s="4">
        <v>401565.52299999999</v>
      </c>
      <c r="G1202" s="4">
        <v>401565.52600000001</v>
      </c>
      <c r="H1202" s="5">
        <f>0 / 86400</f>
        <v>0</v>
      </c>
      <c r="I1202" t="s">
        <v>22</v>
      </c>
      <c r="J1202" t="s">
        <v>145</v>
      </c>
      <c r="K1202" s="5">
        <f>12 / 86400</f>
        <v>1.3888888888888889E-4</v>
      </c>
      <c r="L1202" s="5">
        <f>48 / 86400</f>
        <v>5.5555555555555556E-4</v>
      </c>
    </row>
    <row r="1203" spans="1:12" x14ac:dyDescent="0.25">
      <c r="A1203" s="3">
        <v>45708.501087962963</v>
      </c>
      <c r="B1203" t="s">
        <v>450</v>
      </c>
      <c r="C1203" s="3">
        <v>45708.501111111109</v>
      </c>
      <c r="D1203" t="s">
        <v>450</v>
      </c>
      <c r="E1203" s="4">
        <v>0</v>
      </c>
      <c r="F1203" s="4">
        <v>401565.527</v>
      </c>
      <c r="G1203" s="4">
        <v>401565.527</v>
      </c>
      <c r="H1203" s="5">
        <f>0 / 86400</f>
        <v>0</v>
      </c>
      <c r="I1203" t="s">
        <v>22</v>
      </c>
      <c r="J1203" t="s">
        <v>22</v>
      </c>
      <c r="K1203" s="5">
        <f>2 / 86400</f>
        <v>2.3148148148148147E-5</v>
      </c>
      <c r="L1203" s="5">
        <f>3 / 86400</f>
        <v>3.4722222222222222E-5</v>
      </c>
    </row>
    <row r="1204" spans="1:12" x14ac:dyDescent="0.25">
      <c r="A1204" s="3">
        <v>45708.501145833332</v>
      </c>
      <c r="B1204" t="s">
        <v>450</v>
      </c>
      <c r="C1204" s="3">
        <v>45708.502696759257</v>
      </c>
      <c r="D1204" t="s">
        <v>451</v>
      </c>
      <c r="E1204" s="4">
        <v>2.5000000000000001E-2</v>
      </c>
      <c r="F1204" s="4">
        <v>401565.52799999999</v>
      </c>
      <c r="G1204" s="4">
        <v>401565.55300000001</v>
      </c>
      <c r="H1204" s="5">
        <f>80 / 86400</f>
        <v>9.2592592592592596E-4</v>
      </c>
      <c r="I1204" t="s">
        <v>32</v>
      </c>
      <c r="J1204" t="s">
        <v>145</v>
      </c>
      <c r="K1204" s="5">
        <f>134 / 86400</f>
        <v>1.5509259259259259E-3</v>
      </c>
      <c r="L1204" s="5">
        <f>4 / 86400</f>
        <v>4.6296296296296294E-5</v>
      </c>
    </row>
    <row r="1205" spans="1:12" x14ac:dyDescent="0.25">
      <c r="A1205" s="3">
        <v>45708.502743055556</v>
      </c>
      <c r="B1205" t="s">
        <v>451</v>
      </c>
      <c r="C1205" s="3">
        <v>45708.50277777778</v>
      </c>
      <c r="D1205" t="s">
        <v>451</v>
      </c>
      <c r="E1205" s="4">
        <v>0</v>
      </c>
      <c r="F1205" s="4">
        <v>401565.55300000001</v>
      </c>
      <c r="G1205" s="4">
        <v>401565.55300000001</v>
      </c>
      <c r="H1205" s="5">
        <f>0 / 86400</f>
        <v>0</v>
      </c>
      <c r="I1205" t="s">
        <v>22</v>
      </c>
      <c r="J1205" t="s">
        <v>22</v>
      </c>
      <c r="K1205" s="5">
        <f>3 / 86400</f>
        <v>3.4722222222222222E-5</v>
      </c>
      <c r="L1205" s="5">
        <f>274 / 86400</f>
        <v>3.1712962962962962E-3</v>
      </c>
    </row>
    <row r="1206" spans="1:12" x14ac:dyDescent="0.25">
      <c r="A1206" s="3">
        <v>45708.505949074075</v>
      </c>
      <c r="B1206" t="s">
        <v>450</v>
      </c>
      <c r="C1206" s="3">
        <v>45708.506226851852</v>
      </c>
      <c r="D1206" t="s">
        <v>450</v>
      </c>
      <c r="E1206" s="4">
        <v>0.02</v>
      </c>
      <c r="F1206" s="4">
        <v>401565.554</v>
      </c>
      <c r="G1206" s="4">
        <v>401565.57400000002</v>
      </c>
      <c r="H1206" s="5">
        <f>0 / 86400</f>
        <v>0</v>
      </c>
      <c r="I1206" t="s">
        <v>137</v>
      </c>
      <c r="J1206" t="s">
        <v>135</v>
      </c>
      <c r="K1206" s="5">
        <f>24 / 86400</f>
        <v>2.7777777777777778E-4</v>
      </c>
      <c r="L1206" s="5">
        <f>69 / 86400</f>
        <v>7.9861111111111116E-4</v>
      </c>
    </row>
    <row r="1207" spans="1:12" x14ac:dyDescent="0.25">
      <c r="A1207" s="3">
        <v>45708.507025462968</v>
      </c>
      <c r="B1207" t="s">
        <v>451</v>
      </c>
      <c r="C1207" s="3">
        <v>45708.507141203707</v>
      </c>
      <c r="D1207" t="s">
        <v>450</v>
      </c>
      <c r="E1207" s="4">
        <v>0</v>
      </c>
      <c r="F1207" s="4">
        <v>401565.57400000002</v>
      </c>
      <c r="G1207" s="4">
        <v>401565.57400000002</v>
      </c>
      <c r="H1207" s="5">
        <f>0 / 86400</f>
        <v>0</v>
      </c>
      <c r="I1207" t="s">
        <v>22</v>
      </c>
      <c r="J1207" t="s">
        <v>22</v>
      </c>
      <c r="K1207" s="5">
        <f>9 / 86400</f>
        <v>1.0416666666666667E-4</v>
      </c>
      <c r="L1207" s="5">
        <f>34 / 86400</f>
        <v>3.9351851851851852E-4</v>
      </c>
    </row>
    <row r="1208" spans="1:12" x14ac:dyDescent="0.25">
      <c r="A1208" s="3">
        <v>45708.507534722223</v>
      </c>
      <c r="B1208" t="s">
        <v>452</v>
      </c>
      <c r="C1208" s="3">
        <v>45708.507743055554</v>
      </c>
      <c r="D1208" t="s">
        <v>450</v>
      </c>
      <c r="E1208" s="4">
        <v>7.0000000000000001E-3</v>
      </c>
      <c r="F1208" s="4">
        <v>401565.57400000002</v>
      </c>
      <c r="G1208" s="4">
        <v>401565.58100000001</v>
      </c>
      <c r="H1208" s="5">
        <f>0 / 86400</f>
        <v>0</v>
      </c>
      <c r="I1208" t="s">
        <v>32</v>
      </c>
      <c r="J1208" t="s">
        <v>145</v>
      </c>
      <c r="K1208" s="5">
        <f>18 / 86400</f>
        <v>2.0833333333333335E-4</v>
      </c>
      <c r="L1208" s="5">
        <f>328 / 86400</f>
        <v>3.7962962962962963E-3</v>
      </c>
    </row>
    <row r="1209" spans="1:12" x14ac:dyDescent="0.25">
      <c r="A1209" s="3">
        <v>45708.51153935185</v>
      </c>
      <c r="B1209" t="s">
        <v>450</v>
      </c>
      <c r="C1209" s="3">
        <v>45708.511874999997</v>
      </c>
      <c r="D1209" t="s">
        <v>450</v>
      </c>
      <c r="E1209" s="4">
        <v>7.0000000000000001E-3</v>
      </c>
      <c r="F1209" s="4">
        <v>401565.58100000001</v>
      </c>
      <c r="G1209" s="4">
        <v>401565.58799999999</v>
      </c>
      <c r="H1209" s="5">
        <f>0 / 86400</f>
        <v>0</v>
      </c>
      <c r="I1209" t="s">
        <v>145</v>
      </c>
      <c r="J1209" t="s">
        <v>145</v>
      </c>
      <c r="K1209" s="5">
        <f>29 / 86400</f>
        <v>3.3564814814814812E-4</v>
      </c>
      <c r="L1209" s="5">
        <f>143 / 86400</f>
        <v>1.6550925925925926E-3</v>
      </c>
    </row>
    <row r="1210" spans="1:12" x14ac:dyDescent="0.25">
      <c r="A1210" s="3">
        <v>45708.51353009259</v>
      </c>
      <c r="B1210" t="s">
        <v>451</v>
      </c>
      <c r="C1210" s="3">
        <v>45708.514085648145</v>
      </c>
      <c r="D1210" t="s">
        <v>451</v>
      </c>
      <c r="E1210" s="4">
        <v>0.01</v>
      </c>
      <c r="F1210" s="4">
        <v>401565.59</v>
      </c>
      <c r="G1210" s="4">
        <v>401565.6</v>
      </c>
      <c r="H1210" s="5">
        <f>40 / 86400</f>
        <v>4.6296296296296298E-4</v>
      </c>
      <c r="I1210" t="s">
        <v>145</v>
      </c>
      <c r="J1210" t="s">
        <v>145</v>
      </c>
      <c r="K1210" s="5">
        <f>48 / 86400</f>
        <v>5.5555555555555556E-4</v>
      </c>
      <c r="L1210" s="5">
        <f>1 / 86400</f>
        <v>1.1574074074074073E-5</v>
      </c>
    </row>
    <row r="1211" spans="1:12" x14ac:dyDescent="0.25">
      <c r="A1211" s="3">
        <v>45708.514097222222</v>
      </c>
      <c r="B1211" t="s">
        <v>453</v>
      </c>
      <c r="C1211" s="3">
        <v>45708.514155092591</v>
      </c>
      <c r="D1211" t="s">
        <v>451</v>
      </c>
      <c r="E1211" s="4">
        <v>0</v>
      </c>
      <c r="F1211" s="4">
        <v>401565.6</v>
      </c>
      <c r="G1211" s="4">
        <v>401565.6</v>
      </c>
      <c r="H1211" s="5">
        <f>0 / 86400</f>
        <v>0</v>
      </c>
      <c r="I1211" t="s">
        <v>22</v>
      </c>
      <c r="J1211" t="s">
        <v>22</v>
      </c>
      <c r="K1211" s="5">
        <f>5 / 86400</f>
        <v>5.7870370370370373E-5</v>
      </c>
      <c r="L1211" s="5">
        <f>2 / 86400</f>
        <v>2.3148148148148147E-5</v>
      </c>
    </row>
    <row r="1212" spans="1:12" x14ac:dyDescent="0.25">
      <c r="A1212" s="3">
        <v>45708.514178240745</v>
      </c>
      <c r="B1212" t="s">
        <v>451</v>
      </c>
      <c r="C1212" s="3">
        <v>45708.514201388884</v>
      </c>
      <c r="D1212" t="s">
        <v>451</v>
      </c>
      <c r="E1212" s="4">
        <v>0</v>
      </c>
      <c r="F1212" s="4">
        <v>401565.6</v>
      </c>
      <c r="G1212" s="4">
        <v>401565.6</v>
      </c>
      <c r="H1212" s="5">
        <f>0 / 86400</f>
        <v>0</v>
      </c>
      <c r="I1212" t="s">
        <v>22</v>
      </c>
      <c r="J1212" t="s">
        <v>22</v>
      </c>
      <c r="K1212" s="5">
        <f>2 / 86400</f>
        <v>2.3148148148148147E-5</v>
      </c>
      <c r="L1212" s="5">
        <f>353 / 86400</f>
        <v>4.0856481481481481E-3</v>
      </c>
    </row>
    <row r="1213" spans="1:12" x14ac:dyDescent="0.25">
      <c r="A1213" s="3">
        <v>45708.518287037034</v>
      </c>
      <c r="B1213" t="s">
        <v>102</v>
      </c>
      <c r="C1213" s="3">
        <v>45708.518703703703</v>
      </c>
      <c r="D1213" t="s">
        <v>451</v>
      </c>
      <c r="E1213" s="4">
        <v>2.3E-2</v>
      </c>
      <c r="F1213" s="4">
        <v>401565.6</v>
      </c>
      <c r="G1213" s="4">
        <v>401565.62300000002</v>
      </c>
      <c r="H1213" s="5">
        <f>32 / 86400</f>
        <v>3.7037037037037035E-4</v>
      </c>
      <c r="I1213" t="s">
        <v>22</v>
      </c>
      <c r="J1213" t="s">
        <v>136</v>
      </c>
      <c r="K1213" s="5">
        <f>36 / 86400</f>
        <v>4.1666666666666669E-4</v>
      </c>
      <c r="L1213" s="5">
        <f>4 / 86400</f>
        <v>4.6296296296296294E-5</v>
      </c>
    </row>
    <row r="1214" spans="1:12" x14ac:dyDescent="0.25">
      <c r="A1214" s="3">
        <v>45708.518750000003</v>
      </c>
      <c r="B1214" t="s">
        <v>451</v>
      </c>
      <c r="C1214" s="3">
        <v>45708.518877314811</v>
      </c>
      <c r="D1214" t="s">
        <v>451</v>
      </c>
      <c r="E1214" s="4">
        <v>0</v>
      </c>
      <c r="F1214" s="4">
        <v>401565.62300000002</v>
      </c>
      <c r="G1214" s="4">
        <v>401565.62300000002</v>
      </c>
      <c r="H1214" s="5">
        <f>0 / 86400</f>
        <v>0</v>
      </c>
      <c r="I1214" t="s">
        <v>22</v>
      </c>
      <c r="J1214" t="s">
        <v>22</v>
      </c>
      <c r="K1214" s="5">
        <f>11 / 86400</f>
        <v>1.273148148148148E-4</v>
      </c>
      <c r="L1214" s="5">
        <f>1157 / 86400</f>
        <v>1.3391203703703704E-2</v>
      </c>
    </row>
    <row r="1215" spans="1:12" x14ac:dyDescent="0.25">
      <c r="A1215" s="3">
        <v>45708.532268518524</v>
      </c>
      <c r="B1215" t="s">
        <v>451</v>
      </c>
      <c r="C1215" s="3">
        <v>45708.535196759258</v>
      </c>
      <c r="D1215" t="s">
        <v>102</v>
      </c>
      <c r="E1215" s="4">
        <v>0.157</v>
      </c>
      <c r="F1215" s="4">
        <v>401565.62300000002</v>
      </c>
      <c r="G1215" s="4">
        <v>401565.78</v>
      </c>
      <c r="H1215" s="5">
        <f>100 / 86400</f>
        <v>1.1574074074074073E-3</v>
      </c>
      <c r="I1215" t="s">
        <v>137</v>
      </c>
      <c r="J1215" t="s">
        <v>136</v>
      </c>
      <c r="K1215" s="5">
        <f>252 / 86400</f>
        <v>2.9166666666666668E-3</v>
      </c>
      <c r="L1215" s="5">
        <f>1027 / 86400</f>
        <v>1.1886574074074074E-2</v>
      </c>
    </row>
    <row r="1216" spans="1:12" x14ac:dyDescent="0.25">
      <c r="A1216" s="3">
        <v>45708.547083333338</v>
      </c>
      <c r="B1216" t="s">
        <v>454</v>
      </c>
      <c r="C1216" s="3">
        <v>45708.566643518519</v>
      </c>
      <c r="D1216" t="s">
        <v>455</v>
      </c>
      <c r="E1216" s="4">
        <v>5.984</v>
      </c>
      <c r="F1216" s="4">
        <v>401565.78</v>
      </c>
      <c r="G1216" s="4">
        <v>401571.76400000002</v>
      </c>
      <c r="H1216" s="5">
        <f>520 / 86400</f>
        <v>6.0185185185185185E-3</v>
      </c>
      <c r="I1216" t="s">
        <v>207</v>
      </c>
      <c r="J1216" t="s">
        <v>29</v>
      </c>
      <c r="K1216" s="5">
        <f>1689 / 86400</f>
        <v>1.954861111111111E-2</v>
      </c>
      <c r="L1216" s="5">
        <f>2755 / 86400</f>
        <v>3.1886574074074074E-2</v>
      </c>
    </row>
    <row r="1217" spans="1:12" x14ac:dyDescent="0.25">
      <c r="A1217" s="3">
        <v>45708.598530092597</v>
      </c>
      <c r="B1217" t="s">
        <v>455</v>
      </c>
      <c r="C1217" s="3">
        <v>45708.78329861111</v>
      </c>
      <c r="D1217" t="s">
        <v>103</v>
      </c>
      <c r="E1217" s="4">
        <v>59.023000000000003</v>
      </c>
      <c r="F1217" s="4">
        <v>401571.76400000002</v>
      </c>
      <c r="G1217" s="4">
        <v>401630.78700000001</v>
      </c>
      <c r="H1217" s="5">
        <f>5782 / 86400</f>
        <v>6.6921296296296298E-2</v>
      </c>
      <c r="I1217" t="s">
        <v>104</v>
      </c>
      <c r="J1217" t="s">
        <v>29</v>
      </c>
      <c r="K1217" s="5">
        <f>15964 / 86400</f>
        <v>0.18476851851851853</v>
      </c>
      <c r="L1217" s="5">
        <f>18722 / 86400</f>
        <v>0.21668981481481481</v>
      </c>
    </row>
    <row r="1218" spans="1:12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</row>
    <row r="1219" spans="1:12" x14ac:dyDescent="0.25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</row>
    <row r="1220" spans="1:12" s="10" customFormat="1" ht="20.100000000000001" customHeight="1" x14ac:dyDescent="0.35">
      <c r="A1220" s="15" t="s">
        <v>513</v>
      </c>
      <c r="B1220" s="15"/>
      <c r="C1220" s="15"/>
      <c r="D1220" s="15"/>
      <c r="E1220" s="15"/>
      <c r="F1220" s="15"/>
      <c r="G1220" s="15"/>
      <c r="H1220" s="15"/>
      <c r="I1220" s="15"/>
      <c r="J1220" s="15"/>
    </row>
    <row r="1221" spans="1:12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</row>
    <row r="1222" spans="1:12" ht="30" x14ac:dyDescent="0.25">
      <c r="A1222" s="2" t="s">
        <v>6</v>
      </c>
      <c r="B1222" s="2" t="s">
        <v>7</v>
      </c>
      <c r="C1222" s="2" t="s">
        <v>8</v>
      </c>
      <c r="D1222" s="2" t="s">
        <v>9</v>
      </c>
      <c r="E1222" s="2" t="s">
        <v>10</v>
      </c>
      <c r="F1222" s="2" t="s">
        <v>11</v>
      </c>
      <c r="G1222" s="2" t="s">
        <v>12</v>
      </c>
      <c r="H1222" s="2" t="s">
        <v>13</v>
      </c>
      <c r="I1222" s="2" t="s">
        <v>14</v>
      </c>
      <c r="J1222" s="2" t="s">
        <v>15</v>
      </c>
      <c r="K1222" s="2" t="s">
        <v>16</v>
      </c>
      <c r="L1222" s="2" t="s">
        <v>17</v>
      </c>
    </row>
    <row r="1223" spans="1:12" x14ac:dyDescent="0.25">
      <c r="A1223" s="3">
        <v>45708.188796296294</v>
      </c>
      <c r="B1223" t="s">
        <v>27</v>
      </c>
      <c r="C1223" s="3">
        <v>45708.197534722218</v>
      </c>
      <c r="D1223" t="s">
        <v>84</v>
      </c>
      <c r="E1223" s="4">
        <v>2.8130000000000002</v>
      </c>
      <c r="F1223" s="4">
        <v>383330.375</v>
      </c>
      <c r="G1223" s="4">
        <v>383333.18800000002</v>
      </c>
      <c r="H1223" s="5">
        <f>259 / 86400</f>
        <v>2.9976851851851853E-3</v>
      </c>
      <c r="I1223" t="s">
        <v>179</v>
      </c>
      <c r="J1223" t="s">
        <v>29</v>
      </c>
      <c r="K1223" s="5">
        <f>755 / 86400</f>
        <v>8.7384259259259255E-3</v>
      </c>
      <c r="L1223" s="5">
        <f>16520 / 86400</f>
        <v>0.19120370370370371</v>
      </c>
    </row>
    <row r="1224" spans="1:12" x14ac:dyDescent="0.25">
      <c r="A1224" s="3">
        <v>45708.199942129635</v>
      </c>
      <c r="B1224" t="s">
        <v>84</v>
      </c>
      <c r="C1224" s="3">
        <v>45708.41987268519</v>
      </c>
      <c r="D1224" t="s">
        <v>53</v>
      </c>
      <c r="E1224" s="4">
        <v>93.873999999999995</v>
      </c>
      <c r="F1224" s="4">
        <v>383333.18800000002</v>
      </c>
      <c r="G1224" s="4">
        <v>383427.06199999998</v>
      </c>
      <c r="H1224" s="5">
        <f>5781 / 86400</f>
        <v>6.6909722222222218E-2</v>
      </c>
      <c r="I1224" t="s">
        <v>298</v>
      </c>
      <c r="J1224" t="s">
        <v>34</v>
      </c>
      <c r="K1224" s="5">
        <f>19001 / 86400</f>
        <v>0.21991898148148148</v>
      </c>
      <c r="L1224" s="5">
        <f>4043 / 86400</f>
        <v>4.6793981481481478E-2</v>
      </c>
    </row>
    <row r="1225" spans="1:12" x14ac:dyDescent="0.25">
      <c r="A1225" s="3">
        <v>45708.466666666667</v>
      </c>
      <c r="B1225" t="s">
        <v>53</v>
      </c>
      <c r="C1225" s="3">
        <v>45708.470648148148</v>
      </c>
      <c r="D1225" t="s">
        <v>149</v>
      </c>
      <c r="E1225" s="4">
        <v>1.0629999999999999</v>
      </c>
      <c r="F1225" s="4">
        <v>383427.06199999998</v>
      </c>
      <c r="G1225" s="4">
        <v>383428.125</v>
      </c>
      <c r="H1225" s="5">
        <f>40 / 86400</f>
        <v>4.6296296296296298E-4</v>
      </c>
      <c r="I1225" t="s">
        <v>142</v>
      </c>
      <c r="J1225" t="s">
        <v>86</v>
      </c>
      <c r="K1225" s="5">
        <f>343 / 86400</f>
        <v>3.9699074074074072E-3</v>
      </c>
      <c r="L1225" s="5">
        <f>28 / 86400</f>
        <v>3.2407407407407406E-4</v>
      </c>
    </row>
    <row r="1226" spans="1:12" x14ac:dyDescent="0.25">
      <c r="A1226" s="3">
        <v>45708.470972222218</v>
      </c>
      <c r="B1226" t="s">
        <v>149</v>
      </c>
      <c r="C1226" s="3">
        <v>45708.471516203703</v>
      </c>
      <c r="D1226" t="s">
        <v>127</v>
      </c>
      <c r="E1226" s="4">
        <v>6.5000000000000002E-2</v>
      </c>
      <c r="F1226" s="4">
        <v>383428.125</v>
      </c>
      <c r="G1226" s="4">
        <v>383428.19</v>
      </c>
      <c r="H1226" s="5">
        <f>0 / 86400</f>
        <v>0</v>
      </c>
      <c r="I1226" t="s">
        <v>97</v>
      </c>
      <c r="J1226" t="s">
        <v>55</v>
      </c>
      <c r="K1226" s="5">
        <f>46 / 86400</f>
        <v>5.3240740740740744E-4</v>
      </c>
      <c r="L1226" s="5">
        <f>2519 / 86400</f>
        <v>2.9155092592592594E-2</v>
      </c>
    </row>
    <row r="1227" spans="1:12" x14ac:dyDescent="0.25">
      <c r="A1227" s="3">
        <v>45708.500671296293</v>
      </c>
      <c r="B1227" t="s">
        <v>127</v>
      </c>
      <c r="C1227" s="3">
        <v>45708.506481481483</v>
      </c>
      <c r="D1227" t="s">
        <v>456</v>
      </c>
      <c r="E1227" s="4">
        <v>1.7649999999999999</v>
      </c>
      <c r="F1227" s="4">
        <v>383428.19</v>
      </c>
      <c r="G1227" s="4">
        <v>383429.95500000002</v>
      </c>
      <c r="H1227" s="5">
        <f>140 / 86400</f>
        <v>1.6203703703703703E-3</v>
      </c>
      <c r="I1227" t="s">
        <v>142</v>
      </c>
      <c r="J1227" t="s">
        <v>29</v>
      </c>
      <c r="K1227" s="5">
        <f>502 / 86400</f>
        <v>5.8101851851851856E-3</v>
      </c>
      <c r="L1227" s="5">
        <f>309 / 86400</f>
        <v>3.5763888888888889E-3</v>
      </c>
    </row>
    <row r="1228" spans="1:12" x14ac:dyDescent="0.25">
      <c r="A1228" s="3">
        <v>45708.510057870371</v>
      </c>
      <c r="B1228" t="s">
        <v>456</v>
      </c>
      <c r="C1228" s="3">
        <v>45708.543333333335</v>
      </c>
      <c r="D1228" t="s">
        <v>27</v>
      </c>
      <c r="E1228" s="4">
        <v>23.404</v>
      </c>
      <c r="F1228" s="4">
        <v>383429.95500000002</v>
      </c>
      <c r="G1228" s="4">
        <v>383453.359</v>
      </c>
      <c r="H1228" s="5">
        <f>300 / 86400</f>
        <v>3.472222222222222E-3</v>
      </c>
      <c r="I1228" t="s">
        <v>37</v>
      </c>
      <c r="J1228" t="s">
        <v>217</v>
      </c>
      <c r="K1228" s="5">
        <f>2874 / 86400</f>
        <v>3.3263888888888891E-2</v>
      </c>
      <c r="L1228" s="5">
        <f>12121 / 86400</f>
        <v>0.14028935185185185</v>
      </c>
    </row>
    <row r="1229" spans="1:12" x14ac:dyDescent="0.25">
      <c r="A1229" s="3">
        <v>45708.683622685188</v>
      </c>
      <c r="B1229" t="s">
        <v>27</v>
      </c>
      <c r="C1229" s="3">
        <v>45708.687615740739</v>
      </c>
      <c r="D1229" t="s">
        <v>27</v>
      </c>
      <c r="E1229" s="4">
        <v>0.23799999999999999</v>
      </c>
      <c r="F1229" s="4">
        <v>383453.359</v>
      </c>
      <c r="G1229" s="4">
        <v>383453.59700000001</v>
      </c>
      <c r="H1229" s="5">
        <f>199 / 86400</f>
        <v>2.3032407407407407E-3</v>
      </c>
      <c r="I1229" t="s">
        <v>65</v>
      </c>
      <c r="J1229" t="s">
        <v>136</v>
      </c>
      <c r="K1229" s="5">
        <f>344 / 86400</f>
        <v>3.9814814814814817E-3</v>
      </c>
      <c r="L1229" s="5">
        <f>26989 / 86400</f>
        <v>0.31237268518518518</v>
      </c>
    </row>
    <row r="1230" spans="1:12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</row>
    <row r="1231" spans="1:1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</row>
    <row r="1232" spans="1:12" s="10" customFormat="1" ht="20.100000000000001" customHeight="1" x14ac:dyDescent="0.35">
      <c r="A1232" s="15" t="s">
        <v>514</v>
      </c>
      <c r="B1232" s="15"/>
      <c r="C1232" s="15"/>
      <c r="D1232" s="15"/>
      <c r="E1232" s="15"/>
      <c r="F1232" s="15"/>
      <c r="G1232" s="15"/>
      <c r="H1232" s="15"/>
      <c r="I1232" s="15"/>
      <c r="J1232" s="15"/>
    </row>
    <row r="1233" spans="1:12" x14ac:dyDescent="0.2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</row>
    <row r="1234" spans="1:12" ht="30" x14ac:dyDescent="0.25">
      <c r="A1234" s="2" t="s">
        <v>6</v>
      </c>
      <c r="B1234" s="2" t="s">
        <v>7</v>
      </c>
      <c r="C1234" s="2" t="s">
        <v>8</v>
      </c>
      <c r="D1234" s="2" t="s">
        <v>9</v>
      </c>
      <c r="E1234" s="2" t="s">
        <v>10</v>
      </c>
      <c r="F1234" s="2" t="s">
        <v>11</v>
      </c>
      <c r="G1234" s="2" t="s">
        <v>12</v>
      </c>
      <c r="H1234" s="2" t="s">
        <v>13</v>
      </c>
      <c r="I1234" s="2" t="s">
        <v>14</v>
      </c>
      <c r="J1234" s="2" t="s">
        <v>15</v>
      </c>
      <c r="K1234" s="2" t="s">
        <v>16</v>
      </c>
      <c r="L1234" s="2" t="s">
        <v>17</v>
      </c>
    </row>
    <row r="1235" spans="1:12" x14ac:dyDescent="0.25">
      <c r="A1235" s="3">
        <v>45708.298750000002</v>
      </c>
      <c r="B1235" t="s">
        <v>105</v>
      </c>
      <c r="C1235" s="3">
        <v>45708.424247685187</v>
      </c>
      <c r="D1235" t="s">
        <v>419</v>
      </c>
      <c r="E1235" s="4">
        <v>49.798000000000002</v>
      </c>
      <c r="F1235" s="4">
        <v>547293.93099999998</v>
      </c>
      <c r="G1235" s="4">
        <v>547343.72900000005</v>
      </c>
      <c r="H1235" s="5">
        <f>3538 / 86400</f>
        <v>4.0949074074074075E-2</v>
      </c>
      <c r="I1235" t="s">
        <v>64</v>
      </c>
      <c r="J1235" t="s">
        <v>20</v>
      </c>
      <c r="K1235" s="5">
        <f>10842 / 86400</f>
        <v>0.1254861111111111</v>
      </c>
      <c r="L1235" s="5">
        <f>28303 / 86400</f>
        <v>0.32758101851851851</v>
      </c>
    </row>
    <row r="1236" spans="1:12" x14ac:dyDescent="0.25">
      <c r="A1236" s="3">
        <v>45708.453078703707</v>
      </c>
      <c r="B1236" t="s">
        <v>419</v>
      </c>
      <c r="C1236" s="3">
        <v>45708.588101851856</v>
      </c>
      <c r="D1236" t="s">
        <v>149</v>
      </c>
      <c r="E1236" s="4">
        <v>51.405999999999999</v>
      </c>
      <c r="F1236" s="4">
        <v>547343.72900000005</v>
      </c>
      <c r="G1236" s="4">
        <v>547395.13500000001</v>
      </c>
      <c r="H1236" s="5">
        <f>3398 / 86400</f>
        <v>3.9328703703703706E-2</v>
      </c>
      <c r="I1236" t="s">
        <v>263</v>
      </c>
      <c r="J1236" t="s">
        <v>49</v>
      </c>
      <c r="K1236" s="5">
        <f>11666 / 86400</f>
        <v>0.13502314814814814</v>
      </c>
      <c r="L1236" s="5">
        <f>255 / 86400</f>
        <v>2.9513888888888888E-3</v>
      </c>
    </row>
    <row r="1237" spans="1:12" x14ac:dyDescent="0.25">
      <c r="A1237" s="3">
        <v>45708.591053240743</v>
      </c>
      <c r="B1237" t="s">
        <v>149</v>
      </c>
      <c r="C1237" s="3">
        <v>45708.595254629632</v>
      </c>
      <c r="D1237" t="s">
        <v>121</v>
      </c>
      <c r="E1237" s="4">
        <v>1.095</v>
      </c>
      <c r="F1237" s="4">
        <v>547395.13500000001</v>
      </c>
      <c r="G1237" s="4">
        <v>547396.23</v>
      </c>
      <c r="H1237" s="5">
        <f>60 / 86400</f>
        <v>6.9444444444444447E-4</v>
      </c>
      <c r="I1237" t="s">
        <v>142</v>
      </c>
      <c r="J1237" t="s">
        <v>86</v>
      </c>
      <c r="K1237" s="5">
        <f>363 / 86400</f>
        <v>4.2013888888888891E-3</v>
      </c>
      <c r="L1237" s="5">
        <f>1753 / 86400</f>
        <v>2.0289351851851854E-2</v>
      </c>
    </row>
    <row r="1238" spans="1:12" x14ac:dyDescent="0.25">
      <c r="A1238" s="3">
        <v>45708.615543981483</v>
      </c>
      <c r="B1238" t="s">
        <v>121</v>
      </c>
      <c r="C1238" s="3">
        <v>45708.865011574075</v>
      </c>
      <c r="D1238" t="s">
        <v>83</v>
      </c>
      <c r="E1238" s="4">
        <v>94.614999999999995</v>
      </c>
      <c r="F1238" s="4">
        <v>547396.23</v>
      </c>
      <c r="G1238" s="4">
        <v>547490.84499999997</v>
      </c>
      <c r="H1238" s="5">
        <f>6840 / 86400</f>
        <v>7.9166666666666663E-2</v>
      </c>
      <c r="I1238" t="s">
        <v>46</v>
      </c>
      <c r="J1238" t="s">
        <v>49</v>
      </c>
      <c r="K1238" s="5">
        <f>21553 / 86400</f>
        <v>0.24945601851851851</v>
      </c>
      <c r="L1238" s="5">
        <f>495 / 86400</f>
        <v>5.7291666666666663E-3</v>
      </c>
    </row>
    <row r="1239" spans="1:12" x14ac:dyDescent="0.25">
      <c r="A1239" s="3">
        <v>45708.870740740742</v>
      </c>
      <c r="B1239" t="s">
        <v>83</v>
      </c>
      <c r="C1239" s="3">
        <v>45708.874594907407</v>
      </c>
      <c r="D1239" t="s">
        <v>105</v>
      </c>
      <c r="E1239" s="4">
        <v>0.55800000000000005</v>
      </c>
      <c r="F1239" s="4">
        <v>547490.84499999997</v>
      </c>
      <c r="G1239" s="4">
        <v>547491.40300000005</v>
      </c>
      <c r="H1239" s="5">
        <f>99 / 86400</f>
        <v>1.1458333333333333E-3</v>
      </c>
      <c r="I1239" t="s">
        <v>142</v>
      </c>
      <c r="J1239" t="s">
        <v>32</v>
      </c>
      <c r="K1239" s="5">
        <f>333 / 86400</f>
        <v>3.8541666666666668E-3</v>
      </c>
      <c r="L1239" s="5">
        <f>10834 / 86400</f>
        <v>0.12539351851851852</v>
      </c>
    </row>
    <row r="1240" spans="1:12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</row>
    <row r="1241" spans="1:12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</row>
    <row r="1242" spans="1:12" s="10" customFormat="1" ht="20.100000000000001" customHeight="1" x14ac:dyDescent="0.35">
      <c r="A1242" s="15" t="s">
        <v>515</v>
      </c>
      <c r="B1242" s="15"/>
      <c r="C1242" s="15"/>
      <c r="D1242" s="15"/>
      <c r="E1242" s="15"/>
      <c r="F1242" s="15"/>
      <c r="G1242" s="15"/>
      <c r="H1242" s="15"/>
      <c r="I1242" s="15"/>
      <c r="J1242" s="15"/>
    </row>
    <row r="1243" spans="1:12" x14ac:dyDescent="0.2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</row>
    <row r="1244" spans="1:12" ht="30" x14ac:dyDescent="0.25">
      <c r="A1244" s="2" t="s">
        <v>6</v>
      </c>
      <c r="B1244" s="2" t="s">
        <v>7</v>
      </c>
      <c r="C1244" s="2" t="s">
        <v>8</v>
      </c>
      <c r="D1244" s="2" t="s">
        <v>9</v>
      </c>
      <c r="E1244" s="2" t="s">
        <v>10</v>
      </c>
      <c r="F1244" s="2" t="s">
        <v>11</v>
      </c>
      <c r="G1244" s="2" t="s">
        <v>12</v>
      </c>
      <c r="H1244" s="2" t="s">
        <v>13</v>
      </c>
      <c r="I1244" s="2" t="s">
        <v>14</v>
      </c>
      <c r="J1244" s="2" t="s">
        <v>15</v>
      </c>
      <c r="K1244" s="2" t="s">
        <v>16</v>
      </c>
      <c r="L1244" s="2" t="s">
        <v>17</v>
      </c>
    </row>
    <row r="1245" spans="1:12" x14ac:dyDescent="0.25">
      <c r="A1245" s="3">
        <v>45708.00209490741</v>
      </c>
      <c r="B1245" t="s">
        <v>106</v>
      </c>
      <c r="C1245" s="3">
        <v>45708.098599537036</v>
      </c>
      <c r="D1245" t="s">
        <v>407</v>
      </c>
      <c r="E1245" s="4">
        <v>47.74</v>
      </c>
      <c r="F1245" s="4">
        <v>105548.51</v>
      </c>
      <c r="G1245" s="4">
        <v>105596.25</v>
      </c>
      <c r="H1245" s="5">
        <f>3076 / 86400</f>
        <v>3.560185185185185E-2</v>
      </c>
      <c r="I1245" t="s">
        <v>46</v>
      </c>
      <c r="J1245" t="s">
        <v>38</v>
      </c>
      <c r="K1245" s="5">
        <f>8338 / 86400</f>
        <v>9.6504629629629635E-2</v>
      </c>
      <c r="L1245" s="5">
        <f>557 / 86400</f>
        <v>6.4467592592592588E-3</v>
      </c>
    </row>
    <row r="1246" spans="1:12" x14ac:dyDescent="0.25">
      <c r="A1246" s="3">
        <v>45708.102951388893</v>
      </c>
      <c r="B1246" t="s">
        <v>407</v>
      </c>
      <c r="C1246" s="3">
        <v>45708.106874999998</v>
      </c>
      <c r="D1246" t="s">
        <v>114</v>
      </c>
      <c r="E1246" s="4">
        <v>1.8049999999999999</v>
      </c>
      <c r="F1246" s="4">
        <v>105596.25</v>
      </c>
      <c r="G1246" s="4">
        <v>105598.05499999999</v>
      </c>
      <c r="H1246" s="5">
        <f>77 / 86400</f>
        <v>8.9120370370370373E-4</v>
      </c>
      <c r="I1246" t="s">
        <v>190</v>
      </c>
      <c r="J1246" t="s">
        <v>68</v>
      </c>
      <c r="K1246" s="5">
        <f>339 / 86400</f>
        <v>3.9236111111111112E-3</v>
      </c>
      <c r="L1246" s="5">
        <f>1435 / 86400</f>
        <v>1.6608796296296295E-2</v>
      </c>
    </row>
    <row r="1247" spans="1:12" x14ac:dyDescent="0.25">
      <c r="A1247" s="3">
        <v>45708.123483796298</v>
      </c>
      <c r="B1247" t="s">
        <v>114</v>
      </c>
      <c r="C1247" s="3">
        <v>45708.126226851848</v>
      </c>
      <c r="D1247" t="s">
        <v>115</v>
      </c>
      <c r="E1247" s="4">
        <v>0.99399999999999999</v>
      </c>
      <c r="F1247" s="4">
        <v>105598.05499999999</v>
      </c>
      <c r="G1247" s="4">
        <v>105599.049</v>
      </c>
      <c r="H1247" s="5">
        <f>20 / 86400</f>
        <v>2.3148148148148149E-4</v>
      </c>
      <c r="I1247" t="s">
        <v>294</v>
      </c>
      <c r="J1247" t="s">
        <v>44</v>
      </c>
      <c r="K1247" s="5">
        <f>237 / 86400</f>
        <v>2.7430555555555554E-3</v>
      </c>
      <c r="L1247" s="5">
        <f>3739 / 86400</f>
        <v>4.327546296296296E-2</v>
      </c>
    </row>
    <row r="1248" spans="1:12" x14ac:dyDescent="0.25">
      <c r="A1248" s="3">
        <v>45708.169502314813</v>
      </c>
      <c r="B1248" t="s">
        <v>115</v>
      </c>
      <c r="C1248" s="3">
        <v>45708.170011574075</v>
      </c>
      <c r="D1248" t="s">
        <v>115</v>
      </c>
      <c r="E1248" s="4">
        <v>0.04</v>
      </c>
      <c r="F1248" s="4">
        <v>105599.049</v>
      </c>
      <c r="G1248" s="4">
        <v>105599.08900000001</v>
      </c>
      <c r="H1248" s="5">
        <f>0 / 86400</f>
        <v>0</v>
      </c>
      <c r="I1248" t="s">
        <v>137</v>
      </c>
      <c r="J1248" t="s">
        <v>135</v>
      </c>
      <c r="K1248" s="5">
        <f>44 / 86400</f>
        <v>5.0925925925925921E-4</v>
      </c>
      <c r="L1248" s="5">
        <f>11189 / 86400</f>
        <v>0.12950231481481481</v>
      </c>
    </row>
    <row r="1249" spans="1:12" x14ac:dyDescent="0.25">
      <c r="A1249" s="3">
        <v>45708.299513888887</v>
      </c>
      <c r="B1249" t="s">
        <v>115</v>
      </c>
      <c r="C1249" s="3">
        <v>45708.300185185188</v>
      </c>
      <c r="D1249" t="s">
        <v>115</v>
      </c>
      <c r="E1249" s="4">
        <v>0.08</v>
      </c>
      <c r="F1249" s="4">
        <v>105599.08900000001</v>
      </c>
      <c r="G1249" s="4">
        <v>105599.16899999999</v>
      </c>
      <c r="H1249" s="5">
        <f>0 / 86400</f>
        <v>0</v>
      </c>
      <c r="I1249" t="s">
        <v>26</v>
      </c>
      <c r="J1249" t="s">
        <v>55</v>
      </c>
      <c r="K1249" s="5">
        <f>58 / 86400</f>
        <v>6.7129629629629625E-4</v>
      </c>
      <c r="L1249" s="5">
        <f>2483 / 86400</f>
        <v>2.8738425925925924E-2</v>
      </c>
    </row>
    <row r="1250" spans="1:12" x14ac:dyDescent="0.25">
      <c r="A1250" s="3">
        <v>45708.328923611116</v>
      </c>
      <c r="B1250" t="s">
        <v>115</v>
      </c>
      <c r="C1250" s="3">
        <v>45708.332569444443</v>
      </c>
      <c r="D1250" t="s">
        <v>457</v>
      </c>
      <c r="E1250" s="4">
        <v>0.53100000000000003</v>
      </c>
      <c r="F1250" s="4">
        <v>105599.16899999999</v>
      </c>
      <c r="G1250" s="4">
        <v>105599.7</v>
      </c>
      <c r="H1250" s="5">
        <f>197 / 86400</f>
        <v>2.2800925925925927E-3</v>
      </c>
      <c r="I1250" t="s">
        <v>139</v>
      </c>
      <c r="J1250" t="s">
        <v>32</v>
      </c>
      <c r="K1250" s="5">
        <f>315 / 86400</f>
        <v>3.6458333333333334E-3</v>
      </c>
      <c r="L1250" s="5">
        <f>278 / 86400</f>
        <v>3.2175925925925926E-3</v>
      </c>
    </row>
    <row r="1251" spans="1:12" x14ac:dyDescent="0.25">
      <c r="A1251" s="3">
        <v>45708.335787037038</v>
      </c>
      <c r="B1251" t="s">
        <v>457</v>
      </c>
      <c r="C1251" s="3">
        <v>45708.460312499999</v>
      </c>
      <c r="D1251" t="s">
        <v>21</v>
      </c>
      <c r="E1251" s="4">
        <v>52.247</v>
      </c>
      <c r="F1251" s="4">
        <v>105599.7</v>
      </c>
      <c r="G1251" s="4">
        <v>105651.947</v>
      </c>
      <c r="H1251" s="5">
        <f>3844 / 86400</f>
        <v>4.449074074074074E-2</v>
      </c>
      <c r="I1251" t="s">
        <v>123</v>
      </c>
      <c r="J1251" t="s">
        <v>20</v>
      </c>
      <c r="K1251" s="5">
        <f>10759 / 86400</f>
        <v>0.12452546296296296</v>
      </c>
      <c r="L1251" s="5">
        <f>250 / 86400</f>
        <v>2.8935185185185184E-3</v>
      </c>
    </row>
    <row r="1252" spans="1:12" x14ac:dyDescent="0.25">
      <c r="A1252" s="3">
        <v>45708.463206018518</v>
      </c>
      <c r="B1252" t="s">
        <v>21</v>
      </c>
      <c r="C1252" s="3">
        <v>45708.463969907403</v>
      </c>
      <c r="D1252" t="s">
        <v>21</v>
      </c>
      <c r="E1252" s="4">
        <v>1.4E-2</v>
      </c>
      <c r="F1252" s="4">
        <v>105651.947</v>
      </c>
      <c r="G1252" s="4">
        <v>105651.961</v>
      </c>
      <c r="H1252" s="5">
        <f>58 / 86400</f>
        <v>6.7129629629629625E-4</v>
      </c>
      <c r="I1252" t="s">
        <v>22</v>
      </c>
      <c r="J1252" t="s">
        <v>145</v>
      </c>
      <c r="K1252" s="5">
        <f>66 / 86400</f>
        <v>7.6388888888888893E-4</v>
      </c>
      <c r="L1252" s="5">
        <f>497 / 86400</f>
        <v>5.7523148148148151E-3</v>
      </c>
    </row>
    <row r="1253" spans="1:12" x14ac:dyDescent="0.25">
      <c r="A1253" s="3">
        <v>45708.469722222224</v>
      </c>
      <c r="B1253" t="s">
        <v>21</v>
      </c>
      <c r="C1253" s="3">
        <v>45708.607893518521</v>
      </c>
      <c r="D1253" t="s">
        <v>407</v>
      </c>
      <c r="E1253" s="4">
        <v>53.835999999999999</v>
      </c>
      <c r="F1253" s="4">
        <v>105651.961</v>
      </c>
      <c r="G1253" s="4">
        <v>105705.79700000001</v>
      </c>
      <c r="H1253" s="5">
        <f>4338 / 86400</f>
        <v>5.0208333333333334E-2</v>
      </c>
      <c r="I1253" t="s">
        <v>90</v>
      </c>
      <c r="J1253" t="s">
        <v>49</v>
      </c>
      <c r="K1253" s="5">
        <f>11938 / 86400</f>
        <v>0.13817129629629629</v>
      </c>
      <c r="L1253" s="5">
        <f>627 / 86400</f>
        <v>7.2569444444444443E-3</v>
      </c>
    </row>
    <row r="1254" spans="1:12" x14ac:dyDescent="0.25">
      <c r="A1254" s="3">
        <v>45708.615150462967</v>
      </c>
      <c r="B1254" t="s">
        <v>407</v>
      </c>
      <c r="C1254" s="3">
        <v>45708.61618055556</v>
      </c>
      <c r="D1254" t="s">
        <v>115</v>
      </c>
      <c r="E1254" s="4">
        <v>0.46899999999999997</v>
      </c>
      <c r="F1254" s="4">
        <v>105705.79700000001</v>
      </c>
      <c r="G1254" s="4">
        <v>105706.266</v>
      </c>
      <c r="H1254" s="5">
        <f>18 / 86400</f>
        <v>2.0833333333333335E-4</v>
      </c>
      <c r="I1254" t="s">
        <v>207</v>
      </c>
      <c r="J1254" t="s">
        <v>68</v>
      </c>
      <c r="K1254" s="5">
        <f>89 / 86400</f>
        <v>1.0300925925925926E-3</v>
      </c>
      <c r="L1254" s="5">
        <f>1927 / 86400</f>
        <v>2.2303240740740742E-2</v>
      </c>
    </row>
    <row r="1255" spans="1:12" x14ac:dyDescent="0.25">
      <c r="A1255" s="3">
        <v>45708.638483796298</v>
      </c>
      <c r="B1255" t="s">
        <v>115</v>
      </c>
      <c r="C1255" s="3">
        <v>45708.6402662037</v>
      </c>
      <c r="D1255" t="s">
        <v>457</v>
      </c>
      <c r="E1255" s="4">
        <v>0.54700000000000004</v>
      </c>
      <c r="F1255" s="4">
        <v>105706.266</v>
      </c>
      <c r="G1255" s="4">
        <v>105706.81299999999</v>
      </c>
      <c r="H1255" s="5">
        <f>0 / 86400</f>
        <v>0</v>
      </c>
      <c r="I1255" t="s">
        <v>148</v>
      </c>
      <c r="J1255" t="s">
        <v>29</v>
      </c>
      <c r="K1255" s="5">
        <f>154 / 86400</f>
        <v>1.7824074074074075E-3</v>
      </c>
      <c r="L1255" s="5">
        <f>84 / 86400</f>
        <v>9.7222222222222219E-4</v>
      </c>
    </row>
    <row r="1256" spans="1:12" x14ac:dyDescent="0.25">
      <c r="A1256" s="3">
        <v>45708.641238425931</v>
      </c>
      <c r="B1256" t="s">
        <v>457</v>
      </c>
      <c r="C1256" s="3">
        <v>45708.641712962963</v>
      </c>
      <c r="D1256" t="s">
        <v>457</v>
      </c>
      <c r="E1256" s="4">
        <v>1.7000000000000001E-2</v>
      </c>
      <c r="F1256" s="4">
        <v>105706.81299999999</v>
      </c>
      <c r="G1256" s="4">
        <v>105706.83</v>
      </c>
      <c r="H1256" s="5">
        <f>38 / 86400</f>
        <v>4.3981481481481481E-4</v>
      </c>
      <c r="I1256" t="s">
        <v>22</v>
      </c>
      <c r="J1256" t="s">
        <v>145</v>
      </c>
      <c r="K1256" s="5">
        <f>41 / 86400</f>
        <v>4.7453703703703704E-4</v>
      </c>
      <c r="L1256" s="5">
        <f>89 / 86400</f>
        <v>1.0300925925925926E-3</v>
      </c>
    </row>
    <row r="1257" spans="1:12" x14ac:dyDescent="0.25">
      <c r="A1257" s="3">
        <v>45708.642743055556</v>
      </c>
      <c r="B1257" t="s">
        <v>457</v>
      </c>
      <c r="C1257" s="3">
        <v>45708.645266203705</v>
      </c>
      <c r="D1257" t="s">
        <v>408</v>
      </c>
      <c r="E1257" s="4">
        <v>0.112</v>
      </c>
      <c r="F1257" s="4">
        <v>105706.83</v>
      </c>
      <c r="G1257" s="4">
        <v>105706.942</v>
      </c>
      <c r="H1257" s="5">
        <f>158 / 86400</f>
        <v>1.8287037037037037E-3</v>
      </c>
      <c r="I1257" t="s">
        <v>58</v>
      </c>
      <c r="J1257" t="s">
        <v>136</v>
      </c>
      <c r="K1257" s="5">
        <f>218 / 86400</f>
        <v>2.5231481481481481E-3</v>
      </c>
      <c r="L1257" s="5">
        <f>89 / 86400</f>
        <v>1.0300925925925926E-3</v>
      </c>
    </row>
    <row r="1258" spans="1:12" x14ac:dyDescent="0.25">
      <c r="A1258" s="3">
        <v>45708.646296296298</v>
      </c>
      <c r="B1258" t="s">
        <v>408</v>
      </c>
      <c r="C1258" s="3">
        <v>45708.647245370375</v>
      </c>
      <c r="D1258" t="s">
        <v>152</v>
      </c>
      <c r="E1258" s="4">
        <v>0.34699999999999998</v>
      </c>
      <c r="F1258" s="4">
        <v>105706.942</v>
      </c>
      <c r="G1258" s="4">
        <v>105707.289</v>
      </c>
      <c r="H1258" s="5">
        <f>0 / 86400</f>
        <v>0</v>
      </c>
      <c r="I1258" t="s">
        <v>139</v>
      </c>
      <c r="J1258" t="s">
        <v>44</v>
      </c>
      <c r="K1258" s="5">
        <f>82 / 86400</f>
        <v>9.4907407407407408E-4</v>
      </c>
      <c r="L1258" s="5">
        <f>5888 / 86400</f>
        <v>6.8148148148148152E-2</v>
      </c>
    </row>
    <row r="1259" spans="1:12" x14ac:dyDescent="0.25">
      <c r="A1259" s="3">
        <v>45708.71539351852</v>
      </c>
      <c r="B1259" t="s">
        <v>152</v>
      </c>
      <c r="C1259" s="3">
        <v>45708.716539351852</v>
      </c>
      <c r="D1259" t="s">
        <v>114</v>
      </c>
      <c r="E1259" s="4">
        <v>0.17499999999999999</v>
      </c>
      <c r="F1259" s="4">
        <v>105707.289</v>
      </c>
      <c r="G1259" s="4">
        <v>105707.46400000001</v>
      </c>
      <c r="H1259" s="5">
        <f>37 / 86400</f>
        <v>4.2824074074074075E-4</v>
      </c>
      <c r="I1259" t="s">
        <v>68</v>
      </c>
      <c r="J1259" t="s">
        <v>32</v>
      </c>
      <c r="K1259" s="5">
        <f>99 / 86400</f>
        <v>1.1458333333333333E-3</v>
      </c>
      <c r="L1259" s="5">
        <f>233 / 86400</f>
        <v>2.6967592592592594E-3</v>
      </c>
    </row>
    <row r="1260" spans="1:12" x14ac:dyDescent="0.25">
      <c r="A1260" s="3">
        <v>45708.719236111108</v>
      </c>
      <c r="B1260" t="s">
        <v>114</v>
      </c>
      <c r="C1260" s="3">
        <v>45708.813784722224</v>
      </c>
      <c r="D1260" t="s">
        <v>151</v>
      </c>
      <c r="E1260" s="4">
        <v>40.340000000000003</v>
      </c>
      <c r="F1260" s="4">
        <v>105707.46400000001</v>
      </c>
      <c r="G1260" s="4">
        <v>105747.804</v>
      </c>
      <c r="H1260" s="5">
        <f>3261 / 86400</f>
        <v>3.7743055555555557E-2</v>
      </c>
      <c r="I1260" t="s">
        <v>113</v>
      </c>
      <c r="J1260" t="s">
        <v>34</v>
      </c>
      <c r="K1260" s="5">
        <f>8169 / 86400</f>
        <v>9.4548611111111111E-2</v>
      </c>
      <c r="L1260" s="5">
        <f>158 / 86400</f>
        <v>1.8287037037037037E-3</v>
      </c>
    </row>
    <row r="1261" spans="1:12" x14ac:dyDescent="0.25">
      <c r="A1261" s="3">
        <v>45708.815613425926</v>
      </c>
      <c r="B1261" t="s">
        <v>151</v>
      </c>
      <c r="C1261" s="3">
        <v>45708.891215277778</v>
      </c>
      <c r="D1261" t="s">
        <v>458</v>
      </c>
      <c r="E1261" s="4">
        <v>34.820999999999998</v>
      </c>
      <c r="F1261" s="4">
        <v>105747.804</v>
      </c>
      <c r="G1261" s="4">
        <v>105782.625</v>
      </c>
      <c r="H1261" s="5">
        <f>2161 / 86400</f>
        <v>2.5011574074074075E-2</v>
      </c>
      <c r="I1261" t="s">
        <v>120</v>
      </c>
      <c r="J1261" t="s">
        <v>68</v>
      </c>
      <c r="K1261" s="5">
        <f>6532 / 86400</f>
        <v>7.5601851851851851E-2</v>
      </c>
      <c r="L1261" s="5">
        <f>359 / 86400</f>
        <v>4.1550925925925922E-3</v>
      </c>
    </row>
    <row r="1262" spans="1:12" x14ac:dyDescent="0.25">
      <c r="A1262" s="3">
        <v>45708.895370370374</v>
      </c>
      <c r="B1262" t="s">
        <v>458</v>
      </c>
      <c r="C1262" s="3">
        <v>45708.999282407407</v>
      </c>
      <c r="D1262" t="s">
        <v>107</v>
      </c>
      <c r="E1262" s="4">
        <v>44.886000000000003</v>
      </c>
      <c r="F1262" s="4">
        <v>105782.625</v>
      </c>
      <c r="G1262" s="4">
        <v>105827.511</v>
      </c>
      <c r="H1262" s="5">
        <f>4458 / 86400</f>
        <v>5.1597222222222225E-2</v>
      </c>
      <c r="I1262" t="s">
        <v>108</v>
      </c>
      <c r="J1262" t="s">
        <v>34</v>
      </c>
      <c r="K1262" s="5">
        <f>8978 / 86400</f>
        <v>0.10391203703703704</v>
      </c>
      <c r="L1262" s="5">
        <f>61 / 86400</f>
        <v>7.0601851851851847E-4</v>
      </c>
    </row>
    <row r="1263" spans="1:12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</row>
    <row r="1264" spans="1:12" x14ac:dyDescent="0.2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</row>
    <row r="1265" spans="1:12" s="10" customFormat="1" ht="20.100000000000001" customHeight="1" x14ac:dyDescent="0.35">
      <c r="A1265" s="15" t="s">
        <v>516</v>
      </c>
      <c r="B1265" s="15"/>
      <c r="C1265" s="15"/>
      <c r="D1265" s="15"/>
      <c r="E1265" s="15"/>
      <c r="F1265" s="15"/>
      <c r="G1265" s="15"/>
      <c r="H1265" s="15"/>
      <c r="I1265" s="15"/>
      <c r="J1265" s="15"/>
    </row>
    <row r="1266" spans="1:1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</row>
    <row r="1267" spans="1:12" ht="30" x14ac:dyDescent="0.25">
      <c r="A1267" s="2" t="s">
        <v>6</v>
      </c>
      <c r="B1267" s="2" t="s">
        <v>7</v>
      </c>
      <c r="C1267" s="2" t="s">
        <v>8</v>
      </c>
      <c r="D1267" s="2" t="s">
        <v>9</v>
      </c>
      <c r="E1267" s="2" t="s">
        <v>10</v>
      </c>
      <c r="F1267" s="2" t="s">
        <v>11</v>
      </c>
      <c r="G1267" s="2" t="s">
        <v>12</v>
      </c>
      <c r="H1267" s="2" t="s">
        <v>13</v>
      </c>
      <c r="I1267" s="2" t="s">
        <v>14</v>
      </c>
      <c r="J1267" s="2" t="s">
        <v>15</v>
      </c>
      <c r="K1267" s="2" t="s">
        <v>16</v>
      </c>
      <c r="L1267" s="2" t="s">
        <v>17</v>
      </c>
    </row>
    <row r="1268" spans="1:12" x14ac:dyDescent="0.25">
      <c r="A1268" s="3">
        <v>45708.239050925928</v>
      </c>
      <c r="B1268" t="s">
        <v>109</v>
      </c>
      <c r="C1268" s="3">
        <v>45708.440486111111</v>
      </c>
      <c r="D1268" t="s">
        <v>416</v>
      </c>
      <c r="E1268" s="4">
        <v>93.037999999999997</v>
      </c>
      <c r="F1268" s="4">
        <v>46887.633999999998</v>
      </c>
      <c r="G1268" s="4">
        <v>46980.671999999999</v>
      </c>
      <c r="H1268" s="5">
        <f>5662 / 86400</f>
        <v>6.5532407407407414E-2</v>
      </c>
      <c r="I1268" t="s">
        <v>48</v>
      </c>
      <c r="J1268" t="s">
        <v>68</v>
      </c>
      <c r="K1268" s="5">
        <f>17404 / 86400</f>
        <v>0.20143518518518519</v>
      </c>
      <c r="L1268" s="5">
        <f>24219 / 86400</f>
        <v>0.28031250000000002</v>
      </c>
    </row>
    <row r="1269" spans="1:12" x14ac:dyDescent="0.25">
      <c r="A1269" s="3">
        <v>45708.481747685189</v>
      </c>
      <c r="B1269" t="s">
        <v>416</v>
      </c>
      <c r="C1269" s="3">
        <v>45708.484247685185</v>
      </c>
      <c r="D1269" t="s">
        <v>152</v>
      </c>
      <c r="E1269" s="4">
        <v>0.73599999999999999</v>
      </c>
      <c r="F1269" s="4">
        <v>46980.671999999999</v>
      </c>
      <c r="G1269" s="4">
        <v>46981.408000000003</v>
      </c>
      <c r="H1269" s="5">
        <f>77 / 86400</f>
        <v>8.9120370370370373E-4</v>
      </c>
      <c r="I1269" t="s">
        <v>96</v>
      </c>
      <c r="J1269" t="s">
        <v>65</v>
      </c>
      <c r="K1269" s="5">
        <f>216 / 86400</f>
        <v>2.5000000000000001E-3</v>
      </c>
      <c r="L1269" s="5">
        <f>72 / 86400</f>
        <v>8.3333333333333339E-4</v>
      </c>
    </row>
    <row r="1270" spans="1:12" x14ac:dyDescent="0.25">
      <c r="A1270" s="3">
        <v>45708.485081018516</v>
      </c>
      <c r="B1270" t="s">
        <v>152</v>
      </c>
      <c r="C1270" s="3">
        <v>45708.485185185185</v>
      </c>
      <c r="D1270" t="s">
        <v>152</v>
      </c>
      <c r="E1270" s="4">
        <v>0</v>
      </c>
      <c r="F1270" s="4">
        <v>46981.408000000003</v>
      </c>
      <c r="G1270" s="4">
        <v>46981.408000000003</v>
      </c>
      <c r="H1270" s="5">
        <f>0 / 86400</f>
        <v>0</v>
      </c>
      <c r="I1270" t="s">
        <v>22</v>
      </c>
      <c r="J1270" t="s">
        <v>22</v>
      </c>
      <c r="K1270" s="5">
        <f>9 / 86400</f>
        <v>1.0416666666666667E-4</v>
      </c>
      <c r="L1270" s="5">
        <f>1417 / 86400</f>
        <v>1.6400462962962964E-2</v>
      </c>
    </row>
    <row r="1271" spans="1:12" x14ac:dyDescent="0.25">
      <c r="A1271" s="3">
        <v>45708.501585648148</v>
      </c>
      <c r="B1271" t="s">
        <v>152</v>
      </c>
      <c r="C1271" s="3">
        <v>45708.505949074075</v>
      </c>
      <c r="D1271" t="s">
        <v>127</v>
      </c>
      <c r="E1271" s="4">
        <v>1.3520000000000001</v>
      </c>
      <c r="F1271" s="4">
        <v>46981.408000000003</v>
      </c>
      <c r="G1271" s="4">
        <v>46982.76</v>
      </c>
      <c r="H1271" s="5">
        <f>57 / 86400</f>
        <v>6.5972222222222224E-4</v>
      </c>
      <c r="I1271" t="s">
        <v>54</v>
      </c>
      <c r="J1271" t="s">
        <v>29</v>
      </c>
      <c r="K1271" s="5">
        <f>377 / 86400</f>
        <v>4.363425925925926E-3</v>
      </c>
      <c r="L1271" s="5">
        <f>308 / 86400</f>
        <v>3.5648148148148149E-3</v>
      </c>
    </row>
    <row r="1272" spans="1:12" x14ac:dyDescent="0.25">
      <c r="A1272" s="3">
        <v>45708.509513888886</v>
      </c>
      <c r="B1272" t="s">
        <v>127</v>
      </c>
      <c r="C1272" s="3">
        <v>45708.736493055556</v>
      </c>
      <c r="D1272" t="s">
        <v>114</v>
      </c>
      <c r="E1272" s="4">
        <v>94.182000000000002</v>
      </c>
      <c r="F1272" s="4">
        <v>46982.76</v>
      </c>
      <c r="G1272" s="4">
        <v>47076.942000000003</v>
      </c>
      <c r="H1272" s="5">
        <f>7496 / 86400</f>
        <v>8.6759259259259258E-2</v>
      </c>
      <c r="I1272" t="s">
        <v>46</v>
      </c>
      <c r="J1272" t="s">
        <v>20</v>
      </c>
      <c r="K1272" s="5">
        <f>19611 / 86400</f>
        <v>0.22697916666666668</v>
      </c>
      <c r="L1272" s="5">
        <f>693 / 86400</f>
        <v>8.0208333333333329E-3</v>
      </c>
    </row>
    <row r="1273" spans="1:12" x14ac:dyDescent="0.25">
      <c r="A1273" s="3">
        <v>45708.744513888887</v>
      </c>
      <c r="B1273" t="s">
        <v>114</v>
      </c>
      <c r="C1273" s="3">
        <v>45708.747939814813</v>
      </c>
      <c r="D1273" t="s">
        <v>408</v>
      </c>
      <c r="E1273" s="4">
        <v>0.59199999999999997</v>
      </c>
      <c r="F1273" s="4">
        <v>47076.942000000003</v>
      </c>
      <c r="G1273" s="4">
        <v>47077.534</v>
      </c>
      <c r="H1273" s="5">
        <f>120 / 86400</f>
        <v>1.3888888888888889E-3</v>
      </c>
      <c r="I1273" t="s">
        <v>44</v>
      </c>
      <c r="J1273" t="s">
        <v>26</v>
      </c>
      <c r="K1273" s="5">
        <f>296 / 86400</f>
        <v>3.425925925925926E-3</v>
      </c>
      <c r="L1273" s="5">
        <f>284 / 86400</f>
        <v>3.2870370370370371E-3</v>
      </c>
    </row>
    <row r="1274" spans="1:12" x14ac:dyDescent="0.25">
      <c r="A1274" s="3">
        <v>45708.751226851848</v>
      </c>
      <c r="B1274" t="s">
        <v>408</v>
      </c>
      <c r="C1274" s="3">
        <v>45708.755856481483</v>
      </c>
      <c r="D1274" t="s">
        <v>110</v>
      </c>
      <c r="E1274" s="4">
        <v>1.046</v>
      </c>
      <c r="F1274" s="4">
        <v>47077.534</v>
      </c>
      <c r="G1274" s="4">
        <v>47078.58</v>
      </c>
      <c r="H1274" s="5">
        <f>37 / 86400</f>
        <v>4.2824074074074075E-4</v>
      </c>
      <c r="I1274" t="s">
        <v>142</v>
      </c>
      <c r="J1274" t="s">
        <v>137</v>
      </c>
      <c r="K1274" s="5">
        <f>400 / 86400</f>
        <v>4.6296296296296294E-3</v>
      </c>
      <c r="L1274" s="5">
        <f>1180 / 86400</f>
        <v>1.3657407407407408E-2</v>
      </c>
    </row>
    <row r="1275" spans="1:12" x14ac:dyDescent="0.25">
      <c r="A1275" s="3">
        <v>45708.769513888888</v>
      </c>
      <c r="B1275" t="s">
        <v>110</v>
      </c>
      <c r="C1275" s="3">
        <v>45708.77039351852</v>
      </c>
      <c r="D1275" t="s">
        <v>110</v>
      </c>
      <c r="E1275" s="4">
        <v>0</v>
      </c>
      <c r="F1275" s="4">
        <v>47078.58</v>
      </c>
      <c r="G1275" s="4">
        <v>47078.58</v>
      </c>
      <c r="H1275" s="5">
        <f>57 / 86400</f>
        <v>6.5972222222222224E-4</v>
      </c>
      <c r="I1275" t="s">
        <v>22</v>
      </c>
      <c r="J1275" t="s">
        <v>22</v>
      </c>
      <c r="K1275" s="5">
        <f>76 / 86400</f>
        <v>8.7962962962962962E-4</v>
      </c>
      <c r="L1275" s="5">
        <f>19837 / 86400</f>
        <v>0.2295949074074074</v>
      </c>
    </row>
    <row r="1276" spans="1:12" x14ac:dyDescent="0.25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</row>
    <row r="1277" spans="1:12" x14ac:dyDescent="0.2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</row>
    <row r="1278" spans="1:12" s="10" customFormat="1" ht="20.100000000000001" customHeight="1" x14ac:dyDescent="0.35">
      <c r="A1278" s="15" t="s">
        <v>517</v>
      </c>
      <c r="B1278" s="15"/>
      <c r="C1278" s="15"/>
      <c r="D1278" s="15"/>
      <c r="E1278" s="15"/>
      <c r="F1278" s="15"/>
      <c r="G1278" s="15"/>
      <c r="H1278" s="15"/>
      <c r="I1278" s="15"/>
      <c r="J1278" s="15"/>
    </row>
    <row r="1279" spans="1:12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</row>
    <row r="1280" spans="1:12" ht="30" x14ac:dyDescent="0.25">
      <c r="A1280" s="2" t="s">
        <v>6</v>
      </c>
      <c r="B1280" s="2" t="s">
        <v>7</v>
      </c>
      <c r="C1280" s="2" t="s">
        <v>8</v>
      </c>
      <c r="D1280" s="2" t="s">
        <v>9</v>
      </c>
      <c r="E1280" s="2" t="s">
        <v>10</v>
      </c>
      <c r="F1280" s="2" t="s">
        <v>11</v>
      </c>
      <c r="G1280" s="2" t="s">
        <v>12</v>
      </c>
      <c r="H1280" s="2" t="s">
        <v>13</v>
      </c>
      <c r="I1280" s="2" t="s">
        <v>14</v>
      </c>
      <c r="J1280" s="2" t="s">
        <v>15</v>
      </c>
      <c r="K1280" s="2" t="s">
        <v>16</v>
      </c>
      <c r="L1280" s="2" t="s">
        <v>17</v>
      </c>
    </row>
    <row r="1281" spans="1:12" x14ac:dyDescent="0.25">
      <c r="A1281" s="3">
        <v>45708.157708333332</v>
      </c>
      <c r="B1281" t="s">
        <v>95</v>
      </c>
      <c r="C1281" s="3">
        <v>45708.241956018523</v>
      </c>
      <c r="D1281" t="s">
        <v>459</v>
      </c>
      <c r="E1281" s="4">
        <v>50.82</v>
      </c>
      <c r="F1281" s="4">
        <v>80485.611999999994</v>
      </c>
      <c r="G1281" s="4">
        <v>80536.432000000001</v>
      </c>
      <c r="H1281" s="5">
        <f>1878 / 86400</f>
        <v>2.1736111111111112E-2</v>
      </c>
      <c r="I1281" t="s">
        <v>57</v>
      </c>
      <c r="J1281" t="s">
        <v>142</v>
      </c>
      <c r="K1281" s="5">
        <f>7279 / 86400</f>
        <v>8.4247685185185189E-2</v>
      </c>
      <c r="L1281" s="5">
        <f>13666 / 86400</f>
        <v>0.15817129629629631</v>
      </c>
    </row>
    <row r="1282" spans="1:12" x14ac:dyDescent="0.25">
      <c r="A1282" s="3">
        <v>45708.242418981477</v>
      </c>
      <c r="B1282" t="s">
        <v>459</v>
      </c>
      <c r="C1282" s="3">
        <v>45708.328263888892</v>
      </c>
      <c r="D1282" t="s">
        <v>152</v>
      </c>
      <c r="E1282" s="4">
        <v>49.174999999999997</v>
      </c>
      <c r="F1282" s="4">
        <v>80536.432000000001</v>
      </c>
      <c r="G1282" s="4">
        <v>80585.607000000004</v>
      </c>
      <c r="H1282" s="5">
        <f>1660 / 86400</f>
        <v>1.9212962962962963E-2</v>
      </c>
      <c r="I1282" t="s">
        <v>130</v>
      </c>
      <c r="J1282" t="s">
        <v>157</v>
      </c>
      <c r="K1282" s="5">
        <f>7417 / 86400</f>
        <v>8.5844907407407411E-2</v>
      </c>
      <c r="L1282" s="5">
        <f>24 / 86400</f>
        <v>2.7777777777777778E-4</v>
      </c>
    </row>
    <row r="1283" spans="1:12" x14ac:dyDescent="0.25">
      <c r="A1283" s="3">
        <v>45708.328541666662</v>
      </c>
      <c r="B1283" t="s">
        <v>152</v>
      </c>
      <c r="C1283" s="3">
        <v>45708.330300925925</v>
      </c>
      <c r="D1283" t="s">
        <v>83</v>
      </c>
      <c r="E1283" s="4">
        <v>0.88100000000000001</v>
      </c>
      <c r="F1283" s="4">
        <v>80585.607000000004</v>
      </c>
      <c r="G1283" s="4">
        <v>80586.487999999998</v>
      </c>
      <c r="H1283" s="5">
        <f>0 / 86400</f>
        <v>0</v>
      </c>
      <c r="I1283" t="s">
        <v>201</v>
      </c>
      <c r="J1283" t="s">
        <v>38</v>
      </c>
      <c r="K1283" s="5">
        <f>152 / 86400</f>
        <v>1.7592592592592592E-3</v>
      </c>
      <c r="L1283" s="5">
        <f>484 / 86400</f>
        <v>5.6018518518518518E-3</v>
      </c>
    </row>
    <row r="1284" spans="1:12" x14ac:dyDescent="0.25">
      <c r="A1284" s="3">
        <v>45708.335902777777</v>
      </c>
      <c r="B1284" t="s">
        <v>152</v>
      </c>
      <c r="C1284" s="3">
        <v>45708.336817129632</v>
      </c>
      <c r="D1284" t="s">
        <v>114</v>
      </c>
      <c r="E1284" s="4">
        <v>0.109</v>
      </c>
      <c r="F1284" s="4">
        <v>80586.487999999998</v>
      </c>
      <c r="G1284" s="4">
        <v>80586.596999999994</v>
      </c>
      <c r="H1284" s="5">
        <f>38 / 86400</f>
        <v>4.3981481481481481E-4</v>
      </c>
      <c r="I1284" t="s">
        <v>157</v>
      </c>
      <c r="J1284" t="s">
        <v>55</v>
      </c>
      <c r="K1284" s="5">
        <f>79 / 86400</f>
        <v>9.1435185185185185E-4</v>
      </c>
      <c r="L1284" s="5">
        <f>198 / 86400</f>
        <v>2.2916666666666667E-3</v>
      </c>
    </row>
    <row r="1285" spans="1:12" x14ac:dyDescent="0.25">
      <c r="A1285" s="3">
        <v>45708.339108796295</v>
      </c>
      <c r="B1285" t="s">
        <v>114</v>
      </c>
      <c r="C1285" s="3">
        <v>45708.342546296291</v>
      </c>
      <c r="D1285" t="s">
        <v>149</v>
      </c>
      <c r="E1285" s="4">
        <v>1.1499999999999999</v>
      </c>
      <c r="F1285" s="4">
        <v>80586.596999999994</v>
      </c>
      <c r="G1285" s="4">
        <v>80587.747000000003</v>
      </c>
      <c r="H1285" s="5">
        <f>80 / 86400</f>
        <v>9.2592592592592596E-4</v>
      </c>
      <c r="I1285" t="s">
        <v>150</v>
      </c>
      <c r="J1285" t="s">
        <v>58</v>
      </c>
      <c r="K1285" s="5">
        <f>297 / 86400</f>
        <v>3.4375E-3</v>
      </c>
      <c r="L1285" s="5">
        <f>1047 / 86400</f>
        <v>1.2118055555555556E-2</v>
      </c>
    </row>
    <row r="1286" spans="1:12" x14ac:dyDescent="0.25">
      <c r="A1286" s="3">
        <v>45708.354664351849</v>
      </c>
      <c r="B1286" t="s">
        <v>149</v>
      </c>
      <c r="C1286" s="3">
        <v>45708.578865740739</v>
      </c>
      <c r="D1286" t="s">
        <v>152</v>
      </c>
      <c r="E1286" s="4">
        <v>102.64700000000001</v>
      </c>
      <c r="F1286" s="4">
        <v>80587.747000000003</v>
      </c>
      <c r="G1286" s="4">
        <v>80690.394</v>
      </c>
      <c r="H1286" s="5">
        <f>5957 / 86400</f>
        <v>6.8946759259259263E-2</v>
      </c>
      <c r="I1286" t="s">
        <v>130</v>
      </c>
      <c r="J1286" t="s">
        <v>68</v>
      </c>
      <c r="K1286" s="5">
        <f>19371 / 86400</f>
        <v>0.22420138888888888</v>
      </c>
      <c r="L1286" s="5">
        <f>21 / 86400</f>
        <v>2.4305555555555555E-4</v>
      </c>
    </row>
    <row r="1287" spans="1:12" x14ac:dyDescent="0.25">
      <c r="A1287" s="3">
        <v>45708.579108796301</v>
      </c>
      <c r="B1287" t="s">
        <v>152</v>
      </c>
      <c r="C1287" s="3">
        <v>45708.580231481479</v>
      </c>
      <c r="D1287" t="s">
        <v>83</v>
      </c>
      <c r="E1287" s="4">
        <v>0.13600000000000001</v>
      </c>
      <c r="F1287" s="4">
        <v>80690.394</v>
      </c>
      <c r="G1287" s="4">
        <v>80690.53</v>
      </c>
      <c r="H1287" s="5">
        <f>0 / 86400</f>
        <v>0</v>
      </c>
      <c r="I1287" t="s">
        <v>20</v>
      </c>
      <c r="J1287" t="s">
        <v>55</v>
      </c>
      <c r="K1287" s="5">
        <f>97 / 86400</f>
        <v>1.1226851851851851E-3</v>
      </c>
      <c r="L1287" s="5">
        <f>278 / 86400</f>
        <v>3.2175925925925926E-3</v>
      </c>
    </row>
    <row r="1288" spans="1:12" x14ac:dyDescent="0.25">
      <c r="A1288" s="3">
        <v>45708.583449074074</v>
      </c>
      <c r="B1288" t="s">
        <v>83</v>
      </c>
      <c r="C1288" s="3">
        <v>45708.584340277783</v>
      </c>
      <c r="D1288" t="s">
        <v>114</v>
      </c>
      <c r="E1288" s="4">
        <v>0.22</v>
      </c>
      <c r="F1288" s="4">
        <v>80690.53</v>
      </c>
      <c r="G1288" s="4">
        <v>80690.75</v>
      </c>
      <c r="H1288" s="5">
        <f>0 / 86400</f>
        <v>0</v>
      </c>
      <c r="I1288" t="s">
        <v>20</v>
      </c>
      <c r="J1288" t="s">
        <v>97</v>
      </c>
      <c r="K1288" s="5">
        <f>77 / 86400</f>
        <v>8.9120370370370373E-4</v>
      </c>
      <c r="L1288" s="5">
        <f>439 / 86400</f>
        <v>5.0810185185185186E-3</v>
      </c>
    </row>
    <row r="1289" spans="1:12" x14ac:dyDescent="0.25">
      <c r="A1289" s="3">
        <v>45708.589421296296</v>
      </c>
      <c r="B1289" t="s">
        <v>114</v>
      </c>
      <c r="C1289" s="3">
        <v>45708.715057870373</v>
      </c>
      <c r="D1289" t="s">
        <v>460</v>
      </c>
      <c r="E1289" s="4">
        <v>50.654000000000003</v>
      </c>
      <c r="F1289" s="4">
        <v>80690.75</v>
      </c>
      <c r="G1289" s="4">
        <v>80741.403999999995</v>
      </c>
      <c r="H1289" s="5">
        <f>4159 / 86400</f>
        <v>4.8136574074074075E-2</v>
      </c>
      <c r="I1289" t="s">
        <v>118</v>
      </c>
      <c r="J1289" t="s">
        <v>20</v>
      </c>
      <c r="K1289" s="5">
        <f>10855 / 86400</f>
        <v>0.12563657407407408</v>
      </c>
      <c r="L1289" s="5">
        <f>377 / 86400</f>
        <v>4.363425925925926E-3</v>
      </c>
    </row>
    <row r="1290" spans="1:12" x14ac:dyDescent="0.25">
      <c r="A1290" s="3">
        <v>45708.719421296293</v>
      </c>
      <c r="B1290" t="s">
        <v>460</v>
      </c>
      <c r="C1290" s="3">
        <v>45708.855266203704</v>
      </c>
      <c r="D1290" t="s">
        <v>114</v>
      </c>
      <c r="E1290" s="4">
        <v>49.962000000000003</v>
      </c>
      <c r="F1290" s="4">
        <v>80741.403999999995</v>
      </c>
      <c r="G1290" s="4">
        <v>80791.365999999995</v>
      </c>
      <c r="H1290" s="5">
        <f>4097 / 86400</f>
        <v>4.7418981481481479E-2</v>
      </c>
      <c r="I1290" t="s">
        <v>263</v>
      </c>
      <c r="J1290" t="s">
        <v>44</v>
      </c>
      <c r="K1290" s="5">
        <f>11737 / 86400</f>
        <v>0.1358449074074074</v>
      </c>
      <c r="L1290" s="5">
        <f>296 / 86400</f>
        <v>3.425925925925926E-3</v>
      </c>
    </row>
    <row r="1291" spans="1:12" x14ac:dyDescent="0.25">
      <c r="A1291" s="3">
        <v>45708.85869212963</v>
      </c>
      <c r="B1291" t="s">
        <v>114</v>
      </c>
      <c r="C1291" s="3">
        <v>45708.865266203706</v>
      </c>
      <c r="D1291" t="s">
        <v>152</v>
      </c>
      <c r="E1291" s="4">
        <v>0.88500000000000001</v>
      </c>
      <c r="F1291" s="4">
        <v>80791.365999999995</v>
      </c>
      <c r="G1291" s="4">
        <v>80792.251000000004</v>
      </c>
      <c r="H1291" s="5">
        <f>360 / 86400</f>
        <v>4.1666666666666666E-3</v>
      </c>
      <c r="I1291" t="s">
        <v>157</v>
      </c>
      <c r="J1291" t="s">
        <v>32</v>
      </c>
      <c r="K1291" s="5">
        <f>568 / 86400</f>
        <v>6.5740740740740742E-3</v>
      </c>
      <c r="L1291" s="5">
        <f>1649 / 86400</f>
        <v>1.9085648148148147E-2</v>
      </c>
    </row>
    <row r="1292" spans="1:12" x14ac:dyDescent="0.25">
      <c r="A1292" s="3">
        <v>45708.884351851855</v>
      </c>
      <c r="B1292" t="s">
        <v>152</v>
      </c>
      <c r="C1292" s="3">
        <v>45708.887638888889</v>
      </c>
      <c r="D1292" t="s">
        <v>95</v>
      </c>
      <c r="E1292" s="4">
        <v>1.018</v>
      </c>
      <c r="F1292" s="4">
        <v>80792.251000000004</v>
      </c>
      <c r="G1292" s="4">
        <v>80793.269</v>
      </c>
      <c r="H1292" s="5">
        <f>80 / 86400</f>
        <v>9.2592592592592596E-4</v>
      </c>
      <c r="I1292" t="s">
        <v>217</v>
      </c>
      <c r="J1292" t="s">
        <v>29</v>
      </c>
      <c r="K1292" s="5">
        <f>284 / 86400</f>
        <v>3.2870370370370371E-3</v>
      </c>
      <c r="L1292" s="5">
        <f>9707 / 86400</f>
        <v>0.11234953703703704</v>
      </c>
    </row>
    <row r="1293" spans="1:12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</row>
    <row r="1294" spans="1:1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</row>
    <row r="1295" spans="1:12" s="10" customFormat="1" ht="20.100000000000001" customHeight="1" x14ac:dyDescent="0.35">
      <c r="A1295" s="15" t="s">
        <v>518</v>
      </c>
      <c r="B1295" s="15"/>
      <c r="C1295" s="15"/>
      <c r="D1295" s="15"/>
      <c r="E1295" s="15"/>
      <c r="F1295" s="15"/>
      <c r="G1295" s="15"/>
      <c r="H1295" s="15"/>
      <c r="I1295" s="15"/>
      <c r="J1295" s="15"/>
    </row>
    <row r="1296" spans="1:1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</row>
    <row r="1297" spans="1:12" ht="30" x14ac:dyDescent="0.25">
      <c r="A1297" s="2" t="s">
        <v>6</v>
      </c>
      <c r="B1297" s="2" t="s">
        <v>7</v>
      </c>
      <c r="C1297" s="2" t="s">
        <v>8</v>
      </c>
      <c r="D1297" s="2" t="s">
        <v>9</v>
      </c>
      <c r="E1297" s="2" t="s">
        <v>10</v>
      </c>
      <c r="F1297" s="2" t="s">
        <v>11</v>
      </c>
      <c r="G1297" s="2" t="s">
        <v>12</v>
      </c>
      <c r="H1297" s="2" t="s">
        <v>13</v>
      </c>
      <c r="I1297" s="2" t="s">
        <v>14</v>
      </c>
      <c r="J1297" s="2" t="s">
        <v>15</v>
      </c>
      <c r="K1297" s="2" t="s">
        <v>16</v>
      </c>
      <c r="L1297" s="2" t="s">
        <v>17</v>
      </c>
    </row>
    <row r="1298" spans="1:12" x14ac:dyDescent="0.25">
      <c r="A1298" s="3">
        <v>45708.202499999999</v>
      </c>
      <c r="B1298" t="s">
        <v>111</v>
      </c>
      <c r="C1298" s="3">
        <v>45708.398136574076</v>
      </c>
      <c r="D1298" t="s">
        <v>121</v>
      </c>
      <c r="E1298" s="4">
        <v>87.346999999999994</v>
      </c>
      <c r="F1298" s="4">
        <v>42311.485000000001</v>
      </c>
      <c r="G1298" s="4">
        <v>42398.832000000002</v>
      </c>
      <c r="H1298" s="5">
        <f>5490 / 86400</f>
        <v>6.3541666666666663E-2</v>
      </c>
      <c r="I1298" t="s">
        <v>81</v>
      </c>
      <c r="J1298" t="s">
        <v>68</v>
      </c>
      <c r="K1298" s="5">
        <f>16903 / 86400</f>
        <v>0.19563657407407409</v>
      </c>
      <c r="L1298" s="5">
        <f>18984 / 86400</f>
        <v>0.21972222222222224</v>
      </c>
    </row>
    <row r="1299" spans="1:12" x14ac:dyDescent="0.25">
      <c r="A1299" s="3">
        <v>45708.415358796294</v>
      </c>
      <c r="B1299" t="s">
        <v>121</v>
      </c>
      <c r="C1299" s="3">
        <v>45708.425335648149</v>
      </c>
      <c r="D1299" t="s">
        <v>127</v>
      </c>
      <c r="E1299" s="4">
        <v>2.0670000000000002</v>
      </c>
      <c r="F1299" s="4">
        <v>42398.832000000002</v>
      </c>
      <c r="G1299" s="4">
        <v>42400.898999999998</v>
      </c>
      <c r="H1299" s="5">
        <f>359 / 86400</f>
        <v>4.1550925925925922E-3</v>
      </c>
      <c r="I1299" t="s">
        <v>250</v>
      </c>
      <c r="J1299" t="s">
        <v>137</v>
      </c>
      <c r="K1299" s="5">
        <f>862 / 86400</f>
        <v>9.9768518518518513E-3</v>
      </c>
      <c r="L1299" s="5">
        <f>1221 / 86400</f>
        <v>1.4131944444444445E-2</v>
      </c>
    </row>
    <row r="1300" spans="1:12" x14ac:dyDescent="0.25">
      <c r="A1300" s="3">
        <v>45708.439467592594</v>
      </c>
      <c r="B1300" t="s">
        <v>127</v>
      </c>
      <c r="C1300" s="3">
        <v>45708.655775462961</v>
      </c>
      <c r="D1300" t="s">
        <v>83</v>
      </c>
      <c r="E1300" s="4">
        <v>95.718999999999994</v>
      </c>
      <c r="F1300" s="4">
        <v>42400.898999999998</v>
      </c>
      <c r="G1300" s="4">
        <v>42496.618000000002</v>
      </c>
      <c r="H1300" s="5">
        <f>5288 / 86400</f>
        <v>6.1203703703703705E-2</v>
      </c>
      <c r="I1300" t="s">
        <v>46</v>
      </c>
      <c r="J1300" t="s">
        <v>34</v>
      </c>
      <c r="K1300" s="5">
        <f>18689 / 86400</f>
        <v>0.21630787037037036</v>
      </c>
      <c r="L1300" s="5">
        <f>1080 / 86400</f>
        <v>1.2500000000000001E-2</v>
      </c>
    </row>
    <row r="1301" spans="1:12" x14ac:dyDescent="0.25">
      <c r="A1301" s="3">
        <v>45708.668275462958</v>
      </c>
      <c r="B1301" t="s">
        <v>83</v>
      </c>
      <c r="C1301" s="3">
        <v>45708.744432870371</v>
      </c>
      <c r="D1301" t="s">
        <v>301</v>
      </c>
      <c r="E1301" s="4">
        <v>36.781999999999996</v>
      </c>
      <c r="F1301" s="4">
        <v>42496.618000000002</v>
      </c>
      <c r="G1301" s="4">
        <v>42533.4</v>
      </c>
      <c r="H1301" s="5">
        <f>1860 / 86400</f>
        <v>2.1527777777777778E-2</v>
      </c>
      <c r="I1301" t="s">
        <v>43</v>
      </c>
      <c r="J1301" t="s">
        <v>131</v>
      </c>
      <c r="K1301" s="5">
        <f>6580 / 86400</f>
        <v>7.615740740740741E-2</v>
      </c>
      <c r="L1301" s="5">
        <f>0 / 86400</f>
        <v>0</v>
      </c>
    </row>
    <row r="1302" spans="1:12" x14ac:dyDescent="0.25">
      <c r="A1302" s="3">
        <v>45708.744432870371</v>
      </c>
      <c r="B1302" t="s">
        <v>301</v>
      </c>
      <c r="C1302" s="3">
        <v>45708.744537037041</v>
      </c>
      <c r="D1302" t="s">
        <v>301</v>
      </c>
      <c r="E1302" s="4">
        <v>0</v>
      </c>
      <c r="F1302" s="4">
        <v>42533.4</v>
      </c>
      <c r="G1302" s="4">
        <v>42533.4</v>
      </c>
      <c r="H1302" s="5">
        <f>0 / 86400</f>
        <v>0</v>
      </c>
      <c r="I1302" t="s">
        <v>22</v>
      </c>
      <c r="J1302" t="s">
        <v>22</v>
      </c>
      <c r="K1302" s="5">
        <f>8 / 86400</f>
        <v>9.2592592592592588E-5</v>
      </c>
      <c r="L1302" s="5">
        <f>1 / 86400</f>
        <v>1.1574074074074073E-5</v>
      </c>
    </row>
    <row r="1303" spans="1:12" x14ac:dyDescent="0.25">
      <c r="A1303" s="3">
        <v>45708.74454861111</v>
      </c>
      <c r="B1303" t="s">
        <v>301</v>
      </c>
      <c r="C1303" s="3">
        <v>45708.99998842593</v>
      </c>
      <c r="D1303" t="s">
        <v>78</v>
      </c>
      <c r="E1303" s="4">
        <v>98.933000000000007</v>
      </c>
      <c r="F1303" s="4">
        <v>42533.4</v>
      </c>
      <c r="G1303" s="4">
        <v>42632.332999999999</v>
      </c>
      <c r="H1303" s="5">
        <f>9271 / 86400</f>
        <v>0.10730324074074074</v>
      </c>
      <c r="I1303" t="s">
        <v>37</v>
      </c>
      <c r="J1303" t="s">
        <v>49</v>
      </c>
      <c r="K1303" s="5">
        <f>22070 / 86400</f>
        <v>0.25543981481481481</v>
      </c>
      <c r="L1303" s="5">
        <f>0 / 86400</f>
        <v>0</v>
      </c>
    </row>
    <row r="1304" spans="1:12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</row>
    <row r="1305" spans="1:12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</row>
    <row r="1306" spans="1:12" s="10" customFormat="1" ht="20.100000000000001" customHeight="1" x14ac:dyDescent="0.35">
      <c r="A1306" s="15" t="s">
        <v>519</v>
      </c>
      <c r="B1306" s="15"/>
      <c r="C1306" s="15"/>
      <c r="D1306" s="15"/>
      <c r="E1306" s="15"/>
      <c r="F1306" s="15"/>
      <c r="G1306" s="15"/>
      <c r="H1306" s="15"/>
      <c r="I1306" s="15"/>
      <c r="J1306" s="15"/>
    </row>
    <row r="1307" spans="1:1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</row>
    <row r="1308" spans="1:12" ht="30" x14ac:dyDescent="0.25">
      <c r="A1308" s="2" t="s">
        <v>6</v>
      </c>
      <c r="B1308" s="2" t="s">
        <v>7</v>
      </c>
      <c r="C1308" s="2" t="s">
        <v>8</v>
      </c>
      <c r="D1308" s="2" t="s">
        <v>9</v>
      </c>
      <c r="E1308" s="2" t="s">
        <v>10</v>
      </c>
      <c r="F1308" s="2" t="s">
        <v>11</v>
      </c>
      <c r="G1308" s="2" t="s">
        <v>12</v>
      </c>
      <c r="H1308" s="2" t="s">
        <v>13</v>
      </c>
      <c r="I1308" s="2" t="s">
        <v>14</v>
      </c>
      <c r="J1308" s="2" t="s">
        <v>15</v>
      </c>
      <c r="K1308" s="2" t="s">
        <v>16</v>
      </c>
      <c r="L1308" s="2" t="s">
        <v>17</v>
      </c>
    </row>
    <row r="1309" spans="1:12" x14ac:dyDescent="0.25">
      <c r="A1309" s="3">
        <v>45708.290706018517</v>
      </c>
      <c r="B1309" t="s">
        <v>112</v>
      </c>
      <c r="C1309" s="3">
        <v>45708.357962962968</v>
      </c>
      <c r="D1309" t="s">
        <v>127</v>
      </c>
      <c r="E1309" s="4">
        <v>35.125999999999998</v>
      </c>
      <c r="F1309" s="4">
        <v>193272.772</v>
      </c>
      <c r="G1309" s="4">
        <v>193307.89799999999</v>
      </c>
      <c r="H1309" s="5">
        <f>1059 / 86400</f>
        <v>1.2256944444444445E-2</v>
      </c>
      <c r="I1309" t="s">
        <v>172</v>
      </c>
      <c r="J1309" t="s">
        <v>148</v>
      </c>
      <c r="K1309" s="5">
        <f>5811 / 86400</f>
        <v>6.7256944444444439E-2</v>
      </c>
      <c r="L1309" s="5">
        <f>28672 / 86400</f>
        <v>0.33185185185185184</v>
      </c>
    </row>
    <row r="1310" spans="1:12" x14ac:dyDescent="0.25">
      <c r="A1310" s="3">
        <v>45708.399108796293</v>
      </c>
      <c r="B1310" t="s">
        <v>127</v>
      </c>
      <c r="C1310" s="3">
        <v>45708.536863425921</v>
      </c>
      <c r="D1310" t="s">
        <v>455</v>
      </c>
      <c r="E1310" s="4">
        <v>51.323999999999998</v>
      </c>
      <c r="F1310" s="4">
        <v>193307.89799999999</v>
      </c>
      <c r="G1310" s="4">
        <v>193359.22200000001</v>
      </c>
      <c r="H1310" s="5">
        <f>4281 / 86400</f>
        <v>4.9548611111111113E-2</v>
      </c>
      <c r="I1310" t="s">
        <v>113</v>
      </c>
      <c r="J1310" t="s">
        <v>49</v>
      </c>
      <c r="K1310" s="5">
        <f>11901 / 86400</f>
        <v>0.13774305555555555</v>
      </c>
      <c r="L1310" s="5">
        <f>2519 / 86400</f>
        <v>2.9155092592592594E-2</v>
      </c>
    </row>
    <row r="1311" spans="1:12" x14ac:dyDescent="0.25">
      <c r="A1311" s="3">
        <v>45708.566018518519</v>
      </c>
      <c r="B1311" t="s">
        <v>455</v>
      </c>
      <c r="C1311" s="3">
        <v>45708.706666666665</v>
      </c>
      <c r="D1311" t="s">
        <v>416</v>
      </c>
      <c r="E1311" s="4">
        <v>50.015000000000001</v>
      </c>
      <c r="F1311" s="4">
        <v>193359.22200000001</v>
      </c>
      <c r="G1311" s="4">
        <v>193409.23699999999</v>
      </c>
      <c r="H1311" s="5">
        <f>4380 / 86400</f>
        <v>5.0694444444444445E-2</v>
      </c>
      <c r="I1311" t="s">
        <v>130</v>
      </c>
      <c r="J1311" t="s">
        <v>44</v>
      </c>
      <c r="K1311" s="5">
        <f>12152 / 86400</f>
        <v>0.14064814814814816</v>
      </c>
      <c r="L1311" s="5">
        <f>3711 / 86400</f>
        <v>4.2951388888888886E-2</v>
      </c>
    </row>
    <row r="1312" spans="1:12" x14ac:dyDescent="0.25">
      <c r="A1312" s="3">
        <v>45708.749618055561</v>
      </c>
      <c r="B1312" t="s">
        <v>416</v>
      </c>
      <c r="C1312" s="3">
        <v>45708.755069444444</v>
      </c>
      <c r="D1312" t="s">
        <v>83</v>
      </c>
      <c r="E1312" s="4">
        <v>0.73299999999999998</v>
      </c>
      <c r="F1312" s="4">
        <v>193409.23699999999</v>
      </c>
      <c r="G1312" s="4">
        <v>193409.97</v>
      </c>
      <c r="H1312" s="5">
        <f>280 / 86400</f>
        <v>3.2407407407407406E-3</v>
      </c>
      <c r="I1312" t="s">
        <v>162</v>
      </c>
      <c r="J1312" t="s">
        <v>32</v>
      </c>
      <c r="K1312" s="5">
        <f>471 / 86400</f>
        <v>5.4513888888888893E-3</v>
      </c>
      <c r="L1312" s="5">
        <f>515 / 86400</f>
        <v>5.9606481481481481E-3</v>
      </c>
    </row>
    <row r="1313" spans="1:12" x14ac:dyDescent="0.25">
      <c r="A1313" s="3">
        <v>45708.761030092588</v>
      </c>
      <c r="B1313" t="s">
        <v>83</v>
      </c>
      <c r="C1313" s="3">
        <v>45708.920092592598</v>
      </c>
      <c r="D1313" t="s">
        <v>153</v>
      </c>
      <c r="E1313" s="4">
        <v>64.007000000000005</v>
      </c>
      <c r="F1313" s="4">
        <v>193409.97</v>
      </c>
      <c r="G1313" s="4">
        <v>193473.97700000001</v>
      </c>
      <c r="H1313" s="5">
        <f>4281 / 86400</f>
        <v>4.9548611111111113E-2</v>
      </c>
      <c r="I1313" t="s">
        <v>43</v>
      </c>
      <c r="J1313" t="s">
        <v>20</v>
      </c>
      <c r="K1313" s="5">
        <f>13742 / 86400</f>
        <v>0.15905092592592593</v>
      </c>
      <c r="L1313" s="5">
        <f>195 / 86400</f>
        <v>2.2569444444444442E-3</v>
      </c>
    </row>
    <row r="1314" spans="1:12" x14ac:dyDescent="0.25">
      <c r="A1314" s="3">
        <v>45708.922349537039</v>
      </c>
      <c r="B1314" t="s">
        <v>153</v>
      </c>
      <c r="C1314" s="3">
        <v>45708.922465277778</v>
      </c>
      <c r="D1314" t="s">
        <v>153</v>
      </c>
      <c r="E1314" s="4">
        <v>8.0000000000000002E-3</v>
      </c>
      <c r="F1314" s="4">
        <v>193473.97700000001</v>
      </c>
      <c r="G1314" s="4">
        <v>193473.98499999999</v>
      </c>
      <c r="H1314" s="5">
        <f>0 / 86400</f>
        <v>0</v>
      </c>
      <c r="I1314" t="s">
        <v>22</v>
      </c>
      <c r="J1314" t="s">
        <v>135</v>
      </c>
      <c r="K1314" s="5">
        <f>10 / 86400</f>
        <v>1.1574074074074075E-4</v>
      </c>
      <c r="L1314" s="5">
        <f>1645 / 86400</f>
        <v>1.9039351851851852E-2</v>
      </c>
    </row>
    <row r="1315" spans="1:12" x14ac:dyDescent="0.25">
      <c r="A1315" s="3">
        <v>45708.941504629634</v>
      </c>
      <c r="B1315" t="s">
        <v>461</v>
      </c>
      <c r="C1315" s="3">
        <v>45708.948078703703</v>
      </c>
      <c r="D1315" t="s">
        <v>112</v>
      </c>
      <c r="E1315" s="4">
        <v>1.508</v>
      </c>
      <c r="F1315" s="4">
        <v>193473.98499999999</v>
      </c>
      <c r="G1315" s="4">
        <v>193475.49299999999</v>
      </c>
      <c r="H1315" s="5">
        <f>200 / 86400</f>
        <v>2.3148148148148147E-3</v>
      </c>
      <c r="I1315" t="s">
        <v>164</v>
      </c>
      <c r="J1315" t="s">
        <v>97</v>
      </c>
      <c r="K1315" s="5">
        <f>568 / 86400</f>
        <v>6.5740740740740742E-3</v>
      </c>
      <c r="L1315" s="5">
        <f>4485 / 86400</f>
        <v>5.1909722222222225E-2</v>
      </c>
    </row>
    <row r="1316" spans="1:12" x14ac:dyDescent="0.2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</row>
    <row r="1317" spans="1:12" x14ac:dyDescent="0.25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</row>
    <row r="1318" spans="1:12" s="10" customFormat="1" ht="20.100000000000001" customHeight="1" x14ac:dyDescent="0.35">
      <c r="A1318" s="15" t="s">
        <v>520</v>
      </c>
      <c r="B1318" s="15"/>
      <c r="C1318" s="15"/>
      <c r="D1318" s="15"/>
      <c r="E1318" s="15"/>
      <c r="F1318" s="15"/>
      <c r="G1318" s="15"/>
      <c r="H1318" s="15"/>
      <c r="I1318" s="15"/>
      <c r="J1318" s="15"/>
    </row>
    <row r="1319" spans="1:1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</row>
    <row r="1320" spans="1:12" ht="30" x14ac:dyDescent="0.25">
      <c r="A1320" s="2" t="s">
        <v>6</v>
      </c>
      <c r="B1320" s="2" t="s">
        <v>7</v>
      </c>
      <c r="C1320" s="2" t="s">
        <v>8</v>
      </c>
      <c r="D1320" s="2" t="s">
        <v>9</v>
      </c>
      <c r="E1320" s="2" t="s">
        <v>10</v>
      </c>
      <c r="F1320" s="2" t="s">
        <v>11</v>
      </c>
      <c r="G1320" s="2" t="s">
        <v>12</v>
      </c>
      <c r="H1320" s="2" t="s">
        <v>13</v>
      </c>
      <c r="I1320" s="2" t="s">
        <v>14</v>
      </c>
      <c r="J1320" s="2" t="s">
        <v>15</v>
      </c>
      <c r="K1320" s="2" t="s">
        <v>16</v>
      </c>
      <c r="L1320" s="2" t="s">
        <v>17</v>
      </c>
    </row>
    <row r="1321" spans="1:12" x14ac:dyDescent="0.25">
      <c r="A1321" s="3">
        <v>45708</v>
      </c>
      <c r="B1321" t="s">
        <v>114</v>
      </c>
      <c r="C1321" s="3">
        <v>45708.011446759258</v>
      </c>
      <c r="D1321" t="s">
        <v>94</v>
      </c>
      <c r="E1321" s="4">
        <v>0.20700000005960464</v>
      </c>
      <c r="F1321" s="4">
        <v>524639.91299999994</v>
      </c>
      <c r="G1321" s="4">
        <v>524640.12</v>
      </c>
      <c r="H1321" s="5">
        <f>820 / 86400</f>
        <v>9.4907407407407406E-3</v>
      </c>
      <c r="I1321" t="s">
        <v>97</v>
      </c>
      <c r="J1321" t="s">
        <v>145</v>
      </c>
      <c r="K1321" s="5">
        <f>989 / 86400</f>
        <v>1.1446759259259259E-2</v>
      </c>
      <c r="L1321" s="5">
        <f>16574 / 86400</f>
        <v>0.1918287037037037</v>
      </c>
    </row>
    <row r="1322" spans="1:12" x14ac:dyDescent="0.25">
      <c r="A1322" s="3">
        <v>45708.203275462962</v>
      </c>
      <c r="B1322" t="s">
        <v>94</v>
      </c>
      <c r="C1322" s="3">
        <v>45708.446122685185</v>
      </c>
      <c r="D1322" t="s">
        <v>83</v>
      </c>
      <c r="E1322" s="4">
        <v>100.774</v>
      </c>
      <c r="F1322" s="4">
        <v>524640.12</v>
      </c>
      <c r="G1322" s="4">
        <v>524740.89399999997</v>
      </c>
      <c r="H1322" s="5">
        <f>7742 / 86400</f>
        <v>8.9606481481481481E-2</v>
      </c>
      <c r="I1322" t="s">
        <v>19</v>
      </c>
      <c r="J1322" t="s">
        <v>20</v>
      </c>
      <c r="K1322" s="5">
        <f>20982 / 86400</f>
        <v>0.24284722222222221</v>
      </c>
      <c r="L1322" s="5">
        <f>548 / 86400</f>
        <v>6.3425925925925924E-3</v>
      </c>
    </row>
    <row r="1323" spans="1:12" x14ac:dyDescent="0.25">
      <c r="A1323" s="3">
        <v>45708.452465277776</v>
      </c>
      <c r="B1323" t="s">
        <v>83</v>
      </c>
      <c r="C1323" s="3">
        <v>45708.455775462964</v>
      </c>
      <c r="D1323" t="s">
        <v>416</v>
      </c>
      <c r="E1323" s="4">
        <v>0.70799999994039531</v>
      </c>
      <c r="F1323" s="4">
        <v>524740.89399999997</v>
      </c>
      <c r="G1323" s="4">
        <v>524741.60199999996</v>
      </c>
      <c r="H1323" s="5">
        <f>99 / 86400</f>
        <v>1.1458333333333333E-3</v>
      </c>
      <c r="I1323" t="s">
        <v>134</v>
      </c>
      <c r="J1323" t="s">
        <v>137</v>
      </c>
      <c r="K1323" s="5">
        <f>285 / 86400</f>
        <v>3.2986111111111111E-3</v>
      </c>
      <c r="L1323" s="5">
        <f>1755 / 86400</f>
        <v>2.0312500000000001E-2</v>
      </c>
    </row>
    <row r="1324" spans="1:12" x14ac:dyDescent="0.25">
      <c r="A1324" s="3">
        <v>45708.476087962961</v>
      </c>
      <c r="B1324" t="s">
        <v>416</v>
      </c>
      <c r="C1324" s="3">
        <v>45708.479699074072</v>
      </c>
      <c r="D1324" t="s">
        <v>149</v>
      </c>
      <c r="E1324" s="4">
        <v>1.054</v>
      </c>
      <c r="F1324" s="4">
        <v>524741.60199999996</v>
      </c>
      <c r="G1324" s="4">
        <v>524742.65599999996</v>
      </c>
      <c r="H1324" s="5">
        <f>39 / 86400</f>
        <v>4.5138888888888887E-4</v>
      </c>
      <c r="I1324" t="s">
        <v>31</v>
      </c>
      <c r="J1324" t="s">
        <v>65</v>
      </c>
      <c r="K1324" s="5">
        <f>311 / 86400</f>
        <v>3.5995370370370369E-3</v>
      </c>
      <c r="L1324" s="5">
        <f>1345 / 86400</f>
        <v>1.556712962962963E-2</v>
      </c>
    </row>
    <row r="1325" spans="1:12" x14ac:dyDescent="0.25">
      <c r="A1325" s="3">
        <v>45708.495266203703</v>
      </c>
      <c r="B1325" t="s">
        <v>149</v>
      </c>
      <c r="C1325" s="3">
        <v>45708.782476851848</v>
      </c>
      <c r="D1325" t="s">
        <v>83</v>
      </c>
      <c r="E1325" s="4">
        <v>102.10299999999999</v>
      </c>
      <c r="F1325" s="4">
        <v>524742.65599999996</v>
      </c>
      <c r="G1325" s="4">
        <v>524844.75899999996</v>
      </c>
      <c r="H1325" s="5">
        <f>10164 / 86400</f>
        <v>0.11763888888888889</v>
      </c>
      <c r="I1325" t="s">
        <v>74</v>
      </c>
      <c r="J1325" t="s">
        <v>44</v>
      </c>
      <c r="K1325" s="5">
        <f>24815 / 86400</f>
        <v>0.28721064814814817</v>
      </c>
      <c r="L1325" s="5">
        <f>559 / 86400</f>
        <v>6.4699074074074077E-3</v>
      </c>
    </row>
    <row r="1326" spans="1:12" x14ac:dyDescent="0.25">
      <c r="A1326" s="3">
        <v>45708.788946759261</v>
      </c>
      <c r="B1326" t="s">
        <v>83</v>
      </c>
      <c r="C1326" s="3">
        <v>45708.998078703706</v>
      </c>
      <c r="D1326" t="s">
        <v>94</v>
      </c>
      <c r="E1326" s="4">
        <v>96.933000000119208</v>
      </c>
      <c r="F1326" s="4">
        <v>524844.75899999996</v>
      </c>
      <c r="G1326" s="4">
        <v>524941.69200000004</v>
      </c>
      <c r="H1326" s="5">
        <f>4977 / 86400</f>
        <v>5.7604166666666665E-2</v>
      </c>
      <c r="I1326" t="s">
        <v>90</v>
      </c>
      <c r="J1326" t="s">
        <v>68</v>
      </c>
      <c r="K1326" s="5">
        <f>18068 / 86400</f>
        <v>0.20912037037037037</v>
      </c>
      <c r="L1326" s="5">
        <f>165 / 86400</f>
        <v>1.9097222222222222E-3</v>
      </c>
    </row>
    <row r="1327" spans="1:12" x14ac:dyDescent="0.25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</row>
    <row r="1328" spans="1:12" x14ac:dyDescent="0.2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</row>
    <row r="1329" spans="1:12" s="10" customFormat="1" ht="20.100000000000001" customHeight="1" x14ac:dyDescent="0.35">
      <c r="A1329" s="15" t="s">
        <v>521</v>
      </c>
      <c r="B1329" s="15"/>
      <c r="C1329" s="15"/>
      <c r="D1329" s="15"/>
      <c r="E1329" s="15"/>
      <c r="F1329" s="15"/>
      <c r="G1329" s="15"/>
      <c r="H1329" s="15"/>
      <c r="I1329" s="15"/>
      <c r="J1329" s="15"/>
    </row>
    <row r="1330" spans="1:12" x14ac:dyDescent="0.2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</row>
    <row r="1331" spans="1:12" ht="30" x14ac:dyDescent="0.25">
      <c r="A1331" s="2" t="s">
        <v>6</v>
      </c>
      <c r="B1331" s="2" t="s">
        <v>7</v>
      </c>
      <c r="C1331" s="2" t="s">
        <v>8</v>
      </c>
      <c r="D1331" s="2" t="s">
        <v>9</v>
      </c>
      <c r="E1331" s="2" t="s">
        <v>10</v>
      </c>
      <c r="F1331" s="2" t="s">
        <v>11</v>
      </c>
      <c r="G1331" s="2" t="s">
        <v>12</v>
      </c>
      <c r="H1331" s="2" t="s">
        <v>13</v>
      </c>
      <c r="I1331" s="2" t="s">
        <v>14</v>
      </c>
      <c r="J1331" s="2" t="s">
        <v>15</v>
      </c>
      <c r="K1331" s="2" t="s">
        <v>16</v>
      </c>
      <c r="L1331" s="2" t="s">
        <v>17</v>
      </c>
    </row>
    <row r="1332" spans="1:12" x14ac:dyDescent="0.25">
      <c r="A1332" s="3">
        <v>45708.265717592592</v>
      </c>
      <c r="B1332" t="s">
        <v>115</v>
      </c>
      <c r="C1332" s="3">
        <v>45708.273993055554</v>
      </c>
      <c r="D1332" t="s">
        <v>152</v>
      </c>
      <c r="E1332" s="4">
        <v>1.1399999999999999</v>
      </c>
      <c r="F1332" s="4">
        <v>24197.07</v>
      </c>
      <c r="G1332" s="4">
        <v>24198.21</v>
      </c>
      <c r="H1332" s="5">
        <f>339 / 86400</f>
        <v>3.9236111111111112E-3</v>
      </c>
      <c r="I1332" t="s">
        <v>157</v>
      </c>
      <c r="J1332" t="s">
        <v>32</v>
      </c>
      <c r="K1332" s="5">
        <f>715 / 86400</f>
        <v>8.2754629629629636E-3</v>
      </c>
      <c r="L1332" s="5">
        <f>23009 / 86400</f>
        <v>0.26630787037037035</v>
      </c>
    </row>
    <row r="1333" spans="1:12" x14ac:dyDescent="0.25">
      <c r="A1333" s="3">
        <v>45708.274583333332</v>
      </c>
      <c r="B1333" t="s">
        <v>152</v>
      </c>
      <c r="C1333" s="3">
        <v>45708.275358796294</v>
      </c>
      <c r="D1333" t="s">
        <v>152</v>
      </c>
      <c r="E1333" s="4">
        <v>0</v>
      </c>
      <c r="F1333" s="4">
        <v>24198.21</v>
      </c>
      <c r="G1333" s="4">
        <v>24198.21</v>
      </c>
      <c r="H1333" s="5">
        <f>59 / 86400</f>
        <v>6.8287037037037036E-4</v>
      </c>
      <c r="I1333" t="s">
        <v>22</v>
      </c>
      <c r="J1333" t="s">
        <v>22</v>
      </c>
      <c r="K1333" s="5">
        <f>67 / 86400</f>
        <v>7.7546296296296293E-4</v>
      </c>
      <c r="L1333" s="5">
        <f>232 / 86400</f>
        <v>2.685185185185185E-3</v>
      </c>
    </row>
    <row r="1334" spans="1:12" x14ac:dyDescent="0.25">
      <c r="A1334" s="3">
        <v>45708.278043981481</v>
      </c>
      <c r="B1334" t="s">
        <v>152</v>
      </c>
      <c r="C1334" s="3">
        <v>45708.278402777782</v>
      </c>
      <c r="D1334" t="s">
        <v>152</v>
      </c>
      <c r="E1334" s="4">
        <v>0.01</v>
      </c>
      <c r="F1334" s="4">
        <v>24198.21</v>
      </c>
      <c r="G1334" s="4">
        <v>24198.22</v>
      </c>
      <c r="H1334" s="5">
        <f>0 / 86400</f>
        <v>0</v>
      </c>
      <c r="I1334" t="s">
        <v>135</v>
      </c>
      <c r="J1334" t="s">
        <v>145</v>
      </c>
      <c r="K1334" s="5">
        <f>31 / 86400</f>
        <v>3.5879629629629629E-4</v>
      </c>
      <c r="L1334" s="5">
        <f>532 / 86400</f>
        <v>6.1574074074074074E-3</v>
      </c>
    </row>
    <row r="1335" spans="1:12" x14ac:dyDescent="0.25">
      <c r="A1335" s="3">
        <v>45708.284560185188</v>
      </c>
      <c r="B1335" t="s">
        <v>152</v>
      </c>
      <c r="C1335" s="3">
        <v>45708.28533564815</v>
      </c>
      <c r="D1335" t="s">
        <v>152</v>
      </c>
      <c r="E1335" s="4">
        <v>8.1000000000000003E-2</v>
      </c>
      <c r="F1335" s="4">
        <v>24198.22</v>
      </c>
      <c r="G1335" s="4">
        <v>24198.300999999999</v>
      </c>
      <c r="H1335" s="5">
        <f>19 / 86400</f>
        <v>2.199074074074074E-4</v>
      </c>
      <c r="I1335" t="s">
        <v>168</v>
      </c>
      <c r="J1335" t="s">
        <v>143</v>
      </c>
      <c r="K1335" s="5">
        <f>67 / 86400</f>
        <v>7.7546296296296293E-4</v>
      </c>
      <c r="L1335" s="5">
        <f>195 / 86400</f>
        <v>2.2569444444444442E-3</v>
      </c>
    </row>
    <row r="1336" spans="1:12" x14ac:dyDescent="0.25">
      <c r="A1336" s="3">
        <v>45708.287592592591</v>
      </c>
      <c r="B1336" t="s">
        <v>152</v>
      </c>
      <c r="C1336" s="3">
        <v>45708.288356481484</v>
      </c>
      <c r="D1336" t="s">
        <v>152</v>
      </c>
      <c r="E1336" s="4">
        <v>4.4999999999999998E-2</v>
      </c>
      <c r="F1336" s="4">
        <v>24198.300999999999</v>
      </c>
      <c r="G1336" s="4">
        <v>24198.346000000001</v>
      </c>
      <c r="H1336" s="5">
        <f>39 / 86400</f>
        <v>4.5138888888888887E-4</v>
      </c>
      <c r="I1336" t="s">
        <v>86</v>
      </c>
      <c r="J1336" t="s">
        <v>136</v>
      </c>
      <c r="K1336" s="5">
        <f>66 / 86400</f>
        <v>7.6388888888888893E-4</v>
      </c>
      <c r="L1336" s="5">
        <f>341 / 86400</f>
        <v>3.9467592592592592E-3</v>
      </c>
    </row>
    <row r="1337" spans="1:12" x14ac:dyDescent="0.25">
      <c r="A1337" s="3">
        <v>45708.292303240742</v>
      </c>
      <c r="B1337" t="s">
        <v>152</v>
      </c>
      <c r="C1337" s="3">
        <v>45708.438969907409</v>
      </c>
      <c r="D1337" t="s">
        <v>128</v>
      </c>
      <c r="E1337" s="4">
        <v>49.755000000000003</v>
      </c>
      <c r="F1337" s="4">
        <v>24198.346000000001</v>
      </c>
      <c r="G1337" s="4">
        <v>24248.100999999999</v>
      </c>
      <c r="H1337" s="5">
        <f>5119 / 86400</f>
        <v>5.9247685185185188E-2</v>
      </c>
      <c r="I1337" t="s">
        <v>116</v>
      </c>
      <c r="J1337" t="s">
        <v>58</v>
      </c>
      <c r="K1337" s="5">
        <f>12672 / 86400</f>
        <v>0.14666666666666667</v>
      </c>
      <c r="L1337" s="5">
        <f>543 / 86400</f>
        <v>6.2847222222222219E-3</v>
      </c>
    </row>
    <row r="1338" spans="1:12" x14ac:dyDescent="0.25">
      <c r="A1338" s="3">
        <v>45708.445254629631</v>
      </c>
      <c r="B1338" t="s">
        <v>128</v>
      </c>
      <c r="C1338" s="3">
        <v>45708.603425925925</v>
      </c>
      <c r="D1338" t="s">
        <v>397</v>
      </c>
      <c r="E1338" s="4">
        <v>52.448</v>
      </c>
      <c r="F1338" s="4">
        <v>24248.100999999999</v>
      </c>
      <c r="G1338" s="4">
        <v>24300.548999999999</v>
      </c>
      <c r="H1338" s="5">
        <f>4421 / 86400</f>
        <v>5.1168981481481482E-2</v>
      </c>
      <c r="I1338" t="s">
        <v>147</v>
      </c>
      <c r="J1338" t="s">
        <v>58</v>
      </c>
      <c r="K1338" s="5">
        <f>13665 / 86400</f>
        <v>0.15815972222222222</v>
      </c>
      <c r="L1338" s="5">
        <f>862 / 86400</f>
        <v>9.9768518518518513E-3</v>
      </c>
    </row>
    <row r="1339" spans="1:12" x14ac:dyDescent="0.25">
      <c r="A1339" s="3">
        <v>45708.613402777773</v>
      </c>
      <c r="B1339" t="s">
        <v>397</v>
      </c>
      <c r="C1339" s="3">
        <v>45708.71261574074</v>
      </c>
      <c r="D1339" t="s">
        <v>206</v>
      </c>
      <c r="E1339" s="4">
        <v>40.640999999999998</v>
      </c>
      <c r="F1339" s="4">
        <v>24300.548999999999</v>
      </c>
      <c r="G1339" s="4">
        <v>24341.19</v>
      </c>
      <c r="H1339" s="5">
        <f>2701 / 86400</f>
        <v>3.1261574074074074E-2</v>
      </c>
      <c r="I1339" t="s">
        <v>40</v>
      </c>
      <c r="J1339" t="s">
        <v>20</v>
      </c>
      <c r="K1339" s="5">
        <f>8572 / 86400</f>
        <v>9.9212962962962961E-2</v>
      </c>
      <c r="L1339" s="5">
        <f>403 / 86400</f>
        <v>4.6643518518518518E-3</v>
      </c>
    </row>
    <row r="1340" spans="1:12" x14ac:dyDescent="0.25">
      <c r="A1340" s="3">
        <v>45708.717280092591</v>
      </c>
      <c r="B1340" t="s">
        <v>206</v>
      </c>
      <c r="C1340" s="3">
        <v>45708.717465277776</v>
      </c>
      <c r="D1340" t="s">
        <v>206</v>
      </c>
      <c r="E1340" s="4">
        <v>0</v>
      </c>
      <c r="F1340" s="4">
        <v>24341.19</v>
      </c>
      <c r="G1340" s="4">
        <v>24341.19</v>
      </c>
      <c r="H1340" s="5">
        <f>0 / 86400</f>
        <v>0</v>
      </c>
      <c r="I1340" t="s">
        <v>22</v>
      </c>
      <c r="J1340" t="s">
        <v>22</v>
      </c>
      <c r="K1340" s="5">
        <f>16 / 86400</f>
        <v>1.8518518518518518E-4</v>
      </c>
      <c r="L1340" s="5">
        <f>16 / 86400</f>
        <v>1.8518518518518518E-4</v>
      </c>
    </row>
    <row r="1341" spans="1:12" x14ac:dyDescent="0.25">
      <c r="A1341" s="3">
        <v>45708.717650462961</v>
      </c>
      <c r="B1341" t="s">
        <v>206</v>
      </c>
      <c r="C1341" s="3">
        <v>45708.831157407403</v>
      </c>
      <c r="D1341" t="s">
        <v>416</v>
      </c>
      <c r="E1341" s="4">
        <v>40.173999999999999</v>
      </c>
      <c r="F1341" s="4">
        <v>24341.19</v>
      </c>
      <c r="G1341" s="4">
        <v>24381.364000000001</v>
      </c>
      <c r="H1341" s="5">
        <f>2799 / 86400</f>
        <v>3.2395833333333332E-2</v>
      </c>
      <c r="I1341" t="s">
        <v>290</v>
      </c>
      <c r="J1341" t="s">
        <v>44</v>
      </c>
      <c r="K1341" s="5">
        <f>9807 / 86400</f>
        <v>0.11350694444444444</v>
      </c>
      <c r="L1341" s="5">
        <f>434 / 86400</f>
        <v>5.0231481481481481E-3</v>
      </c>
    </row>
    <row r="1342" spans="1:12" x14ac:dyDescent="0.25">
      <c r="A1342" s="3">
        <v>45708.836180555554</v>
      </c>
      <c r="B1342" t="s">
        <v>416</v>
      </c>
      <c r="C1342" s="3">
        <v>45708.838368055556</v>
      </c>
      <c r="D1342" t="s">
        <v>83</v>
      </c>
      <c r="E1342" s="4">
        <v>0.51500000000000001</v>
      </c>
      <c r="F1342" s="4">
        <v>24381.364000000001</v>
      </c>
      <c r="G1342" s="4">
        <v>24381.879000000001</v>
      </c>
      <c r="H1342" s="5">
        <f>60 / 86400</f>
        <v>6.9444444444444447E-4</v>
      </c>
      <c r="I1342" t="s">
        <v>150</v>
      </c>
      <c r="J1342" t="s">
        <v>97</v>
      </c>
      <c r="K1342" s="5">
        <f>188 / 86400</f>
        <v>2.1759259259259258E-3</v>
      </c>
      <c r="L1342" s="5">
        <f>159 / 86400</f>
        <v>1.8402777777777777E-3</v>
      </c>
    </row>
    <row r="1343" spans="1:12" x14ac:dyDescent="0.25">
      <c r="A1343" s="3">
        <v>45708.840208333335</v>
      </c>
      <c r="B1343" t="s">
        <v>83</v>
      </c>
      <c r="C1343" s="3">
        <v>45708.841574074075</v>
      </c>
      <c r="D1343" t="s">
        <v>83</v>
      </c>
      <c r="E1343" s="4">
        <v>0.23300000000000001</v>
      </c>
      <c r="F1343" s="4">
        <v>24381.879000000001</v>
      </c>
      <c r="G1343" s="4">
        <v>24382.112000000001</v>
      </c>
      <c r="H1343" s="5">
        <f>20 / 86400</f>
        <v>2.3148148148148149E-4</v>
      </c>
      <c r="I1343" t="s">
        <v>29</v>
      </c>
      <c r="J1343" t="s">
        <v>26</v>
      </c>
      <c r="K1343" s="5">
        <f>118 / 86400</f>
        <v>1.3657407407407407E-3</v>
      </c>
      <c r="L1343" s="5">
        <f>108 / 86400</f>
        <v>1.25E-3</v>
      </c>
    </row>
    <row r="1344" spans="1:12" x14ac:dyDescent="0.25">
      <c r="A1344" s="3">
        <v>45708.842824074076</v>
      </c>
      <c r="B1344" t="s">
        <v>83</v>
      </c>
      <c r="C1344" s="3">
        <v>45708.846041666664</v>
      </c>
      <c r="D1344" t="s">
        <v>115</v>
      </c>
      <c r="E1344" s="4">
        <v>0.76800000000000002</v>
      </c>
      <c r="F1344" s="4">
        <v>24382.112000000001</v>
      </c>
      <c r="G1344" s="4">
        <v>24382.880000000001</v>
      </c>
      <c r="H1344" s="5">
        <f>80 / 86400</f>
        <v>9.2592592592592596E-4</v>
      </c>
      <c r="I1344" t="s">
        <v>31</v>
      </c>
      <c r="J1344" t="s">
        <v>97</v>
      </c>
      <c r="K1344" s="5">
        <f>278 / 86400</f>
        <v>3.2175925925925926E-3</v>
      </c>
      <c r="L1344" s="5">
        <f>13301 / 86400</f>
        <v>0.15394675925925927</v>
      </c>
    </row>
    <row r="1345" spans="1:12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</row>
    <row r="1346" spans="1:12" x14ac:dyDescent="0.2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</row>
    <row r="1347" spans="1:12" s="10" customFormat="1" ht="20.100000000000001" customHeight="1" x14ac:dyDescent="0.35">
      <c r="A1347" s="15" t="s">
        <v>522</v>
      </c>
      <c r="B1347" s="15"/>
      <c r="C1347" s="15"/>
      <c r="D1347" s="15"/>
      <c r="E1347" s="15"/>
      <c r="F1347" s="15"/>
      <c r="G1347" s="15"/>
      <c r="H1347" s="15"/>
      <c r="I1347" s="15"/>
      <c r="J1347" s="15"/>
    </row>
    <row r="1348" spans="1:12" x14ac:dyDescent="0.2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</row>
    <row r="1349" spans="1:12" ht="30" x14ac:dyDescent="0.25">
      <c r="A1349" s="2" t="s">
        <v>6</v>
      </c>
      <c r="B1349" s="2" t="s">
        <v>7</v>
      </c>
      <c r="C1349" s="2" t="s">
        <v>8</v>
      </c>
      <c r="D1349" s="2" t="s">
        <v>9</v>
      </c>
      <c r="E1349" s="2" t="s">
        <v>10</v>
      </c>
      <c r="F1349" s="2" t="s">
        <v>11</v>
      </c>
      <c r="G1349" s="2" t="s">
        <v>12</v>
      </c>
      <c r="H1349" s="2" t="s">
        <v>13</v>
      </c>
      <c r="I1349" s="2" t="s">
        <v>14</v>
      </c>
      <c r="J1349" s="2" t="s">
        <v>15</v>
      </c>
      <c r="K1349" s="2" t="s">
        <v>16</v>
      </c>
      <c r="L1349" s="2" t="s">
        <v>17</v>
      </c>
    </row>
    <row r="1350" spans="1:12" x14ac:dyDescent="0.25">
      <c r="A1350" s="3">
        <v>45708.222627314812</v>
      </c>
      <c r="B1350" t="s">
        <v>39</v>
      </c>
      <c r="C1350" s="3">
        <v>45708.226944444439</v>
      </c>
      <c r="D1350" t="s">
        <v>186</v>
      </c>
      <c r="E1350" s="4">
        <v>0.36199999999999999</v>
      </c>
      <c r="F1350" s="4">
        <v>65188.881000000001</v>
      </c>
      <c r="G1350" s="4">
        <v>65189.243000000002</v>
      </c>
      <c r="H1350" s="5">
        <f>259 / 86400</f>
        <v>2.9976851851851853E-3</v>
      </c>
      <c r="I1350" t="s">
        <v>162</v>
      </c>
      <c r="J1350" t="s">
        <v>135</v>
      </c>
      <c r="K1350" s="5">
        <f>373 / 86400</f>
        <v>4.31712962962963E-3</v>
      </c>
      <c r="L1350" s="5">
        <f>19697 / 86400</f>
        <v>0.22797453703703704</v>
      </c>
    </row>
    <row r="1351" spans="1:12" x14ac:dyDescent="0.25">
      <c r="A1351" s="3">
        <v>45708.232291666667</v>
      </c>
      <c r="B1351" t="s">
        <v>186</v>
      </c>
      <c r="C1351" s="3">
        <v>45708.233518518522</v>
      </c>
      <c r="D1351" t="s">
        <v>188</v>
      </c>
      <c r="E1351" s="4">
        <v>5.0000000000000001E-3</v>
      </c>
      <c r="F1351" s="4">
        <v>65189.243000000002</v>
      </c>
      <c r="G1351" s="4">
        <v>65189.248</v>
      </c>
      <c r="H1351" s="5">
        <f>99 / 86400</f>
        <v>1.1458333333333333E-3</v>
      </c>
      <c r="I1351" t="s">
        <v>22</v>
      </c>
      <c r="J1351" t="s">
        <v>22</v>
      </c>
      <c r="K1351" s="5">
        <f>106 / 86400</f>
        <v>1.2268518518518518E-3</v>
      </c>
      <c r="L1351" s="5">
        <f>195 / 86400</f>
        <v>2.2569444444444442E-3</v>
      </c>
    </row>
    <row r="1352" spans="1:12" x14ac:dyDescent="0.25">
      <c r="A1352" s="3">
        <v>45708.235775462963</v>
      </c>
      <c r="B1352" t="s">
        <v>188</v>
      </c>
      <c r="C1352" s="3">
        <v>45708.236331018517</v>
      </c>
      <c r="D1352" t="s">
        <v>188</v>
      </c>
      <c r="E1352" s="4">
        <v>0</v>
      </c>
      <c r="F1352" s="4">
        <v>65189.248</v>
      </c>
      <c r="G1352" s="4">
        <v>65189.248</v>
      </c>
      <c r="H1352" s="5">
        <f>39 / 86400</f>
        <v>4.5138888888888887E-4</v>
      </c>
      <c r="I1352" t="s">
        <v>22</v>
      </c>
      <c r="J1352" t="s">
        <v>22</v>
      </c>
      <c r="K1352" s="5">
        <f>48 / 86400</f>
        <v>5.5555555555555556E-4</v>
      </c>
      <c r="L1352" s="5">
        <f>34 / 86400</f>
        <v>3.9351851851851852E-4</v>
      </c>
    </row>
    <row r="1353" spans="1:12" x14ac:dyDescent="0.25">
      <c r="A1353" s="3">
        <v>45708.236724537041</v>
      </c>
      <c r="B1353" t="s">
        <v>188</v>
      </c>
      <c r="C1353" s="3">
        <v>45708.244386574079</v>
      </c>
      <c r="D1353" t="s">
        <v>87</v>
      </c>
      <c r="E1353" s="4">
        <v>1.369</v>
      </c>
      <c r="F1353" s="4">
        <v>65189.248</v>
      </c>
      <c r="G1353" s="4">
        <v>65190.616999999998</v>
      </c>
      <c r="H1353" s="5">
        <f>340 / 86400</f>
        <v>3.9351851851851848E-3</v>
      </c>
      <c r="I1353" t="s">
        <v>139</v>
      </c>
      <c r="J1353" t="s">
        <v>26</v>
      </c>
      <c r="K1353" s="5">
        <f>661 / 86400</f>
        <v>7.6504629629629631E-3</v>
      </c>
      <c r="L1353" s="5">
        <f>1842 / 86400</f>
        <v>2.1319444444444443E-2</v>
      </c>
    </row>
    <row r="1354" spans="1:12" x14ac:dyDescent="0.25">
      <c r="A1354" s="3">
        <v>45708.265706018516</v>
      </c>
      <c r="B1354" t="s">
        <v>87</v>
      </c>
      <c r="C1354" s="3">
        <v>45708.47146990741</v>
      </c>
      <c r="D1354" t="s">
        <v>83</v>
      </c>
      <c r="E1354" s="4">
        <v>80.290999999999997</v>
      </c>
      <c r="F1354" s="4">
        <v>65190.616999999998</v>
      </c>
      <c r="G1354" s="4">
        <v>65270.908000000003</v>
      </c>
      <c r="H1354" s="5">
        <f>6139 / 86400</f>
        <v>7.1053240740740736E-2</v>
      </c>
      <c r="I1354" t="s">
        <v>101</v>
      </c>
      <c r="J1354" t="s">
        <v>49</v>
      </c>
      <c r="K1354" s="5">
        <f>17777 / 86400</f>
        <v>0.20575231481481482</v>
      </c>
      <c r="L1354" s="5">
        <f>222 / 86400</f>
        <v>2.5694444444444445E-3</v>
      </c>
    </row>
    <row r="1355" spans="1:12" x14ac:dyDescent="0.25">
      <c r="A1355" s="3">
        <v>45708.474039351851</v>
      </c>
      <c r="B1355" t="s">
        <v>83</v>
      </c>
      <c r="C1355" s="3">
        <v>45708.475578703699</v>
      </c>
      <c r="D1355" t="s">
        <v>83</v>
      </c>
      <c r="E1355" s="4">
        <v>0.08</v>
      </c>
      <c r="F1355" s="4">
        <v>65270.908000000003</v>
      </c>
      <c r="G1355" s="4">
        <v>65270.987999999998</v>
      </c>
      <c r="H1355" s="5">
        <f>40 / 86400</f>
        <v>4.6296296296296298E-4</v>
      </c>
      <c r="I1355" t="s">
        <v>168</v>
      </c>
      <c r="J1355" t="s">
        <v>136</v>
      </c>
      <c r="K1355" s="5">
        <f>132 / 86400</f>
        <v>1.5277777777777779E-3</v>
      </c>
      <c r="L1355" s="5">
        <f>2466 / 86400</f>
        <v>2.8541666666666667E-2</v>
      </c>
    </row>
    <row r="1356" spans="1:12" x14ac:dyDescent="0.25">
      <c r="A1356" s="3">
        <v>45708.504120370373</v>
      </c>
      <c r="B1356" t="s">
        <v>83</v>
      </c>
      <c r="C1356" s="3">
        <v>45708.50854166667</v>
      </c>
      <c r="D1356" t="s">
        <v>127</v>
      </c>
      <c r="E1356" s="4">
        <v>1.399</v>
      </c>
      <c r="F1356" s="4">
        <v>65270.987999999998</v>
      </c>
      <c r="G1356" s="4">
        <v>65272.387000000002</v>
      </c>
      <c r="H1356" s="5">
        <f>39 / 86400</f>
        <v>4.5138888888888887E-4</v>
      </c>
      <c r="I1356" t="s">
        <v>162</v>
      </c>
      <c r="J1356" t="s">
        <v>29</v>
      </c>
      <c r="K1356" s="5">
        <f>381 / 86400</f>
        <v>4.409722222222222E-3</v>
      </c>
      <c r="L1356" s="5">
        <f>1233 / 86400</f>
        <v>1.4270833333333333E-2</v>
      </c>
    </row>
    <row r="1357" spans="1:12" x14ac:dyDescent="0.25">
      <c r="A1357" s="3">
        <v>45708.522812499999</v>
      </c>
      <c r="B1357" t="s">
        <v>127</v>
      </c>
      <c r="C1357" s="3">
        <v>45708.699328703704</v>
      </c>
      <c r="D1357" t="s">
        <v>39</v>
      </c>
      <c r="E1357" s="4">
        <v>88.064999999999998</v>
      </c>
      <c r="F1357" s="4">
        <v>65272.387000000002</v>
      </c>
      <c r="G1357" s="4">
        <v>65360.451999999997</v>
      </c>
      <c r="H1357" s="5">
        <f>4419 / 86400</f>
        <v>5.1145833333333335E-2</v>
      </c>
      <c r="I1357" t="s">
        <v>101</v>
      </c>
      <c r="J1357" t="s">
        <v>38</v>
      </c>
      <c r="K1357" s="5">
        <f>15251 / 86400</f>
        <v>0.17651620370370372</v>
      </c>
      <c r="L1357" s="5">
        <f>237 / 86400</f>
        <v>2.7430555555555554E-3</v>
      </c>
    </row>
    <row r="1358" spans="1:12" x14ac:dyDescent="0.25">
      <c r="A1358" s="3">
        <v>45708.70207175926</v>
      </c>
      <c r="B1358" t="s">
        <v>39</v>
      </c>
      <c r="C1358" s="3">
        <v>45708.706238425926</v>
      </c>
      <c r="D1358" t="s">
        <v>39</v>
      </c>
      <c r="E1358" s="4">
        <v>1.38</v>
      </c>
      <c r="F1358" s="4">
        <v>65360.451999999997</v>
      </c>
      <c r="G1358" s="4">
        <v>65361.832000000002</v>
      </c>
      <c r="H1358" s="5">
        <f>179 / 86400</f>
        <v>2.0717592592592593E-3</v>
      </c>
      <c r="I1358" t="s">
        <v>241</v>
      </c>
      <c r="J1358" t="s">
        <v>58</v>
      </c>
      <c r="K1358" s="5">
        <f>359 / 86400</f>
        <v>4.1550925925925922E-3</v>
      </c>
      <c r="L1358" s="5">
        <f>25380 / 86400</f>
        <v>0.29375000000000001</v>
      </c>
    </row>
    <row r="1359" spans="1:12" x14ac:dyDescent="0.2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</row>
    <row r="1360" spans="1:12" x14ac:dyDescent="0.2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</row>
    <row r="1361" spans="1:12" s="10" customFormat="1" ht="20.100000000000001" customHeight="1" x14ac:dyDescent="0.35">
      <c r="A1361" s="15" t="s">
        <v>523</v>
      </c>
      <c r="B1361" s="15"/>
      <c r="C1361" s="15"/>
      <c r="D1361" s="15"/>
      <c r="E1361" s="15"/>
      <c r="F1361" s="15"/>
      <c r="G1361" s="15"/>
      <c r="H1361" s="15"/>
      <c r="I1361" s="15"/>
      <c r="J1361" s="15"/>
    </row>
    <row r="1362" spans="1:12" x14ac:dyDescent="0.2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</row>
    <row r="1363" spans="1:12" ht="30" x14ac:dyDescent="0.25">
      <c r="A1363" s="2" t="s">
        <v>6</v>
      </c>
      <c r="B1363" s="2" t="s">
        <v>7</v>
      </c>
      <c r="C1363" s="2" t="s">
        <v>8</v>
      </c>
      <c r="D1363" s="2" t="s">
        <v>9</v>
      </c>
      <c r="E1363" s="2" t="s">
        <v>10</v>
      </c>
      <c r="F1363" s="2" t="s">
        <v>11</v>
      </c>
      <c r="G1363" s="2" t="s">
        <v>12</v>
      </c>
      <c r="H1363" s="2" t="s">
        <v>13</v>
      </c>
      <c r="I1363" s="2" t="s">
        <v>14</v>
      </c>
      <c r="J1363" s="2" t="s">
        <v>15</v>
      </c>
      <c r="K1363" s="2" t="s">
        <v>16</v>
      </c>
      <c r="L1363" s="2" t="s">
        <v>17</v>
      </c>
    </row>
    <row r="1364" spans="1:12" x14ac:dyDescent="0.25">
      <c r="A1364" s="3">
        <v>45708.263969907406</v>
      </c>
      <c r="B1364" t="s">
        <v>83</v>
      </c>
      <c r="C1364" s="3">
        <v>45708.332430555558</v>
      </c>
      <c r="D1364" t="s">
        <v>83</v>
      </c>
      <c r="E1364" s="4">
        <v>0</v>
      </c>
      <c r="F1364" s="4">
        <v>5847.3609999999999</v>
      </c>
      <c r="G1364" s="4">
        <v>5847.3609999999999</v>
      </c>
      <c r="H1364" s="5">
        <f>5900 / 86400</f>
        <v>6.8287037037037035E-2</v>
      </c>
      <c r="I1364" t="s">
        <v>22</v>
      </c>
      <c r="J1364" t="s">
        <v>22</v>
      </c>
      <c r="K1364" s="5">
        <f>5915 / 86400</f>
        <v>6.8460648148148145E-2</v>
      </c>
      <c r="L1364" s="5">
        <f>23359 / 86400</f>
        <v>0.27035879629629628</v>
      </c>
    </row>
    <row r="1365" spans="1:12" x14ac:dyDescent="0.25">
      <c r="A1365" s="3">
        <v>45708.338819444441</v>
      </c>
      <c r="B1365" t="s">
        <v>83</v>
      </c>
      <c r="C1365" s="3">
        <v>45708.606145833328</v>
      </c>
      <c r="D1365" t="s">
        <v>83</v>
      </c>
      <c r="E1365" s="4">
        <v>0</v>
      </c>
      <c r="F1365" s="4">
        <v>5847.3609999999999</v>
      </c>
      <c r="G1365" s="4">
        <v>5847.3609999999999</v>
      </c>
      <c r="H1365" s="5">
        <f>23079 / 86400</f>
        <v>0.26711805555555557</v>
      </c>
      <c r="I1365" t="s">
        <v>22</v>
      </c>
      <c r="J1365" t="s">
        <v>22</v>
      </c>
      <c r="K1365" s="5">
        <f>23096 / 86400</f>
        <v>0.26731481481481484</v>
      </c>
      <c r="L1365" s="5">
        <f>399 / 86400</f>
        <v>4.6180555555555558E-3</v>
      </c>
    </row>
    <row r="1366" spans="1:12" x14ac:dyDescent="0.25">
      <c r="A1366" s="3">
        <v>45708.610763888893</v>
      </c>
      <c r="B1366" t="s">
        <v>83</v>
      </c>
      <c r="C1366" s="3">
        <v>45708.612118055556</v>
      </c>
      <c r="D1366" t="s">
        <v>83</v>
      </c>
      <c r="E1366" s="4">
        <v>0</v>
      </c>
      <c r="F1366" s="4">
        <v>5847.3609999999999</v>
      </c>
      <c r="G1366" s="4">
        <v>5847.3609999999999</v>
      </c>
      <c r="H1366" s="5">
        <f>99 / 86400</f>
        <v>1.1458333333333333E-3</v>
      </c>
      <c r="I1366" t="s">
        <v>22</v>
      </c>
      <c r="J1366" t="s">
        <v>22</v>
      </c>
      <c r="K1366" s="5">
        <f>116 / 86400</f>
        <v>1.3425925925925925E-3</v>
      </c>
      <c r="L1366" s="5">
        <f>3885 / 86400</f>
        <v>4.4965277777777778E-2</v>
      </c>
    </row>
    <row r="1367" spans="1:12" x14ac:dyDescent="0.25">
      <c r="A1367" s="3">
        <v>45708.657083333332</v>
      </c>
      <c r="B1367" t="s">
        <v>83</v>
      </c>
      <c r="C1367" s="3">
        <v>45708.657291666663</v>
      </c>
      <c r="D1367" t="s">
        <v>83</v>
      </c>
      <c r="E1367" s="4">
        <v>0</v>
      </c>
      <c r="F1367" s="4">
        <v>5847.3609999999999</v>
      </c>
      <c r="G1367" s="4">
        <v>5847.3609999999999</v>
      </c>
      <c r="H1367" s="5">
        <f>0 / 86400</f>
        <v>0</v>
      </c>
      <c r="I1367" t="s">
        <v>22</v>
      </c>
      <c r="J1367" t="s">
        <v>22</v>
      </c>
      <c r="K1367" s="5">
        <f>17 / 86400</f>
        <v>1.9675925925925926E-4</v>
      </c>
      <c r="L1367" s="5">
        <f>461 / 86400</f>
        <v>5.3356481481481484E-3</v>
      </c>
    </row>
    <row r="1368" spans="1:12" x14ac:dyDescent="0.25">
      <c r="A1368" s="3">
        <v>45708.662627314814</v>
      </c>
      <c r="B1368" t="s">
        <v>83</v>
      </c>
      <c r="C1368" s="3">
        <v>45708.664212962962</v>
      </c>
      <c r="D1368" t="s">
        <v>83</v>
      </c>
      <c r="E1368" s="4">
        <v>0</v>
      </c>
      <c r="F1368" s="4">
        <v>5847.3609999999999</v>
      </c>
      <c r="G1368" s="4">
        <v>5847.3609999999999</v>
      </c>
      <c r="H1368" s="5">
        <f>119 / 86400</f>
        <v>1.3773148148148147E-3</v>
      </c>
      <c r="I1368" t="s">
        <v>22</v>
      </c>
      <c r="J1368" t="s">
        <v>22</v>
      </c>
      <c r="K1368" s="5">
        <f>136 / 86400</f>
        <v>1.5740740740740741E-3</v>
      </c>
      <c r="L1368" s="5">
        <f>314 / 86400</f>
        <v>3.6342592592592594E-3</v>
      </c>
    </row>
    <row r="1369" spans="1:12" x14ac:dyDescent="0.25">
      <c r="A1369" s="3">
        <v>45708.667847222227</v>
      </c>
      <c r="B1369" t="s">
        <v>83</v>
      </c>
      <c r="C1369" s="3">
        <v>45708.672175925924</v>
      </c>
      <c r="D1369" t="s">
        <v>83</v>
      </c>
      <c r="E1369" s="4">
        <v>0</v>
      </c>
      <c r="F1369" s="4">
        <v>5847.3609999999999</v>
      </c>
      <c r="G1369" s="4">
        <v>5847.3609999999999</v>
      </c>
      <c r="H1369" s="5">
        <f>359 / 86400</f>
        <v>4.1550925925925922E-3</v>
      </c>
      <c r="I1369" t="s">
        <v>22</v>
      </c>
      <c r="J1369" t="s">
        <v>22</v>
      </c>
      <c r="K1369" s="5">
        <f>373 / 86400</f>
        <v>4.31712962962963E-3</v>
      </c>
      <c r="L1369" s="5">
        <f>2 / 86400</f>
        <v>2.3148148148148147E-5</v>
      </c>
    </row>
    <row r="1370" spans="1:12" x14ac:dyDescent="0.25">
      <c r="A1370" s="3">
        <v>45708.672199074077</v>
      </c>
      <c r="B1370" t="s">
        <v>83</v>
      </c>
      <c r="C1370" s="3">
        <v>45708.760439814811</v>
      </c>
      <c r="D1370" t="s">
        <v>83</v>
      </c>
      <c r="E1370" s="4">
        <v>0</v>
      </c>
      <c r="F1370" s="4">
        <v>5847.3609999999999</v>
      </c>
      <c r="G1370" s="4">
        <v>5847.3609999999999</v>
      </c>
      <c r="H1370" s="5">
        <f>7619 / 86400</f>
        <v>8.818287037037037E-2</v>
      </c>
      <c r="I1370" t="s">
        <v>22</v>
      </c>
      <c r="J1370" t="s">
        <v>22</v>
      </c>
      <c r="K1370" s="5">
        <f>7624 / 86400</f>
        <v>8.8240740740740745E-2</v>
      </c>
      <c r="L1370" s="5">
        <f>333 / 86400</f>
        <v>3.8541666666666668E-3</v>
      </c>
    </row>
    <row r="1371" spans="1:12" x14ac:dyDescent="0.25">
      <c r="A1371" s="3">
        <v>45708.764293981483</v>
      </c>
      <c r="B1371" t="s">
        <v>83</v>
      </c>
      <c r="C1371" s="3">
        <v>45708.764930555553</v>
      </c>
      <c r="D1371" t="s">
        <v>83</v>
      </c>
      <c r="E1371" s="4">
        <v>0</v>
      </c>
      <c r="F1371" s="4">
        <v>5847.3609999999999</v>
      </c>
      <c r="G1371" s="4">
        <v>5847.3609999999999</v>
      </c>
      <c r="H1371" s="5">
        <f>39 / 86400</f>
        <v>4.5138888888888887E-4</v>
      </c>
      <c r="I1371" t="s">
        <v>22</v>
      </c>
      <c r="J1371" t="s">
        <v>22</v>
      </c>
      <c r="K1371" s="5">
        <f>55 / 86400</f>
        <v>6.3657407407407413E-4</v>
      </c>
      <c r="L1371" s="5">
        <f>20309 / 86400</f>
        <v>0.23505787037037038</v>
      </c>
    </row>
    <row r="1372" spans="1:12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</row>
    <row r="1373" spans="1:12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</row>
    <row r="1374" spans="1:12" s="10" customFormat="1" ht="20.100000000000001" customHeight="1" x14ac:dyDescent="0.35">
      <c r="A1374" s="15" t="s">
        <v>524</v>
      </c>
      <c r="B1374" s="15"/>
      <c r="C1374" s="15"/>
      <c r="D1374" s="15"/>
      <c r="E1374" s="15"/>
      <c r="F1374" s="15"/>
      <c r="G1374" s="15"/>
      <c r="H1374" s="15"/>
      <c r="I1374" s="15"/>
      <c r="J1374" s="15"/>
    </row>
    <row r="1375" spans="1:12" x14ac:dyDescent="0.2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</row>
    <row r="1376" spans="1:12" ht="30" x14ac:dyDescent="0.25">
      <c r="A1376" s="2" t="s">
        <v>6</v>
      </c>
      <c r="B1376" s="2" t="s">
        <v>7</v>
      </c>
      <c r="C1376" s="2" t="s">
        <v>8</v>
      </c>
      <c r="D1376" s="2" t="s">
        <v>9</v>
      </c>
      <c r="E1376" s="2" t="s">
        <v>10</v>
      </c>
      <c r="F1376" s="2" t="s">
        <v>11</v>
      </c>
      <c r="G1376" s="2" t="s">
        <v>12</v>
      </c>
      <c r="H1376" s="2" t="s">
        <v>13</v>
      </c>
      <c r="I1376" s="2" t="s">
        <v>14</v>
      </c>
      <c r="J1376" s="2" t="s">
        <v>15</v>
      </c>
      <c r="K1376" s="2" t="s">
        <v>16</v>
      </c>
      <c r="L1376" s="2" t="s">
        <v>17</v>
      </c>
    </row>
    <row r="1377" spans="1:12" x14ac:dyDescent="0.25">
      <c r="A1377" s="3">
        <v>45708.186342592591</v>
      </c>
      <c r="B1377" t="s">
        <v>27</v>
      </c>
      <c r="C1377" s="3">
        <v>45708.186354166668</v>
      </c>
      <c r="D1377" t="s">
        <v>27</v>
      </c>
      <c r="E1377" s="4">
        <v>0</v>
      </c>
      <c r="F1377" s="4">
        <v>409277.772</v>
      </c>
      <c r="G1377" s="4">
        <v>409277.772</v>
      </c>
      <c r="H1377" s="5">
        <f>0 / 86400</f>
        <v>0</v>
      </c>
      <c r="I1377" t="s">
        <v>22</v>
      </c>
      <c r="J1377" t="s">
        <v>22</v>
      </c>
      <c r="K1377" s="5">
        <f>1 / 86400</f>
        <v>1.1574074074074073E-5</v>
      </c>
      <c r="L1377" s="5">
        <f>16180 / 86400</f>
        <v>0.18726851851851853</v>
      </c>
    </row>
    <row r="1378" spans="1:12" x14ac:dyDescent="0.25">
      <c r="A1378" s="3">
        <v>45708.187280092592</v>
      </c>
      <c r="B1378" t="s">
        <v>27</v>
      </c>
      <c r="C1378" s="3">
        <v>45708.187928240739</v>
      </c>
      <c r="D1378" t="s">
        <v>27</v>
      </c>
      <c r="E1378" s="4">
        <v>0</v>
      </c>
      <c r="F1378" s="4">
        <v>409277.772</v>
      </c>
      <c r="G1378" s="4">
        <v>409277.772</v>
      </c>
      <c r="H1378" s="5">
        <f>39 / 86400</f>
        <v>4.5138888888888887E-4</v>
      </c>
      <c r="I1378" t="s">
        <v>22</v>
      </c>
      <c r="J1378" t="s">
        <v>22</v>
      </c>
      <c r="K1378" s="5">
        <f>56 / 86400</f>
        <v>6.4814814814814813E-4</v>
      </c>
      <c r="L1378" s="5">
        <f>1506 / 86400</f>
        <v>1.7430555555555557E-2</v>
      </c>
    </row>
    <row r="1379" spans="1:12" x14ac:dyDescent="0.25">
      <c r="A1379" s="3">
        <v>45708.205358796295</v>
      </c>
      <c r="B1379" t="s">
        <v>27</v>
      </c>
      <c r="C1379" s="3">
        <v>45708.206226851849</v>
      </c>
      <c r="D1379" t="s">
        <v>27</v>
      </c>
      <c r="E1379" s="4">
        <v>5.0000000000000001E-3</v>
      </c>
      <c r="F1379" s="4">
        <v>409277.772</v>
      </c>
      <c r="G1379" s="4">
        <v>409277.777</v>
      </c>
      <c r="H1379" s="5">
        <f>59 / 86400</f>
        <v>6.8287037037037036E-4</v>
      </c>
      <c r="I1379" t="s">
        <v>22</v>
      </c>
      <c r="J1379" t="s">
        <v>22</v>
      </c>
      <c r="K1379" s="5">
        <f>75 / 86400</f>
        <v>8.6805555555555551E-4</v>
      </c>
      <c r="L1379" s="5">
        <f>189 / 86400</f>
        <v>2.1875000000000002E-3</v>
      </c>
    </row>
    <row r="1380" spans="1:12" x14ac:dyDescent="0.25">
      <c r="A1380" s="3">
        <v>45708.208414351851</v>
      </c>
      <c r="B1380" t="s">
        <v>27</v>
      </c>
      <c r="C1380" s="3">
        <v>45708.208425925928</v>
      </c>
      <c r="D1380" t="s">
        <v>27</v>
      </c>
      <c r="E1380" s="4">
        <v>0</v>
      </c>
      <c r="F1380" s="4">
        <v>409277.777</v>
      </c>
      <c r="G1380" s="4">
        <v>409277.777</v>
      </c>
      <c r="H1380" s="5">
        <f>0 / 86400</f>
        <v>0</v>
      </c>
      <c r="I1380" t="s">
        <v>22</v>
      </c>
      <c r="J1380" t="s">
        <v>22</v>
      </c>
      <c r="K1380" s="5">
        <f>1 / 86400</f>
        <v>1.1574074074074073E-5</v>
      </c>
      <c r="L1380" s="5">
        <f>1 / 86400</f>
        <v>1.1574074074074073E-5</v>
      </c>
    </row>
    <row r="1381" spans="1:12" x14ac:dyDescent="0.25">
      <c r="A1381" s="3">
        <v>45708.208437499998</v>
      </c>
      <c r="B1381" t="s">
        <v>27</v>
      </c>
      <c r="C1381" s="3">
        <v>45708.208460648151</v>
      </c>
      <c r="D1381" t="s">
        <v>27</v>
      </c>
      <c r="E1381" s="4">
        <v>0</v>
      </c>
      <c r="F1381" s="4">
        <v>409277.777</v>
      </c>
      <c r="G1381" s="4">
        <v>409277.777</v>
      </c>
      <c r="H1381" s="5">
        <f>0 / 86400</f>
        <v>0</v>
      </c>
      <c r="I1381" t="s">
        <v>22</v>
      </c>
      <c r="J1381" t="s">
        <v>22</v>
      </c>
      <c r="K1381" s="5">
        <f>2 / 86400</f>
        <v>2.3148148148148147E-5</v>
      </c>
      <c r="L1381" s="5">
        <f>322 / 86400</f>
        <v>3.7268518518518519E-3</v>
      </c>
    </row>
    <row r="1382" spans="1:12" x14ac:dyDescent="0.25">
      <c r="A1382" s="3">
        <v>45708.212187500001</v>
      </c>
      <c r="B1382" t="s">
        <v>27</v>
      </c>
      <c r="C1382" s="3">
        <v>45708.219618055555</v>
      </c>
      <c r="D1382" t="s">
        <v>27</v>
      </c>
      <c r="E1382" s="4">
        <v>0.50600000000000001</v>
      </c>
      <c r="F1382" s="4">
        <v>409277.777</v>
      </c>
      <c r="G1382" s="4">
        <v>409278.283</v>
      </c>
      <c r="H1382" s="5">
        <f>414 / 86400</f>
        <v>4.7916666666666663E-3</v>
      </c>
      <c r="I1382" t="s">
        <v>20</v>
      </c>
      <c r="J1382" t="s">
        <v>135</v>
      </c>
      <c r="K1382" s="5">
        <f>642 / 86400</f>
        <v>7.4305555555555557E-3</v>
      </c>
      <c r="L1382" s="5">
        <f>2 / 86400</f>
        <v>2.3148148148148147E-5</v>
      </c>
    </row>
    <row r="1383" spans="1:12" x14ac:dyDescent="0.25">
      <c r="A1383" s="3">
        <v>45708.219641203701</v>
      </c>
      <c r="B1383" t="s">
        <v>27</v>
      </c>
      <c r="C1383" s="3">
        <v>45708.33293981482</v>
      </c>
      <c r="D1383" t="s">
        <v>83</v>
      </c>
      <c r="E1383" s="4">
        <v>51.587000000000003</v>
      </c>
      <c r="F1383" s="4">
        <v>409278.283</v>
      </c>
      <c r="G1383" s="4">
        <v>409329.87</v>
      </c>
      <c r="H1383" s="5">
        <f>3339 / 86400</f>
        <v>3.8645833333333331E-2</v>
      </c>
      <c r="I1383" t="s">
        <v>46</v>
      </c>
      <c r="J1383" t="s">
        <v>68</v>
      </c>
      <c r="K1383" s="5">
        <f>9789 / 86400</f>
        <v>0.11329861111111111</v>
      </c>
      <c r="L1383" s="5">
        <f>3 / 86400</f>
        <v>3.4722222222222222E-5</v>
      </c>
    </row>
    <row r="1384" spans="1:12" x14ac:dyDescent="0.25">
      <c r="A1384" s="3">
        <v>45708.332974537036</v>
      </c>
      <c r="B1384" t="s">
        <v>83</v>
      </c>
      <c r="C1384" s="3">
        <v>45708.333425925928</v>
      </c>
      <c r="D1384" t="s">
        <v>83</v>
      </c>
      <c r="E1384" s="4">
        <v>0</v>
      </c>
      <c r="F1384" s="4">
        <v>409329.87</v>
      </c>
      <c r="G1384" s="4">
        <v>409329.87</v>
      </c>
      <c r="H1384" s="5">
        <f>35 / 86400</f>
        <v>4.0509259259259258E-4</v>
      </c>
      <c r="I1384" t="s">
        <v>22</v>
      </c>
      <c r="J1384" t="s">
        <v>22</v>
      </c>
      <c r="K1384" s="5">
        <f>39 / 86400</f>
        <v>4.5138888888888887E-4</v>
      </c>
      <c r="L1384" s="5">
        <f>7138 / 86400</f>
        <v>8.261574074074074E-2</v>
      </c>
    </row>
    <row r="1385" spans="1:12" x14ac:dyDescent="0.25">
      <c r="A1385" s="3">
        <v>45708.416041666671</v>
      </c>
      <c r="B1385" t="s">
        <v>83</v>
      </c>
      <c r="C1385" s="3">
        <v>45708.416192129633</v>
      </c>
      <c r="D1385" t="s">
        <v>83</v>
      </c>
      <c r="E1385" s="4">
        <v>0</v>
      </c>
      <c r="F1385" s="4">
        <v>409329.87</v>
      </c>
      <c r="G1385" s="4">
        <v>409329.87</v>
      </c>
      <c r="H1385" s="5">
        <f>0 / 86400</f>
        <v>0</v>
      </c>
      <c r="I1385" t="s">
        <v>22</v>
      </c>
      <c r="J1385" t="s">
        <v>22</v>
      </c>
      <c r="K1385" s="5">
        <f>12 / 86400</f>
        <v>1.3888888888888889E-4</v>
      </c>
      <c r="L1385" s="5">
        <f>2 / 86400</f>
        <v>2.3148148148148147E-5</v>
      </c>
    </row>
    <row r="1386" spans="1:12" x14ac:dyDescent="0.25">
      <c r="A1386" s="3">
        <v>45708.416215277779</v>
      </c>
      <c r="B1386" t="s">
        <v>83</v>
      </c>
      <c r="C1386" s="3">
        <v>45708.416354166664</v>
      </c>
      <c r="D1386" t="s">
        <v>83</v>
      </c>
      <c r="E1386" s="4">
        <v>0</v>
      </c>
      <c r="F1386" s="4">
        <v>409329.87</v>
      </c>
      <c r="G1386" s="4">
        <v>409329.87</v>
      </c>
      <c r="H1386" s="5">
        <f>5 / 86400</f>
        <v>5.7870370370370373E-5</v>
      </c>
      <c r="I1386" t="s">
        <v>22</v>
      </c>
      <c r="J1386" t="s">
        <v>22</v>
      </c>
      <c r="K1386" s="5">
        <f>12 / 86400</f>
        <v>1.3888888888888889E-4</v>
      </c>
      <c r="L1386" s="5">
        <f>2969 / 86400</f>
        <v>3.4363425925925929E-2</v>
      </c>
    </row>
    <row r="1387" spans="1:12" x14ac:dyDescent="0.25">
      <c r="A1387" s="3">
        <v>45708.450717592597</v>
      </c>
      <c r="B1387" t="s">
        <v>83</v>
      </c>
      <c r="C1387" s="3">
        <v>45708.452372685184</v>
      </c>
      <c r="D1387" t="s">
        <v>83</v>
      </c>
      <c r="E1387" s="4">
        <v>4.4999999999999998E-2</v>
      </c>
      <c r="F1387" s="4">
        <v>409329.87</v>
      </c>
      <c r="G1387" s="4">
        <v>409329.91499999998</v>
      </c>
      <c r="H1387" s="5">
        <f>79 / 86400</f>
        <v>9.1435185185185185E-4</v>
      </c>
      <c r="I1387" t="s">
        <v>55</v>
      </c>
      <c r="J1387" t="s">
        <v>145</v>
      </c>
      <c r="K1387" s="5">
        <f>143 / 86400</f>
        <v>1.6550925925925926E-3</v>
      </c>
      <c r="L1387" s="5">
        <f>549 / 86400</f>
        <v>6.3541666666666668E-3</v>
      </c>
    </row>
    <row r="1388" spans="1:12" x14ac:dyDescent="0.25">
      <c r="A1388" s="3">
        <v>45708.458726851852</v>
      </c>
      <c r="B1388" t="s">
        <v>83</v>
      </c>
      <c r="C1388" s="3">
        <v>45708.504016203704</v>
      </c>
      <c r="D1388" t="s">
        <v>462</v>
      </c>
      <c r="E1388" s="4">
        <v>25.579000000000001</v>
      </c>
      <c r="F1388" s="4">
        <v>409329.91499999998</v>
      </c>
      <c r="G1388" s="4">
        <v>409355.49400000001</v>
      </c>
      <c r="H1388" s="5">
        <f>938 / 86400</f>
        <v>1.0856481481481481E-2</v>
      </c>
      <c r="I1388" t="s">
        <v>37</v>
      </c>
      <c r="J1388" t="s">
        <v>157</v>
      </c>
      <c r="K1388" s="5">
        <f>3913 / 86400</f>
        <v>4.5289351851851851E-2</v>
      </c>
      <c r="L1388" s="5">
        <f>3074 / 86400</f>
        <v>3.5578703703703703E-2</v>
      </c>
    </row>
    <row r="1389" spans="1:12" x14ac:dyDescent="0.25">
      <c r="A1389" s="3">
        <v>45708.539594907408</v>
      </c>
      <c r="B1389" t="s">
        <v>462</v>
      </c>
      <c r="C1389" s="3">
        <v>45708.541284722218</v>
      </c>
      <c r="D1389" t="s">
        <v>462</v>
      </c>
      <c r="E1389" s="4">
        <v>0.27200000000000002</v>
      </c>
      <c r="F1389" s="4">
        <v>409355.49400000001</v>
      </c>
      <c r="G1389" s="4">
        <v>409355.766</v>
      </c>
      <c r="H1389" s="5">
        <f>39 / 86400</f>
        <v>4.5138888888888887E-4</v>
      </c>
      <c r="I1389" t="s">
        <v>58</v>
      </c>
      <c r="J1389" t="s">
        <v>26</v>
      </c>
      <c r="K1389" s="5">
        <f>146 / 86400</f>
        <v>1.6898148148148148E-3</v>
      </c>
      <c r="L1389" s="5">
        <f>186 / 86400</f>
        <v>2.1527777777777778E-3</v>
      </c>
    </row>
    <row r="1390" spans="1:12" x14ac:dyDescent="0.25">
      <c r="A1390" s="3">
        <v>45708.543437500004</v>
      </c>
      <c r="B1390" t="s">
        <v>462</v>
      </c>
      <c r="C1390" s="3">
        <v>45708.544178240743</v>
      </c>
      <c r="D1390" t="s">
        <v>462</v>
      </c>
      <c r="E1390" s="4">
        <v>0.22700000000000001</v>
      </c>
      <c r="F1390" s="4">
        <v>409355.766</v>
      </c>
      <c r="G1390" s="4">
        <v>409355.99300000002</v>
      </c>
      <c r="H1390" s="5">
        <f>0 / 86400</f>
        <v>0</v>
      </c>
      <c r="I1390" t="s">
        <v>49</v>
      </c>
      <c r="J1390" t="s">
        <v>29</v>
      </c>
      <c r="K1390" s="5">
        <f>64 / 86400</f>
        <v>7.407407407407407E-4</v>
      </c>
      <c r="L1390" s="5">
        <f>1582 / 86400</f>
        <v>1.8310185185185186E-2</v>
      </c>
    </row>
    <row r="1391" spans="1:12" x14ac:dyDescent="0.25">
      <c r="A1391" s="3">
        <v>45708.56248842593</v>
      </c>
      <c r="B1391" t="s">
        <v>462</v>
      </c>
      <c r="C1391" s="3">
        <v>45708.56417824074</v>
      </c>
      <c r="D1391" t="s">
        <v>175</v>
      </c>
      <c r="E1391" s="4">
        <v>0.183</v>
      </c>
      <c r="F1391" s="4">
        <v>409355.99300000002</v>
      </c>
      <c r="G1391" s="4">
        <v>409356.17599999998</v>
      </c>
      <c r="H1391" s="5">
        <f>39 / 86400</f>
        <v>4.5138888888888887E-4</v>
      </c>
      <c r="I1391" t="s">
        <v>34</v>
      </c>
      <c r="J1391" t="s">
        <v>55</v>
      </c>
      <c r="K1391" s="5">
        <f>145 / 86400</f>
        <v>1.6782407407407408E-3</v>
      </c>
      <c r="L1391" s="5">
        <f>1698 / 86400</f>
        <v>1.9652777777777779E-2</v>
      </c>
    </row>
    <row r="1392" spans="1:12" x14ac:dyDescent="0.25">
      <c r="A1392" s="3">
        <v>45708.583831018521</v>
      </c>
      <c r="B1392" t="s">
        <v>175</v>
      </c>
      <c r="C1392" s="3">
        <v>45708.58556712963</v>
      </c>
      <c r="D1392" t="s">
        <v>174</v>
      </c>
      <c r="E1392" s="4">
        <v>0.03</v>
      </c>
      <c r="F1392" s="4">
        <v>409356.17599999998</v>
      </c>
      <c r="G1392" s="4">
        <v>409356.20600000001</v>
      </c>
      <c r="H1392" s="5">
        <f>120 / 86400</f>
        <v>1.3888888888888889E-3</v>
      </c>
      <c r="I1392" t="s">
        <v>55</v>
      </c>
      <c r="J1392" t="s">
        <v>145</v>
      </c>
      <c r="K1392" s="5">
        <f>149 / 86400</f>
        <v>1.724537037037037E-3</v>
      </c>
      <c r="L1392" s="5">
        <f>193 / 86400</f>
        <v>2.2337962962962962E-3</v>
      </c>
    </row>
    <row r="1393" spans="1:12" x14ac:dyDescent="0.25">
      <c r="A1393" s="3">
        <v>45708.587800925925</v>
      </c>
      <c r="B1393" t="s">
        <v>174</v>
      </c>
      <c r="C1393" s="3">
        <v>45708.590648148151</v>
      </c>
      <c r="D1393" t="s">
        <v>84</v>
      </c>
      <c r="E1393" s="4">
        <v>1.661</v>
      </c>
      <c r="F1393" s="4">
        <v>409356.20600000001</v>
      </c>
      <c r="G1393" s="4">
        <v>409357.86700000003</v>
      </c>
      <c r="H1393" s="5">
        <f>20 / 86400</f>
        <v>2.3148148148148149E-4</v>
      </c>
      <c r="I1393" t="s">
        <v>159</v>
      </c>
      <c r="J1393" t="s">
        <v>157</v>
      </c>
      <c r="K1393" s="5">
        <f>245 / 86400</f>
        <v>2.8356481481481483E-3</v>
      </c>
      <c r="L1393" s="5">
        <f>216 / 86400</f>
        <v>2.5000000000000001E-3</v>
      </c>
    </row>
    <row r="1394" spans="1:12" x14ac:dyDescent="0.25">
      <c r="A1394" s="3">
        <v>45708.593148148153</v>
      </c>
      <c r="B1394" t="s">
        <v>84</v>
      </c>
      <c r="C1394" s="3">
        <v>45708.596944444449</v>
      </c>
      <c r="D1394" t="s">
        <v>87</v>
      </c>
      <c r="E1394" s="4">
        <v>3.073</v>
      </c>
      <c r="F1394" s="4">
        <v>409357.86700000003</v>
      </c>
      <c r="G1394" s="4">
        <v>409360.94</v>
      </c>
      <c r="H1394" s="5">
        <f>20 / 86400</f>
        <v>2.3148148148148149E-4</v>
      </c>
      <c r="I1394" t="s">
        <v>172</v>
      </c>
      <c r="J1394" t="s">
        <v>160</v>
      </c>
      <c r="K1394" s="5">
        <f>327 / 86400</f>
        <v>3.7847222222222223E-3</v>
      </c>
      <c r="L1394" s="5">
        <f>586 / 86400</f>
        <v>6.7824074074074071E-3</v>
      </c>
    </row>
    <row r="1395" spans="1:12" x14ac:dyDescent="0.25">
      <c r="A1395" s="3">
        <v>45708.603726851856</v>
      </c>
      <c r="B1395" t="s">
        <v>87</v>
      </c>
      <c r="C1395" s="3">
        <v>45708.680868055555</v>
      </c>
      <c r="D1395" t="s">
        <v>363</v>
      </c>
      <c r="E1395" s="4">
        <v>28.327000000000002</v>
      </c>
      <c r="F1395" s="4">
        <v>409360.94</v>
      </c>
      <c r="G1395" s="4">
        <v>409389.26699999999</v>
      </c>
      <c r="H1395" s="5">
        <f>2420 / 86400</f>
        <v>2.8009259259259258E-2</v>
      </c>
      <c r="I1395" t="s">
        <v>130</v>
      </c>
      <c r="J1395" t="s">
        <v>44</v>
      </c>
      <c r="K1395" s="5">
        <f>6665 / 86400</f>
        <v>7.7141203703703698E-2</v>
      </c>
      <c r="L1395" s="5">
        <f>185 / 86400</f>
        <v>2.1412037037037038E-3</v>
      </c>
    </row>
    <row r="1396" spans="1:12" x14ac:dyDescent="0.25">
      <c r="A1396" s="3">
        <v>45708.683009259257</v>
      </c>
      <c r="B1396" t="s">
        <v>363</v>
      </c>
      <c r="C1396" s="3">
        <v>45708.683240740742</v>
      </c>
      <c r="D1396" t="s">
        <v>364</v>
      </c>
      <c r="E1396" s="4">
        <v>2.3E-2</v>
      </c>
      <c r="F1396" s="4">
        <v>409389.26699999999</v>
      </c>
      <c r="G1396" s="4">
        <v>409389.29</v>
      </c>
      <c r="H1396" s="5">
        <f>0 / 86400</f>
        <v>0</v>
      </c>
      <c r="I1396" t="s">
        <v>26</v>
      </c>
      <c r="J1396" t="s">
        <v>143</v>
      </c>
      <c r="K1396" s="5">
        <f>19 / 86400</f>
        <v>2.199074074074074E-4</v>
      </c>
      <c r="L1396" s="5">
        <f>620 / 86400</f>
        <v>7.1759259259259259E-3</v>
      </c>
    </row>
    <row r="1397" spans="1:12" x14ac:dyDescent="0.25">
      <c r="A1397" s="3">
        <v>45708.690416666665</v>
      </c>
      <c r="B1397" t="s">
        <v>242</v>
      </c>
      <c r="C1397" s="3">
        <v>45708.702430555553</v>
      </c>
      <c r="D1397" t="s">
        <v>463</v>
      </c>
      <c r="E1397" s="4">
        <v>0.51100000000000001</v>
      </c>
      <c r="F1397" s="4">
        <v>409389.29</v>
      </c>
      <c r="G1397" s="4">
        <v>409389.80099999998</v>
      </c>
      <c r="H1397" s="5">
        <f>920 / 86400</f>
        <v>1.0648148148148148E-2</v>
      </c>
      <c r="I1397" t="s">
        <v>180</v>
      </c>
      <c r="J1397" t="s">
        <v>136</v>
      </c>
      <c r="K1397" s="5">
        <f>1038 / 86400</f>
        <v>1.2013888888888888E-2</v>
      </c>
      <c r="L1397" s="5">
        <f>16 / 86400</f>
        <v>1.8518518518518518E-4</v>
      </c>
    </row>
    <row r="1398" spans="1:12" x14ac:dyDescent="0.25">
      <c r="A1398" s="3">
        <v>45708.702615740738</v>
      </c>
      <c r="B1398" t="s">
        <v>463</v>
      </c>
      <c r="C1398" s="3">
        <v>45708.899942129632</v>
      </c>
      <c r="D1398" t="s">
        <v>280</v>
      </c>
      <c r="E1398" s="4">
        <v>85.052000000000007</v>
      </c>
      <c r="F1398" s="4">
        <v>409389.80099999998</v>
      </c>
      <c r="G1398" s="4">
        <v>409474.853</v>
      </c>
      <c r="H1398" s="5">
        <f>5647 / 86400</f>
        <v>6.535879629629629E-2</v>
      </c>
      <c r="I1398" t="s">
        <v>61</v>
      </c>
      <c r="J1398" t="s">
        <v>34</v>
      </c>
      <c r="K1398" s="5">
        <f>17048 / 86400</f>
        <v>0.1973148148148148</v>
      </c>
      <c r="L1398" s="5">
        <f>187 / 86400</f>
        <v>2.1643518518518518E-3</v>
      </c>
    </row>
    <row r="1399" spans="1:12" x14ac:dyDescent="0.25">
      <c r="A1399" s="3">
        <v>45708.902106481481</v>
      </c>
      <c r="B1399" t="s">
        <v>280</v>
      </c>
      <c r="C1399" s="3">
        <v>45708.90225694445</v>
      </c>
      <c r="D1399" t="s">
        <v>280</v>
      </c>
      <c r="E1399" s="4">
        <v>6.0000000000000001E-3</v>
      </c>
      <c r="F1399" s="4">
        <v>409474.853</v>
      </c>
      <c r="G1399" s="4">
        <v>409474.859</v>
      </c>
      <c r="H1399" s="5">
        <f>0 / 86400</f>
        <v>0</v>
      </c>
      <c r="I1399" t="s">
        <v>26</v>
      </c>
      <c r="J1399" t="s">
        <v>136</v>
      </c>
      <c r="K1399" s="5">
        <f>13 / 86400</f>
        <v>1.5046296296296297E-4</v>
      </c>
      <c r="L1399" s="5">
        <f>299 / 86400</f>
        <v>3.460648148148148E-3</v>
      </c>
    </row>
    <row r="1400" spans="1:12" x14ac:dyDescent="0.25">
      <c r="A1400" s="3">
        <v>45708.905717592592</v>
      </c>
      <c r="B1400" t="s">
        <v>280</v>
      </c>
      <c r="C1400" s="3">
        <v>45708.905972222223</v>
      </c>
      <c r="D1400" t="s">
        <v>280</v>
      </c>
      <c r="E1400" s="4">
        <v>4.0000000000000001E-3</v>
      </c>
      <c r="F1400" s="4">
        <v>409474.859</v>
      </c>
      <c r="G1400" s="4">
        <v>409474.86300000001</v>
      </c>
      <c r="H1400" s="5">
        <f>19 / 86400</f>
        <v>2.199074074074074E-4</v>
      </c>
      <c r="I1400" t="s">
        <v>22</v>
      </c>
      <c r="J1400" t="s">
        <v>145</v>
      </c>
      <c r="K1400" s="5">
        <f>22 / 86400</f>
        <v>2.5462962962962961E-4</v>
      </c>
      <c r="L1400" s="5">
        <f>19 / 86400</f>
        <v>2.199074074074074E-4</v>
      </c>
    </row>
    <row r="1401" spans="1:12" x14ac:dyDescent="0.25">
      <c r="A1401" s="3">
        <v>45708.906192129631</v>
      </c>
      <c r="B1401" t="s">
        <v>280</v>
      </c>
      <c r="C1401" s="3">
        <v>45708.99998842593</v>
      </c>
      <c r="D1401" t="s">
        <v>98</v>
      </c>
      <c r="E1401" s="4">
        <v>46.33</v>
      </c>
      <c r="F1401" s="4">
        <v>409474.86300000001</v>
      </c>
      <c r="G1401" s="4">
        <v>409521.19300000003</v>
      </c>
      <c r="H1401" s="5">
        <f>2979 / 86400</f>
        <v>3.4479166666666665E-2</v>
      </c>
      <c r="I1401" t="s">
        <v>74</v>
      </c>
      <c r="J1401" t="s">
        <v>38</v>
      </c>
      <c r="K1401" s="5">
        <f>8104 / 86400</f>
        <v>9.3796296296296294E-2</v>
      </c>
      <c r="L1401" s="5">
        <f>0 / 86400</f>
        <v>0</v>
      </c>
    </row>
    <row r="1402" spans="1:12" x14ac:dyDescent="0.25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</row>
    <row r="1403" spans="1:12" x14ac:dyDescent="0.25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</row>
    <row r="1404" spans="1:12" s="10" customFormat="1" ht="20.100000000000001" customHeight="1" x14ac:dyDescent="0.35">
      <c r="A1404" s="15" t="s">
        <v>525</v>
      </c>
      <c r="B1404" s="15"/>
      <c r="C1404" s="15"/>
      <c r="D1404" s="15"/>
      <c r="E1404" s="15"/>
      <c r="F1404" s="15"/>
      <c r="G1404" s="15"/>
      <c r="H1404" s="15"/>
      <c r="I1404" s="15"/>
      <c r="J1404" s="15"/>
    </row>
    <row r="1405" spans="1:12" x14ac:dyDescent="0.25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</row>
    <row r="1406" spans="1:12" ht="30" x14ac:dyDescent="0.25">
      <c r="A1406" s="2" t="s">
        <v>6</v>
      </c>
      <c r="B1406" s="2" t="s">
        <v>7</v>
      </c>
      <c r="C1406" s="2" t="s">
        <v>8</v>
      </c>
      <c r="D1406" s="2" t="s">
        <v>9</v>
      </c>
      <c r="E1406" s="2" t="s">
        <v>10</v>
      </c>
      <c r="F1406" s="2" t="s">
        <v>11</v>
      </c>
      <c r="G1406" s="2" t="s">
        <v>12</v>
      </c>
      <c r="H1406" s="2" t="s">
        <v>13</v>
      </c>
      <c r="I1406" s="2" t="s">
        <v>14</v>
      </c>
      <c r="J1406" s="2" t="s">
        <v>15</v>
      </c>
      <c r="K1406" s="2" t="s">
        <v>16</v>
      </c>
      <c r="L1406" s="2" t="s">
        <v>17</v>
      </c>
    </row>
    <row r="1407" spans="1:12" x14ac:dyDescent="0.25">
      <c r="A1407" s="3">
        <v>45708.287766203706</v>
      </c>
      <c r="B1407" t="s">
        <v>85</v>
      </c>
      <c r="C1407" s="3">
        <v>45708.475694444445</v>
      </c>
      <c r="D1407" t="s">
        <v>407</v>
      </c>
      <c r="E1407" s="4">
        <v>78.262</v>
      </c>
      <c r="F1407" s="4">
        <v>551916.24699999997</v>
      </c>
      <c r="G1407" s="4">
        <v>551994.50899999996</v>
      </c>
      <c r="H1407" s="5">
        <f>5100 / 86400</f>
        <v>5.9027777777777776E-2</v>
      </c>
      <c r="I1407" t="s">
        <v>118</v>
      </c>
      <c r="J1407" t="s">
        <v>20</v>
      </c>
      <c r="K1407" s="5">
        <f>16237 / 86400</f>
        <v>0.18792824074074074</v>
      </c>
      <c r="L1407" s="5">
        <f>25119 / 86400</f>
        <v>0.29072916666666665</v>
      </c>
    </row>
    <row r="1408" spans="1:12" x14ac:dyDescent="0.25">
      <c r="A1408" s="3">
        <v>45708.47865740741</v>
      </c>
      <c r="B1408" t="s">
        <v>407</v>
      </c>
      <c r="C1408" s="3">
        <v>45708.478854166664</v>
      </c>
      <c r="D1408" t="s">
        <v>407</v>
      </c>
      <c r="E1408" s="4">
        <v>0</v>
      </c>
      <c r="F1408" s="4">
        <v>551994.50899999996</v>
      </c>
      <c r="G1408" s="4">
        <v>551994.50899999996</v>
      </c>
      <c r="H1408" s="5">
        <f>0 / 86400</f>
        <v>0</v>
      </c>
      <c r="I1408" t="s">
        <v>22</v>
      </c>
      <c r="J1408" t="s">
        <v>22</v>
      </c>
      <c r="K1408" s="5">
        <f>17 / 86400</f>
        <v>1.9675925925925926E-4</v>
      </c>
      <c r="L1408" s="5">
        <f>16228 / 86400</f>
        <v>0.18782407407407409</v>
      </c>
    </row>
    <row r="1409" spans="1:12" x14ac:dyDescent="0.25">
      <c r="A1409" s="3">
        <v>45708.666678240741</v>
      </c>
      <c r="B1409" t="s">
        <v>407</v>
      </c>
      <c r="C1409" s="3">
        <v>45708.669062500005</v>
      </c>
      <c r="D1409" t="s">
        <v>83</v>
      </c>
      <c r="E1409" s="4">
        <v>0.23100000000000001</v>
      </c>
      <c r="F1409" s="4">
        <v>551994.50899999996</v>
      </c>
      <c r="G1409" s="4">
        <v>551994.74</v>
      </c>
      <c r="H1409" s="5">
        <f>78 / 86400</f>
        <v>9.0277777777777774E-4</v>
      </c>
      <c r="I1409" t="s">
        <v>29</v>
      </c>
      <c r="J1409" t="s">
        <v>143</v>
      </c>
      <c r="K1409" s="5">
        <f>205 / 86400</f>
        <v>2.3726851851851851E-3</v>
      </c>
      <c r="L1409" s="5">
        <f>352 / 86400</f>
        <v>4.0740740740740737E-3</v>
      </c>
    </row>
    <row r="1410" spans="1:12" x14ac:dyDescent="0.25">
      <c r="A1410" s="3">
        <v>45708.673136574071</v>
      </c>
      <c r="B1410" t="s">
        <v>83</v>
      </c>
      <c r="C1410" s="3">
        <v>45708.977071759262</v>
      </c>
      <c r="D1410" t="s">
        <v>117</v>
      </c>
      <c r="E1410" s="4">
        <v>114.101</v>
      </c>
      <c r="F1410" s="4">
        <v>551994.74</v>
      </c>
      <c r="G1410" s="4">
        <v>552108.84100000001</v>
      </c>
      <c r="H1410" s="5">
        <f>9259 / 86400</f>
        <v>0.10716435185185186</v>
      </c>
      <c r="I1410" t="s">
        <v>118</v>
      </c>
      <c r="J1410" t="s">
        <v>49</v>
      </c>
      <c r="K1410" s="5">
        <f>26259 / 86400</f>
        <v>0.3039236111111111</v>
      </c>
      <c r="L1410" s="5">
        <f>1980 / 86400</f>
        <v>2.2916666666666665E-2</v>
      </c>
    </row>
    <row r="1411" spans="1:12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</row>
    <row r="1412" spans="1:1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</row>
    <row r="1413" spans="1:12" s="10" customFormat="1" ht="20.100000000000001" customHeight="1" x14ac:dyDescent="0.35">
      <c r="A1413" s="15" t="s">
        <v>526</v>
      </c>
      <c r="B1413" s="15"/>
      <c r="C1413" s="15"/>
      <c r="D1413" s="15"/>
      <c r="E1413" s="15"/>
      <c r="F1413" s="15"/>
      <c r="G1413" s="15"/>
      <c r="H1413" s="15"/>
      <c r="I1413" s="15"/>
      <c r="J1413" s="15"/>
    </row>
    <row r="1414" spans="1:12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</row>
    <row r="1415" spans="1:12" ht="30" x14ac:dyDescent="0.25">
      <c r="A1415" s="2" t="s">
        <v>6</v>
      </c>
      <c r="B1415" s="2" t="s">
        <v>7</v>
      </c>
      <c r="C1415" s="2" t="s">
        <v>8</v>
      </c>
      <c r="D1415" s="2" t="s">
        <v>9</v>
      </c>
      <c r="E1415" s="2" t="s">
        <v>10</v>
      </c>
      <c r="F1415" s="2" t="s">
        <v>11</v>
      </c>
      <c r="G1415" s="2" t="s">
        <v>12</v>
      </c>
      <c r="H1415" s="2" t="s">
        <v>13</v>
      </c>
      <c r="I1415" s="2" t="s">
        <v>14</v>
      </c>
      <c r="J1415" s="2" t="s">
        <v>15</v>
      </c>
      <c r="K1415" s="2" t="s">
        <v>16</v>
      </c>
      <c r="L1415" s="2" t="s">
        <v>17</v>
      </c>
    </row>
    <row r="1416" spans="1:12" x14ac:dyDescent="0.25">
      <c r="A1416" s="3">
        <v>45708</v>
      </c>
      <c r="B1416" t="s">
        <v>119</v>
      </c>
      <c r="C1416" s="3">
        <v>45708.055960648147</v>
      </c>
      <c r="D1416" t="s">
        <v>98</v>
      </c>
      <c r="E1416" s="4">
        <v>110.55999999999256</v>
      </c>
      <c r="F1416" s="4">
        <v>60589.130000000005</v>
      </c>
      <c r="G1416" s="4">
        <v>60699.69</v>
      </c>
      <c r="H1416" s="5">
        <f>1019 / 86400</f>
        <v>1.1793981481481482E-2</v>
      </c>
      <c r="I1416" t="s">
        <v>159</v>
      </c>
      <c r="J1416" t="s">
        <v>37</v>
      </c>
      <c r="K1416" s="5">
        <f>4835 / 86400</f>
        <v>5.5960648148148148E-2</v>
      </c>
      <c r="L1416" s="5">
        <f>7 / 86400</f>
        <v>8.1018518518518516E-5</v>
      </c>
    </row>
    <row r="1417" spans="1:12" x14ac:dyDescent="0.25">
      <c r="A1417" s="3">
        <v>45708.05604166667</v>
      </c>
      <c r="B1417" t="s">
        <v>98</v>
      </c>
      <c r="C1417" s="3">
        <v>45708.067627314813</v>
      </c>
      <c r="D1417" t="s">
        <v>356</v>
      </c>
      <c r="E1417" s="4">
        <v>35.700000000000003</v>
      </c>
      <c r="F1417" s="4">
        <v>60699.69</v>
      </c>
      <c r="G1417" s="4">
        <v>60735.39</v>
      </c>
      <c r="H1417" s="5">
        <f>100 / 86400</f>
        <v>1.1574074074074073E-3</v>
      </c>
      <c r="I1417" t="s">
        <v>147</v>
      </c>
      <c r="J1417" t="s">
        <v>464</v>
      </c>
      <c r="K1417" s="5">
        <f>1000 / 86400</f>
        <v>1.1574074074074073E-2</v>
      </c>
      <c r="L1417" s="5">
        <f>1817 / 86400</f>
        <v>2.1030092592592593E-2</v>
      </c>
    </row>
    <row r="1418" spans="1:12" x14ac:dyDescent="0.25">
      <c r="A1418" s="3">
        <v>45708.08865740741</v>
      </c>
      <c r="B1418" t="s">
        <v>356</v>
      </c>
      <c r="C1418" s="3">
        <v>45708.095567129625</v>
      </c>
      <c r="D1418" t="s">
        <v>174</v>
      </c>
      <c r="E1418" s="4">
        <v>9.69</v>
      </c>
      <c r="F1418" s="4">
        <v>60735.39</v>
      </c>
      <c r="G1418" s="4">
        <v>60745.08</v>
      </c>
      <c r="H1418" s="5">
        <f>299 / 86400</f>
        <v>3.460648148148148E-3</v>
      </c>
      <c r="I1418" t="s">
        <v>161</v>
      </c>
      <c r="J1418" t="s">
        <v>290</v>
      </c>
      <c r="K1418" s="5">
        <f>597 / 86400</f>
        <v>6.9097222222222225E-3</v>
      </c>
      <c r="L1418" s="5">
        <f>565 / 86400</f>
        <v>6.5393518518518517E-3</v>
      </c>
    </row>
    <row r="1419" spans="1:12" x14ac:dyDescent="0.25">
      <c r="A1419" s="3">
        <v>45708.102106481485</v>
      </c>
      <c r="B1419" t="s">
        <v>174</v>
      </c>
      <c r="C1419" s="3">
        <v>45708.113240740742</v>
      </c>
      <c r="D1419" t="s">
        <v>465</v>
      </c>
      <c r="E1419" s="4">
        <v>9.1750000000074508</v>
      </c>
      <c r="F1419" s="4">
        <v>60745.08</v>
      </c>
      <c r="G1419" s="4">
        <v>60754.255000000005</v>
      </c>
      <c r="H1419" s="5">
        <f>380 / 86400</f>
        <v>4.3981481481481484E-3</v>
      </c>
      <c r="I1419" t="s">
        <v>38</v>
      </c>
      <c r="J1419" t="s">
        <v>160</v>
      </c>
      <c r="K1419" s="5">
        <f>962 / 86400</f>
        <v>1.1134259259259259E-2</v>
      </c>
      <c r="L1419" s="5">
        <f>18532 / 86400</f>
        <v>0.21449074074074073</v>
      </c>
    </row>
    <row r="1420" spans="1:12" x14ac:dyDescent="0.25">
      <c r="A1420" s="3">
        <v>45708.327731481477</v>
      </c>
      <c r="B1420" t="s">
        <v>465</v>
      </c>
      <c r="C1420" s="3">
        <v>45708.334270833337</v>
      </c>
      <c r="D1420" t="s">
        <v>466</v>
      </c>
      <c r="E1420" s="4">
        <v>1.2649999999999999</v>
      </c>
      <c r="F1420" s="4">
        <v>60754.255000000005</v>
      </c>
      <c r="G1420" s="4">
        <v>60755.520000000004</v>
      </c>
      <c r="H1420" s="5">
        <f>439 / 86400</f>
        <v>5.0810185185185186E-3</v>
      </c>
      <c r="I1420" t="s">
        <v>20</v>
      </c>
      <c r="J1420" t="s">
        <v>168</v>
      </c>
      <c r="K1420" s="5">
        <f>564 / 86400</f>
        <v>6.5277777777777782E-3</v>
      </c>
      <c r="L1420" s="5">
        <f>2495 / 86400</f>
        <v>2.8877314814814814E-2</v>
      </c>
    </row>
    <row r="1421" spans="1:12" x14ac:dyDescent="0.25">
      <c r="A1421" s="3">
        <v>45708.36314814815</v>
      </c>
      <c r="B1421" t="s">
        <v>466</v>
      </c>
      <c r="C1421" s="3">
        <v>45708.366678240738</v>
      </c>
      <c r="D1421" t="s">
        <v>27</v>
      </c>
      <c r="E1421" s="4">
        <v>2.3799999999925494</v>
      </c>
      <c r="F1421" s="4">
        <v>60755.520000000004</v>
      </c>
      <c r="G1421" s="4">
        <v>60757.9</v>
      </c>
      <c r="H1421" s="5">
        <f>140 / 86400</f>
        <v>1.6203703703703703E-3</v>
      </c>
      <c r="I1421" t="s">
        <v>68</v>
      </c>
      <c r="J1421" t="s">
        <v>162</v>
      </c>
      <c r="K1421" s="5">
        <f>305 / 86400</f>
        <v>3.5300925925925925E-3</v>
      </c>
      <c r="L1421" s="5">
        <f>1137 / 86400</f>
        <v>1.3159722222222222E-2</v>
      </c>
    </row>
    <row r="1422" spans="1:12" x14ac:dyDescent="0.25">
      <c r="A1422" s="3">
        <v>45708.379837962959</v>
      </c>
      <c r="B1422" t="s">
        <v>27</v>
      </c>
      <c r="C1422" s="3">
        <v>45708.389293981483</v>
      </c>
      <c r="D1422" t="s">
        <v>23</v>
      </c>
      <c r="E1422" s="4">
        <v>15.01</v>
      </c>
      <c r="F1422" s="4">
        <v>60757.9</v>
      </c>
      <c r="G1422" s="4">
        <v>60772.91</v>
      </c>
      <c r="H1422" s="5">
        <f>139 / 86400</f>
        <v>1.6087962962962963E-3</v>
      </c>
      <c r="I1422" t="s">
        <v>54</v>
      </c>
      <c r="J1422" t="s">
        <v>172</v>
      </c>
      <c r="K1422" s="5">
        <f>817 / 86400</f>
        <v>9.4560185185185181E-3</v>
      </c>
      <c r="L1422" s="5">
        <f>2093 / 86400</f>
        <v>2.4224537037037037E-2</v>
      </c>
    </row>
    <row r="1423" spans="1:12" x14ac:dyDescent="0.25">
      <c r="A1423" s="3">
        <v>45708.413518518515</v>
      </c>
      <c r="B1423" t="s">
        <v>23</v>
      </c>
      <c r="C1423" s="3">
        <v>45708.456458333334</v>
      </c>
      <c r="D1423" t="s">
        <v>41</v>
      </c>
      <c r="E1423" s="4">
        <v>131.99</v>
      </c>
      <c r="F1423" s="4">
        <v>60772.91</v>
      </c>
      <c r="G1423" s="4">
        <v>60904.9</v>
      </c>
      <c r="H1423" s="5">
        <f>220 / 86400</f>
        <v>2.5462962962962965E-3</v>
      </c>
      <c r="I1423" t="s">
        <v>179</v>
      </c>
      <c r="J1423" t="s">
        <v>467</v>
      </c>
      <c r="K1423" s="5">
        <f>3710 / 86400</f>
        <v>4.2939814814814813E-2</v>
      </c>
      <c r="L1423" s="5">
        <f>15106 / 86400</f>
        <v>0.17483796296296297</v>
      </c>
    </row>
    <row r="1424" spans="1:12" x14ac:dyDescent="0.25">
      <c r="A1424" s="3">
        <v>45708.631296296298</v>
      </c>
      <c r="B1424" t="s">
        <v>41</v>
      </c>
      <c r="C1424" s="3">
        <v>45708.640219907407</v>
      </c>
      <c r="D1424" t="s">
        <v>121</v>
      </c>
      <c r="E1424" s="4">
        <v>16.875</v>
      </c>
      <c r="F1424" s="4">
        <v>60904.9</v>
      </c>
      <c r="G1424" s="4">
        <v>60921.775000000001</v>
      </c>
      <c r="H1424" s="5">
        <f>159 / 86400</f>
        <v>1.8402777777777777E-3</v>
      </c>
      <c r="I1424" t="s">
        <v>290</v>
      </c>
      <c r="J1424" t="s">
        <v>101</v>
      </c>
      <c r="K1424" s="5">
        <f>771 / 86400</f>
        <v>8.9236111111111113E-3</v>
      </c>
      <c r="L1424" s="5">
        <f>97 / 86400</f>
        <v>1.1226851851851851E-3</v>
      </c>
    </row>
    <row r="1425" spans="1:12" x14ac:dyDescent="0.25">
      <c r="A1425" s="3">
        <v>45708.641342592593</v>
      </c>
      <c r="B1425" t="s">
        <v>121</v>
      </c>
      <c r="C1425" s="3">
        <v>45708.641608796301</v>
      </c>
      <c r="D1425" t="s">
        <v>121</v>
      </c>
      <c r="E1425" s="4">
        <v>7.4999999999999997E-2</v>
      </c>
      <c r="F1425" s="4">
        <v>60921.775000000001</v>
      </c>
      <c r="G1425" s="4">
        <v>60921.85</v>
      </c>
      <c r="H1425" s="5">
        <f>0 / 86400</f>
        <v>0</v>
      </c>
      <c r="I1425" t="s">
        <v>55</v>
      </c>
      <c r="J1425" t="s">
        <v>65</v>
      </c>
      <c r="K1425" s="5">
        <f>22 / 86400</f>
        <v>2.5462962962962961E-4</v>
      </c>
      <c r="L1425" s="5">
        <f>2050 / 86400</f>
        <v>2.3726851851851853E-2</v>
      </c>
    </row>
    <row r="1426" spans="1:12" x14ac:dyDescent="0.25">
      <c r="A1426" s="3">
        <v>45708.665335648147</v>
      </c>
      <c r="B1426" t="s">
        <v>121</v>
      </c>
      <c r="C1426" s="3">
        <v>45708.669085648144</v>
      </c>
      <c r="D1426" t="s">
        <v>83</v>
      </c>
      <c r="E1426" s="4">
        <v>4.91</v>
      </c>
      <c r="F1426" s="4">
        <v>60921.85</v>
      </c>
      <c r="G1426" s="4">
        <v>60926.76</v>
      </c>
      <c r="H1426" s="5">
        <f>59 / 86400</f>
        <v>6.8287037037037036E-4</v>
      </c>
      <c r="I1426" t="s">
        <v>140</v>
      </c>
      <c r="J1426" t="s">
        <v>244</v>
      </c>
      <c r="K1426" s="5">
        <f>324 / 86400</f>
        <v>3.7499999999999999E-3</v>
      </c>
      <c r="L1426" s="5">
        <f>1385 / 86400</f>
        <v>1.6030092592592592E-2</v>
      </c>
    </row>
    <row r="1427" spans="1:12" x14ac:dyDescent="0.25">
      <c r="A1427" s="3">
        <v>45708.685115740736</v>
      </c>
      <c r="B1427" t="s">
        <v>83</v>
      </c>
      <c r="C1427" s="3">
        <v>45708.685543981483</v>
      </c>
      <c r="D1427" t="s">
        <v>83</v>
      </c>
      <c r="E1427" s="4">
        <v>7.0000000000000007E-2</v>
      </c>
      <c r="F1427" s="4">
        <v>60926.76</v>
      </c>
      <c r="G1427" s="4">
        <v>60926.83</v>
      </c>
      <c r="H1427" s="5">
        <f>20 / 86400</f>
        <v>2.3148148148148149E-4</v>
      </c>
      <c r="I1427" t="s">
        <v>55</v>
      </c>
      <c r="J1427" t="s">
        <v>26</v>
      </c>
      <c r="K1427" s="5">
        <f>37 / 86400</f>
        <v>4.2824074074074075E-4</v>
      </c>
      <c r="L1427" s="5">
        <f>423 / 86400</f>
        <v>4.8958333333333336E-3</v>
      </c>
    </row>
    <row r="1428" spans="1:12" x14ac:dyDescent="0.25">
      <c r="A1428" s="3">
        <v>45708.690439814818</v>
      </c>
      <c r="B1428" t="s">
        <v>83</v>
      </c>
      <c r="C1428" s="3">
        <v>45708.693912037037</v>
      </c>
      <c r="D1428" t="s">
        <v>121</v>
      </c>
      <c r="E1428" s="4">
        <v>5</v>
      </c>
      <c r="F1428" s="4">
        <v>60926.83</v>
      </c>
      <c r="G1428" s="4">
        <v>60931.83</v>
      </c>
      <c r="H1428" s="5">
        <f>100 / 86400</f>
        <v>1.1574074074074073E-3</v>
      </c>
      <c r="I1428" t="s">
        <v>250</v>
      </c>
      <c r="J1428" t="s">
        <v>179</v>
      </c>
      <c r="K1428" s="5">
        <f>299 / 86400</f>
        <v>3.460648148148148E-3</v>
      </c>
      <c r="L1428" s="5">
        <f>2305 / 86400</f>
        <v>2.6678240740740742E-2</v>
      </c>
    </row>
    <row r="1429" spans="1:12" x14ac:dyDescent="0.25">
      <c r="A1429" s="3">
        <v>45708.720590277779</v>
      </c>
      <c r="B1429" t="s">
        <v>121</v>
      </c>
      <c r="C1429" s="3">
        <v>45708.904780092591</v>
      </c>
      <c r="D1429" t="s">
        <v>27</v>
      </c>
      <c r="E1429" s="4">
        <v>353.96</v>
      </c>
      <c r="F1429" s="4">
        <v>60931.83</v>
      </c>
      <c r="G1429" s="4">
        <v>61285.79</v>
      </c>
      <c r="H1429" s="5">
        <f>5859 / 86400</f>
        <v>6.7812499999999998E-2</v>
      </c>
      <c r="I1429" t="s">
        <v>120</v>
      </c>
      <c r="J1429" t="s">
        <v>113</v>
      </c>
      <c r="K1429" s="5">
        <f>15914 / 86400</f>
        <v>0.18418981481481481</v>
      </c>
      <c r="L1429" s="5">
        <f>30 / 86400</f>
        <v>3.4722222222222224E-4</v>
      </c>
    </row>
    <row r="1430" spans="1:12" x14ac:dyDescent="0.25">
      <c r="A1430" s="3">
        <v>45708.905127314814</v>
      </c>
      <c r="B1430" t="s">
        <v>27</v>
      </c>
      <c r="C1430" s="3">
        <v>45708.905185185184</v>
      </c>
      <c r="D1430" t="s">
        <v>27</v>
      </c>
      <c r="E1430" s="4">
        <v>0</v>
      </c>
      <c r="F1430" s="4">
        <v>61285.79</v>
      </c>
      <c r="G1430" s="4">
        <v>61285.79</v>
      </c>
      <c r="H1430" s="5">
        <f>0 / 86400</f>
        <v>0</v>
      </c>
      <c r="I1430" t="s">
        <v>22</v>
      </c>
      <c r="J1430" t="s">
        <v>22</v>
      </c>
      <c r="K1430" s="5">
        <f>4 / 86400</f>
        <v>4.6296296296296294E-5</v>
      </c>
      <c r="L1430" s="5">
        <f>8191 / 86400</f>
        <v>9.4803240740740743E-2</v>
      </c>
    </row>
    <row r="1431" spans="1:12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</row>
    <row r="1432" spans="1:12" x14ac:dyDescent="0.2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</row>
    <row r="1433" spans="1:12" s="10" customFormat="1" ht="20.100000000000001" customHeight="1" x14ac:dyDescent="0.35">
      <c r="A1433" s="15" t="s">
        <v>527</v>
      </c>
      <c r="B1433" s="15"/>
      <c r="C1433" s="15"/>
      <c r="D1433" s="15"/>
      <c r="E1433" s="15"/>
      <c r="F1433" s="15"/>
      <c r="G1433" s="15"/>
      <c r="H1433" s="15"/>
      <c r="I1433" s="15"/>
      <c r="J1433" s="15"/>
    </row>
    <row r="1434" spans="1:12" x14ac:dyDescent="0.25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</row>
    <row r="1435" spans="1:12" ht="30" x14ac:dyDescent="0.25">
      <c r="A1435" s="2" t="s">
        <v>6</v>
      </c>
      <c r="B1435" s="2" t="s">
        <v>7</v>
      </c>
      <c r="C1435" s="2" t="s">
        <v>8</v>
      </c>
      <c r="D1435" s="2" t="s">
        <v>9</v>
      </c>
      <c r="E1435" s="2" t="s">
        <v>10</v>
      </c>
      <c r="F1435" s="2" t="s">
        <v>11</v>
      </c>
      <c r="G1435" s="2" t="s">
        <v>12</v>
      </c>
      <c r="H1435" s="2" t="s">
        <v>13</v>
      </c>
      <c r="I1435" s="2" t="s">
        <v>14</v>
      </c>
      <c r="J1435" s="2" t="s">
        <v>15</v>
      </c>
      <c r="K1435" s="2" t="s">
        <v>16</v>
      </c>
      <c r="L1435" s="2" t="s">
        <v>17</v>
      </c>
    </row>
    <row r="1436" spans="1:12" x14ac:dyDescent="0.25">
      <c r="A1436" s="3">
        <v>45708</v>
      </c>
      <c r="B1436" t="s">
        <v>78</v>
      </c>
      <c r="C1436" s="3">
        <v>45708.044837962967</v>
      </c>
      <c r="D1436" t="s">
        <v>152</v>
      </c>
      <c r="E1436" s="4">
        <v>27.527999999999999</v>
      </c>
      <c r="F1436" s="4">
        <v>61172.803</v>
      </c>
      <c r="G1436" s="4">
        <v>61200.330999999998</v>
      </c>
      <c r="H1436" s="5">
        <f>821 / 86400</f>
        <v>9.5023148148148141E-3</v>
      </c>
      <c r="I1436" t="s">
        <v>287</v>
      </c>
      <c r="J1436" t="s">
        <v>189</v>
      </c>
      <c r="K1436" s="5">
        <f>3874 / 86400</f>
        <v>4.4837962962962961E-2</v>
      </c>
      <c r="L1436" s="5">
        <f>165 / 86400</f>
        <v>1.9097222222222222E-3</v>
      </c>
    </row>
    <row r="1437" spans="1:12" x14ac:dyDescent="0.25">
      <c r="A1437" s="3">
        <v>45708.046747685185</v>
      </c>
      <c r="B1437" t="s">
        <v>152</v>
      </c>
      <c r="C1437" s="3">
        <v>45708.049375000002</v>
      </c>
      <c r="D1437" t="s">
        <v>408</v>
      </c>
      <c r="E1437" s="4">
        <v>0.436</v>
      </c>
      <c r="F1437" s="4">
        <v>61200.330999999998</v>
      </c>
      <c r="G1437" s="4">
        <v>61200.767</v>
      </c>
      <c r="H1437" s="5">
        <f>120 / 86400</f>
        <v>1.3888888888888889E-3</v>
      </c>
      <c r="I1437" t="s">
        <v>148</v>
      </c>
      <c r="J1437" t="s">
        <v>26</v>
      </c>
      <c r="K1437" s="5">
        <f>227 / 86400</f>
        <v>2.627314814814815E-3</v>
      </c>
      <c r="L1437" s="5">
        <f>489 / 86400</f>
        <v>5.6597222222222222E-3</v>
      </c>
    </row>
    <row r="1438" spans="1:12" x14ac:dyDescent="0.25">
      <c r="A1438" s="3">
        <v>45708.055034722223</v>
      </c>
      <c r="B1438" t="s">
        <v>408</v>
      </c>
      <c r="C1438" s="3">
        <v>45708.060798611114</v>
      </c>
      <c r="D1438" t="s">
        <v>406</v>
      </c>
      <c r="E1438" s="4">
        <v>0.752</v>
      </c>
      <c r="F1438" s="4">
        <v>61200.767</v>
      </c>
      <c r="G1438" s="4">
        <v>61201.519</v>
      </c>
      <c r="H1438" s="5">
        <f>240 / 86400</f>
        <v>2.7777777777777779E-3</v>
      </c>
      <c r="I1438" t="s">
        <v>38</v>
      </c>
      <c r="J1438" t="s">
        <v>55</v>
      </c>
      <c r="K1438" s="5">
        <f>498 / 86400</f>
        <v>5.7638888888888887E-3</v>
      </c>
      <c r="L1438" s="5">
        <f>12288 / 86400</f>
        <v>0.14222222222222222</v>
      </c>
    </row>
    <row r="1439" spans="1:12" x14ac:dyDescent="0.25">
      <c r="A1439" s="3">
        <v>45708.203020833331</v>
      </c>
      <c r="B1439" t="s">
        <v>406</v>
      </c>
      <c r="C1439" s="3">
        <v>45708.206006944441</v>
      </c>
      <c r="D1439" t="s">
        <v>114</v>
      </c>
      <c r="E1439" s="4">
        <v>0.47599999999999998</v>
      </c>
      <c r="F1439" s="4">
        <v>61201.519</v>
      </c>
      <c r="G1439" s="4">
        <v>61201.995000000003</v>
      </c>
      <c r="H1439" s="5">
        <f>39 / 86400</f>
        <v>4.5138888888888887E-4</v>
      </c>
      <c r="I1439" t="s">
        <v>54</v>
      </c>
      <c r="J1439" t="s">
        <v>26</v>
      </c>
      <c r="K1439" s="5">
        <f>258 / 86400</f>
        <v>2.9861111111111113E-3</v>
      </c>
      <c r="L1439" s="5">
        <f>143 / 86400</f>
        <v>1.6550925925925926E-3</v>
      </c>
    </row>
    <row r="1440" spans="1:12" x14ac:dyDescent="0.25">
      <c r="A1440" s="3">
        <v>45708.207662037035</v>
      </c>
      <c r="B1440" t="s">
        <v>114</v>
      </c>
      <c r="C1440" s="3">
        <v>45708.20993055556</v>
      </c>
      <c r="D1440" t="s">
        <v>395</v>
      </c>
      <c r="E1440" s="4">
        <v>0.42599999999999999</v>
      </c>
      <c r="F1440" s="4">
        <v>61201.995000000003</v>
      </c>
      <c r="G1440" s="4">
        <v>61202.421000000002</v>
      </c>
      <c r="H1440" s="5">
        <f>40 / 86400</f>
        <v>4.6296296296296298E-4</v>
      </c>
      <c r="I1440" t="s">
        <v>189</v>
      </c>
      <c r="J1440" t="s">
        <v>168</v>
      </c>
      <c r="K1440" s="5">
        <f>195 / 86400</f>
        <v>2.2569444444444442E-3</v>
      </c>
      <c r="L1440" s="5">
        <f>207 / 86400</f>
        <v>2.3958333333333331E-3</v>
      </c>
    </row>
    <row r="1441" spans="1:12" x14ac:dyDescent="0.25">
      <c r="A1441" s="3">
        <v>45708.212326388893</v>
      </c>
      <c r="B1441" t="s">
        <v>395</v>
      </c>
      <c r="C1441" s="3">
        <v>45708.377141203702</v>
      </c>
      <c r="D1441" t="s">
        <v>152</v>
      </c>
      <c r="E1441" s="4">
        <v>86.022999999999996</v>
      </c>
      <c r="F1441" s="4">
        <v>61202.421000000002</v>
      </c>
      <c r="G1441" s="4">
        <v>61288.444000000003</v>
      </c>
      <c r="H1441" s="5">
        <f>3520 / 86400</f>
        <v>4.0740740740740744E-2</v>
      </c>
      <c r="I1441" t="s">
        <v>74</v>
      </c>
      <c r="J1441" t="s">
        <v>148</v>
      </c>
      <c r="K1441" s="5">
        <f>14239 / 86400</f>
        <v>0.16480324074074074</v>
      </c>
      <c r="L1441" s="5">
        <f>446 / 86400</f>
        <v>5.162037037037037E-3</v>
      </c>
    </row>
    <row r="1442" spans="1:12" x14ac:dyDescent="0.25">
      <c r="A1442" s="3">
        <v>45708.382303240738</v>
      </c>
      <c r="B1442" t="s">
        <v>152</v>
      </c>
      <c r="C1442" s="3">
        <v>45708.384317129632</v>
      </c>
      <c r="D1442" t="s">
        <v>403</v>
      </c>
      <c r="E1442" s="4">
        <v>0.63400000000000001</v>
      </c>
      <c r="F1442" s="4">
        <v>61288.444000000003</v>
      </c>
      <c r="G1442" s="4">
        <v>61289.078000000001</v>
      </c>
      <c r="H1442" s="5">
        <f>20 / 86400</f>
        <v>2.3148148148148149E-4</v>
      </c>
      <c r="I1442" t="s">
        <v>134</v>
      </c>
      <c r="J1442" t="s">
        <v>29</v>
      </c>
      <c r="K1442" s="5">
        <f>173 / 86400</f>
        <v>2.0023148148148148E-3</v>
      </c>
      <c r="L1442" s="5">
        <f>92 / 86400</f>
        <v>1.0648148148148149E-3</v>
      </c>
    </row>
    <row r="1443" spans="1:12" x14ac:dyDescent="0.25">
      <c r="A1443" s="3">
        <v>45708.385381944448</v>
      </c>
      <c r="B1443" t="s">
        <v>403</v>
      </c>
      <c r="C1443" s="3">
        <v>45708.386319444442</v>
      </c>
      <c r="D1443" t="s">
        <v>121</v>
      </c>
      <c r="E1443" s="4">
        <v>0.14000000000000001</v>
      </c>
      <c r="F1443" s="4">
        <v>61289.078000000001</v>
      </c>
      <c r="G1443" s="4">
        <v>61289.218000000001</v>
      </c>
      <c r="H1443" s="5">
        <f>19 / 86400</f>
        <v>2.199074074074074E-4</v>
      </c>
      <c r="I1443" t="s">
        <v>49</v>
      </c>
      <c r="J1443" t="s">
        <v>32</v>
      </c>
      <c r="K1443" s="5">
        <f>81 / 86400</f>
        <v>9.3749999999999997E-4</v>
      </c>
      <c r="L1443" s="5">
        <f>2036 / 86400</f>
        <v>2.3564814814814816E-2</v>
      </c>
    </row>
    <row r="1444" spans="1:12" x14ac:dyDescent="0.25">
      <c r="A1444" s="3">
        <v>45708.409884259258</v>
      </c>
      <c r="B1444" t="s">
        <v>121</v>
      </c>
      <c r="C1444" s="3">
        <v>45708.504872685182</v>
      </c>
      <c r="D1444" t="s">
        <v>70</v>
      </c>
      <c r="E1444" s="4">
        <v>40.590000000000003</v>
      </c>
      <c r="F1444" s="4">
        <v>61289.218000000001</v>
      </c>
      <c r="G1444" s="4">
        <v>61329.807999999997</v>
      </c>
      <c r="H1444" s="5">
        <f>3120 / 86400</f>
        <v>3.6111111111111108E-2</v>
      </c>
      <c r="I1444" t="s">
        <v>57</v>
      </c>
      <c r="J1444" t="s">
        <v>34</v>
      </c>
      <c r="K1444" s="5">
        <f>8207 / 86400</f>
        <v>9.4988425925925921E-2</v>
      </c>
      <c r="L1444" s="5">
        <f>100 / 86400</f>
        <v>1.1574074074074073E-3</v>
      </c>
    </row>
    <row r="1445" spans="1:12" x14ac:dyDescent="0.25">
      <c r="A1445" s="3">
        <v>45708.506030092598</v>
      </c>
      <c r="B1445" t="s">
        <v>70</v>
      </c>
      <c r="C1445" s="3">
        <v>45708.610578703709</v>
      </c>
      <c r="D1445" t="s">
        <v>114</v>
      </c>
      <c r="E1445" s="4">
        <v>41.936</v>
      </c>
      <c r="F1445" s="4">
        <v>61329.807999999997</v>
      </c>
      <c r="G1445" s="4">
        <v>61371.743999999999</v>
      </c>
      <c r="H1445" s="5">
        <f>3120 / 86400</f>
        <v>3.6111111111111108E-2</v>
      </c>
      <c r="I1445" t="s">
        <v>43</v>
      </c>
      <c r="J1445" t="s">
        <v>20</v>
      </c>
      <c r="K1445" s="5">
        <f>9033 / 86400</f>
        <v>0.10454861111111111</v>
      </c>
      <c r="L1445" s="5">
        <f>501 / 86400</f>
        <v>5.7986111111111112E-3</v>
      </c>
    </row>
    <row r="1446" spans="1:12" x14ac:dyDescent="0.25">
      <c r="A1446" s="3">
        <v>45708.616377314815</v>
      </c>
      <c r="B1446" t="s">
        <v>114</v>
      </c>
      <c r="C1446" s="3">
        <v>45708.617604166662</v>
      </c>
      <c r="D1446" t="s">
        <v>83</v>
      </c>
      <c r="E1446" s="4">
        <v>0.247</v>
      </c>
      <c r="F1446" s="4">
        <v>61371.743999999999</v>
      </c>
      <c r="G1446" s="4">
        <v>61371.991000000002</v>
      </c>
      <c r="H1446" s="5">
        <f>0 / 86400</f>
        <v>0</v>
      </c>
      <c r="I1446" t="s">
        <v>49</v>
      </c>
      <c r="J1446" t="s">
        <v>168</v>
      </c>
      <c r="K1446" s="5">
        <f>106 / 86400</f>
        <v>1.2268518518518518E-3</v>
      </c>
      <c r="L1446" s="5">
        <f>554 / 86400</f>
        <v>6.4120370370370373E-3</v>
      </c>
    </row>
    <row r="1447" spans="1:12" x14ac:dyDescent="0.25">
      <c r="A1447" s="3">
        <v>45708.624016203699</v>
      </c>
      <c r="B1447" t="s">
        <v>83</v>
      </c>
      <c r="C1447" s="3">
        <v>45708.627743055556</v>
      </c>
      <c r="D1447" t="s">
        <v>41</v>
      </c>
      <c r="E1447" s="4">
        <v>0.99099999999999999</v>
      </c>
      <c r="F1447" s="4">
        <v>61371.991000000002</v>
      </c>
      <c r="G1447" s="4">
        <v>61372.982000000004</v>
      </c>
      <c r="H1447" s="5">
        <f>40 / 86400</f>
        <v>4.6296296296296298E-4</v>
      </c>
      <c r="I1447" t="s">
        <v>189</v>
      </c>
      <c r="J1447" t="s">
        <v>86</v>
      </c>
      <c r="K1447" s="5">
        <f>322 / 86400</f>
        <v>3.7268518518518519E-3</v>
      </c>
      <c r="L1447" s="5">
        <f>1027 / 86400</f>
        <v>1.1886574074074074E-2</v>
      </c>
    </row>
    <row r="1448" spans="1:12" x14ac:dyDescent="0.25">
      <c r="A1448" s="3">
        <v>45708.63962962963</v>
      </c>
      <c r="B1448" t="s">
        <v>41</v>
      </c>
      <c r="C1448" s="3">
        <v>45708.639930555553</v>
      </c>
      <c r="D1448" t="s">
        <v>41</v>
      </c>
      <c r="E1448" s="4">
        <v>3.0000000000000001E-3</v>
      </c>
      <c r="F1448" s="4">
        <v>61372.982000000004</v>
      </c>
      <c r="G1448" s="4">
        <v>61372.985000000001</v>
      </c>
      <c r="H1448" s="5">
        <f>0 / 86400</f>
        <v>0</v>
      </c>
      <c r="I1448" t="s">
        <v>145</v>
      </c>
      <c r="J1448" t="s">
        <v>22</v>
      </c>
      <c r="K1448" s="5">
        <f>26 / 86400</f>
        <v>3.0092592592592595E-4</v>
      </c>
      <c r="L1448" s="5">
        <f>436 / 86400</f>
        <v>5.0462962962962961E-3</v>
      </c>
    </row>
    <row r="1449" spans="1:12" x14ac:dyDescent="0.25">
      <c r="A1449" s="3">
        <v>45708.644976851851</v>
      </c>
      <c r="B1449" t="s">
        <v>41</v>
      </c>
      <c r="C1449" s="3">
        <v>45708.648055555561</v>
      </c>
      <c r="D1449" t="s">
        <v>41</v>
      </c>
      <c r="E1449" s="4">
        <v>0.128</v>
      </c>
      <c r="F1449" s="4">
        <v>61372.985000000001</v>
      </c>
      <c r="G1449" s="4">
        <v>61373.112999999998</v>
      </c>
      <c r="H1449" s="5">
        <f>139 / 86400</f>
        <v>1.6087962962962963E-3</v>
      </c>
      <c r="I1449" t="s">
        <v>26</v>
      </c>
      <c r="J1449" t="s">
        <v>136</v>
      </c>
      <c r="K1449" s="5">
        <f>265 / 86400</f>
        <v>3.0671296296296297E-3</v>
      </c>
      <c r="L1449" s="5">
        <f>3156 / 86400</f>
        <v>3.6527777777777777E-2</v>
      </c>
    </row>
    <row r="1450" spans="1:12" x14ac:dyDescent="0.25">
      <c r="A1450" s="3">
        <v>45708.684583333335</v>
      </c>
      <c r="B1450" t="s">
        <v>41</v>
      </c>
      <c r="C1450" s="3">
        <v>45708.78506944445</v>
      </c>
      <c r="D1450" t="s">
        <v>468</v>
      </c>
      <c r="E1450" s="4">
        <v>41.853999999999999</v>
      </c>
      <c r="F1450" s="4">
        <v>61373.112999999998</v>
      </c>
      <c r="G1450" s="4">
        <v>61414.966999999997</v>
      </c>
      <c r="H1450" s="5">
        <f>2799 / 86400</f>
        <v>3.2395833333333332E-2</v>
      </c>
      <c r="I1450" t="s">
        <v>46</v>
      </c>
      <c r="J1450" t="s">
        <v>20</v>
      </c>
      <c r="K1450" s="5">
        <f>8681 / 86400</f>
        <v>0.10047453703703704</v>
      </c>
      <c r="L1450" s="5">
        <f>32 / 86400</f>
        <v>3.7037037037037035E-4</v>
      </c>
    </row>
    <row r="1451" spans="1:12" x14ac:dyDescent="0.25">
      <c r="A1451" s="3">
        <v>45708.785439814819</v>
      </c>
      <c r="B1451" t="s">
        <v>468</v>
      </c>
      <c r="C1451" s="3">
        <v>45708.874699074076</v>
      </c>
      <c r="D1451" t="s">
        <v>280</v>
      </c>
      <c r="E1451" s="4">
        <v>38.720999999999997</v>
      </c>
      <c r="F1451" s="4">
        <v>61414.966999999997</v>
      </c>
      <c r="G1451" s="4">
        <v>61453.688000000002</v>
      </c>
      <c r="H1451" s="5">
        <f>2381 / 86400</f>
        <v>2.7557870370370371E-2</v>
      </c>
      <c r="I1451" t="s">
        <v>43</v>
      </c>
      <c r="J1451" t="s">
        <v>34</v>
      </c>
      <c r="K1451" s="5">
        <f>7711 / 86400</f>
        <v>8.924768518518518E-2</v>
      </c>
      <c r="L1451" s="5">
        <f>194 / 86400</f>
        <v>2.2453703703703702E-3</v>
      </c>
    </row>
    <row r="1452" spans="1:12" x14ac:dyDescent="0.25">
      <c r="A1452" s="3">
        <v>45708.876944444448</v>
      </c>
      <c r="B1452" t="s">
        <v>280</v>
      </c>
      <c r="C1452" s="3">
        <v>45708.877037037033</v>
      </c>
      <c r="D1452" t="s">
        <v>280</v>
      </c>
      <c r="E1452" s="4">
        <v>3.0000000000000001E-3</v>
      </c>
      <c r="F1452" s="4">
        <v>61453.688000000002</v>
      </c>
      <c r="G1452" s="4">
        <v>61453.690999999999</v>
      </c>
      <c r="H1452" s="5">
        <f>0 / 86400</f>
        <v>0</v>
      </c>
      <c r="I1452" t="s">
        <v>22</v>
      </c>
      <c r="J1452" t="s">
        <v>136</v>
      </c>
      <c r="K1452" s="5">
        <f>7 / 86400</f>
        <v>8.1018518518518516E-5</v>
      </c>
      <c r="L1452" s="5">
        <f>283 / 86400</f>
        <v>3.2754629629629631E-3</v>
      </c>
    </row>
    <row r="1453" spans="1:12" x14ac:dyDescent="0.25">
      <c r="A1453" s="3">
        <v>45708.880312499998</v>
      </c>
      <c r="B1453" t="s">
        <v>280</v>
      </c>
      <c r="C1453" s="3">
        <v>45708.880462962959</v>
      </c>
      <c r="D1453" t="s">
        <v>280</v>
      </c>
      <c r="E1453" s="4">
        <v>8.9999999999999993E-3</v>
      </c>
      <c r="F1453" s="4">
        <v>61453.690999999999</v>
      </c>
      <c r="G1453" s="4">
        <v>61453.7</v>
      </c>
      <c r="H1453" s="5">
        <f>0 / 86400</f>
        <v>0</v>
      </c>
      <c r="I1453" t="s">
        <v>22</v>
      </c>
      <c r="J1453" t="s">
        <v>135</v>
      </c>
      <c r="K1453" s="5">
        <f>12 / 86400</f>
        <v>1.3888888888888889E-4</v>
      </c>
      <c r="L1453" s="5">
        <f>505 / 86400</f>
        <v>5.8449074074074072E-3</v>
      </c>
    </row>
    <row r="1454" spans="1:12" x14ac:dyDescent="0.25">
      <c r="A1454" s="3">
        <v>45708.886307870373</v>
      </c>
      <c r="B1454" t="s">
        <v>280</v>
      </c>
      <c r="C1454" s="3">
        <v>45708.886678240742</v>
      </c>
      <c r="D1454" t="s">
        <v>280</v>
      </c>
      <c r="E1454" s="4">
        <v>0.01</v>
      </c>
      <c r="F1454" s="4">
        <v>61453.7</v>
      </c>
      <c r="G1454" s="4">
        <v>61453.71</v>
      </c>
      <c r="H1454" s="5">
        <f>0 / 86400</f>
        <v>0</v>
      </c>
      <c r="I1454" t="s">
        <v>136</v>
      </c>
      <c r="J1454" t="s">
        <v>145</v>
      </c>
      <c r="K1454" s="5">
        <f>31 / 86400</f>
        <v>3.5879629629629629E-4</v>
      </c>
      <c r="L1454" s="5">
        <f>93 / 86400</f>
        <v>1.0763888888888889E-3</v>
      </c>
    </row>
    <row r="1455" spans="1:12" x14ac:dyDescent="0.25">
      <c r="A1455" s="3">
        <v>45708.887754629628</v>
      </c>
      <c r="B1455" t="s">
        <v>280</v>
      </c>
      <c r="C1455" s="3">
        <v>45708.99998842593</v>
      </c>
      <c r="D1455" t="s">
        <v>78</v>
      </c>
      <c r="E1455" s="4">
        <v>48.81</v>
      </c>
      <c r="F1455" s="4">
        <v>61453.71</v>
      </c>
      <c r="G1455" s="4">
        <v>61502.52</v>
      </c>
      <c r="H1455" s="5">
        <f>3759 / 86400</f>
        <v>4.3506944444444445E-2</v>
      </c>
      <c r="I1455" t="s">
        <v>99</v>
      </c>
      <c r="J1455" t="s">
        <v>34</v>
      </c>
      <c r="K1455" s="5">
        <f>9697 / 86400</f>
        <v>0.11223379629629629</v>
      </c>
      <c r="L1455" s="5">
        <f>0 / 86400</f>
        <v>0</v>
      </c>
    </row>
    <row r="1456" spans="1:12" x14ac:dyDescent="0.2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</row>
    <row r="1457" spans="1:12" x14ac:dyDescent="0.25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</row>
    <row r="1458" spans="1:12" s="10" customFormat="1" ht="20.100000000000001" customHeight="1" x14ac:dyDescent="0.35">
      <c r="A1458" s="15" t="s">
        <v>528</v>
      </c>
      <c r="B1458" s="15"/>
      <c r="C1458" s="15"/>
      <c r="D1458" s="15"/>
      <c r="E1458" s="15"/>
      <c r="F1458" s="15"/>
      <c r="G1458" s="15"/>
      <c r="H1458" s="15"/>
      <c r="I1458" s="15"/>
      <c r="J1458" s="15"/>
    </row>
    <row r="1459" spans="1:12" x14ac:dyDescent="0.25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</row>
    <row r="1460" spans="1:12" ht="30" x14ac:dyDescent="0.25">
      <c r="A1460" s="2" t="s">
        <v>6</v>
      </c>
      <c r="B1460" s="2" t="s">
        <v>7</v>
      </c>
      <c r="C1460" s="2" t="s">
        <v>8</v>
      </c>
      <c r="D1460" s="2" t="s">
        <v>9</v>
      </c>
      <c r="E1460" s="2" t="s">
        <v>10</v>
      </c>
      <c r="F1460" s="2" t="s">
        <v>11</v>
      </c>
      <c r="G1460" s="2" t="s">
        <v>12</v>
      </c>
      <c r="H1460" s="2" t="s">
        <v>13</v>
      </c>
      <c r="I1460" s="2" t="s">
        <v>14</v>
      </c>
      <c r="J1460" s="2" t="s">
        <v>15</v>
      </c>
      <c r="K1460" s="2" t="s">
        <v>16</v>
      </c>
      <c r="L1460" s="2" t="s">
        <v>17</v>
      </c>
    </row>
    <row r="1461" spans="1:12" x14ac:dyDescent="0.25">
      <c r="A1461" s="3">
        <v>45708.16024305555</v>
      </c>
      <c r="B1461" t="s">
        <v>121</v>
      </c>
      <c r="C1461" s="3">
        <v>45708.359675925924</v>
      </c>
      <c r="D1461" t="s">
        <v>149</v>
      </c>
      <c r="E1461" s="4">
        <v>104.26</v>
      </c>
      <c r="F1461" s="4">
        <v>65242.684000000001</v>
      </c>
      <c r="G1461" s="4">
        <v>65346.944000000003</v>
      </c>
      <c r="H1461" s="5">
        <f>4538 / 86400</f>
        <v>5.2523148148148145E-2</v>
      </c>
      <c r="I1461" t="s">
        <v>122</v>
      </c>
      <c r="J1461" t="s">
        <v>148</v>
      </c>
      <c r="K1461" s="5">
        <f>17230 / 86400</f>
        <v>0.19942129629629629</v>
      </c>
      <c r="L1461" s="5">
        <f>14554 / 86400</f>
        <v>0.16844907407407408</v>
      </c>
    </row>
    <row r="1462" spans="1:12" x14ac:dyDescent="0.25">
      <c r="A1462" s="3">
        <v>45708.367881944447</v>
      </c>
      <c r="B1462" t="s">
        <v>149</v>
      </c>
      <c r="C1462" s="3">
        <v>45708.484861111108</v>
      </c>
      <c r="D1462" t="s">
        <v>21</v>
      </c>
      <c r="E1462" s="4">
        <v>51.02</v>
      </c>
      <c r="F1462" s="4">
        <v>65346.944000000003</v>
      </c>
      <c r="G1462" s="4">
        <v>65397.964</v>
      </c>
      <c r="H1462" s="5">
        <f>3162 / 86400</f>
        <v>3.6597222222222225E-2</v>
      </c>
      <c r="I1462" t="s">
        <v>74</v>
      </c>
      <c r="J1462" t="s">
        <v>34</v>
      </c>
      <c r="K1462" s="5">
        <f>10107 / 86400</f>
        <v>0.11697916666666666</v>
      </c>
      <c r="L1462" s="5">
        <f>355 / 86400</f>
        <v>4.1087962962962962E-3</v>
      </c>
    </row>
    <row r="1463" spans="1:12" x14ac:dyDescent="0.25">
      <c r="A1463" s="3">
        <v>45708.488969907412</v>
      </c>
      <c r="B1463" t="s">
        <v>21</v>
      </c>
      <c r="C1463" s="3">
        <v>45708.618298611109</v>
      </c>
      <c r="D1463" t="s">
        <v>121</v>
      </c>
      <c r="E1463" s="4">
        <v>51.015999999999998</v>
      </c>
      <c r="F1463" s="4">
        <v>65397.964</v>
      </c>
      <c r="G1463" s="4">
        <v>65448.98</v>
      </c>
      <c r="H1463" s="5">
        <f>3460 / 86400</f>
        <v>4.0046296296296295E-2</v>
      </c>
      <c r="I1463" t="s">
        <v>120</v>
      </c>
      <c r="J1463" t="s">
        <v>49</v>
      </c>
      <c r="K1463" s="5">
        <f>11174 / 86400</f>
        <v>0.1293287037037037</v>
      </c>
      <c r="L1463" s="5">
        <f>1102 / 86400</f>
        <v>1.275462962962963E-2</v>
      </c>
    </row>
    <row r="1464" spans="1:12" x14ac:dyDescent="0.25">
      <c r="A1464" s="3">
        <v>45708.631053240737</v>
      </c>
      <c r="B1464" t="s">
        <v>121</v>
      </c>
      <c r="C1464" s="3">
        <v>45708.632511574076</v>
      </c>
      <c r="D1464" t="s">
        <v>279</v>
      </c>
      <c r="E1464" s="4">
        <v>7.5999999999999998E-2</v>
      </c>
      <c r="F1464" s="4">
        <v>65448.98</v>
      </c>
      <c r="G1464" s="4">
        <v>65449.055999999997</v>
      </c>
      <c r="H1464" s="5">
        <f>78 / 86400</f>
        <v>9.0277777777777774E-4</v>
      </c>
      <c r="I1464" t="s">
        <v>26</v>
      </c>
      <c r="J1464" t="s">
        <v>136</v>
      </c>
      <c r="K1464" s="5">
        <f>126 / 86400</f>
        <v>1.4583333333333334E-3</v>
      </c>
      <c r="L1464" s="5">
        <f>1839 / 86400</f>
        <v>2.1284722222222222E-2</v>
      </c>
    </row>
    <row r="1465" spans="1:12" x14ac:dyDescent="0.25">
      <c r="A1465" s="3">
        <v>45708.653796296298</v>
      </c>
      <c r="B1465" t="s">
        <v>279</v>
      </c>
      <c r="C1465" s="3">
        <v>45708.657650462963</v>
      </c>
      <c r="D1465" t="s">
        <v>407</v>
      </c>
      <c r="E1465" s="4">
        <v>1.0620000000000001</v>
      </c>
      <c r="F1465" s="4">
        <v>65449.055999999997</v>
      </c>
      <c r="G1465" s="4">
        <v>65450.118000000002</v>
      </c>
      <c r="H1465" s="5">
        <f>59 / 86400</f>
        <v>6.8287037037037036E-4</v>
      </c>
      <c r="I1465" t="s">
        <v>189</v>
      </c>
      <c r="J1465" t="s">
        <v>65</v>
      </c>
      <c r="K1465" s="5">
        <f>332 / 86400</f>
        <v>3.8425925925925928E-3</v>
      </c>
      <c r="L1465" s="5">
        <f>183 / 86400</f>
        <v>2.1180555555555558E-3</v>
      </c>
    </row>
    <row r="1466" spans="1:12" x14ac:dyDescent="0.25">
      <c r="A1466" s="3">
        <v>45708.659768518519</v>
      </c>
      <c r="B1466" t="s">
        <v>407</v>
      </c>
      <c r="C1466" s="3">
        <v>45708.660358796296</v>
      </c>
      <c r="D1466" t="s">
        <v>94</v>
      </c>
      <c r="E1466" s="4">
        <v>1.9E-2</v>
      </c>
      <c r="F1466" s="4">
        <v>65450.118000000002</v>
      </c>
      <c r="G1466" s="4">
        <v>65450.137000000002</v>
      </c>
      <c r="H1466" s="5">
        <f>20 / 86400</f>
        <v>2.3148148148148149E-4</v>
      </c>
      <c r="I1466" t="s">
        <v>136</v>
      </c>
      <c r="J1466" t="s">
        <v>145</v>
      </c>
      <c r="K1466" s="5">
        <f>50 / 86400</f>
        <v>5.7870370370370367E-4</v>
      </c>
      <c r="L1466" s="5">
        <f>1627 / 86400</f>
        <v>1.8831018518518518E-2</v>
      </c>
    </row>
    <row r="1467" spans="1:12" x14ac:dyDescent="0.25">
      <c r="A1467" s="3">
        <v>45708.679189814815</v>
      </c>
      <c r="B1467" t="s">
        <v>94</v>
      </c>
      <c r="C1467" s="3">
        <v>45708.679837962962</v>
      </c>
      <c r="D1467" t="s">
        <v>407</v>
      </c>
      <c r="E1467" s="4">
        <v>8.9999999999999993E-3</v>
      </c>
      <c r="F1467" s="4">
        <v>65450.137000000002</v>
      </c>
      <c r="G1467" s="4">
        <v>65450.146000000001</v>
      </c>
      <c r="H1467" s="5">
        <f>20 / 86400</f>
        <v>2.3148148148148149E-4</v>
      </c>
      <c r="I1467" t="s">
        <v>136</v>
      </c>
      <c r="J1467" t="s">
        <v>145</v>
      </c>
      <c r="K1467" s="5">
        <f>56 / 86400</f>
        <v>6.4814814814814813E-4</v>
      </c>
      <c r="L1467" s="5">
        <f>294 / 86400</f>
        <v>3.4027777777777776E-3</v>
      </c>
    </row>
    <row r="1468" spans="1:12" x14ac:dyDescent="0.25">
      <c r="A1468" s="3">
        <v>45708.683240740742</v>
      </c>
      <c r="B1468" t="s">
        <v>407</v>
      </c>
      <c r="C1468" s="3">
        <v>45708.683703703704</v>
      </c>
      <c r="D1468" t="s">
        <v>94</v>
      </c>
      <c r="E1468" s="4">
        <v>8.0000000000000002E-3</v>
      </c>
      <c r="F1468" s="4">
        <v>65450.146000000001</v>
      </c>
      <c r="G1468" s="4">
        <v>65450.154000000002</v>
      </c>
      <c r="H1468" s="5">
        <f>0 / 86400</f>
        <v>0</v>
      </c>
      <c r="I1468" t="s">
        <v>136</v>
      </c>
      <c r="J1468" t="s">
        <v>145</v>
      </c>
      <c r="K1468" s="5">
        <f>40 / 86400</f>
        <v>4.6296296296296298E-4</v>
      </c>
      <c r="L1468" s="5">
        <f>1810 / 86400</f>
        <v>2.0949074074074075E-2</v>
      </c>
    </row>
    <row r="1469" spans="1:12" x14ac:dyDescent="0.25">
      <c r="A1469" s="3">
        <v>45708.704652777778</v>
      </c>
      <c r="B1469" t="s">
        <v>94</v>
      </c>
      <c r="C1469" s="3">
        <v>45708.705891203703</v>
      </c>
      <c r="D1469" t="s">
        <v>407</v>
      </c>
      <c r="E1469" s="4">
        <v>2.1000000000000001E-2</v>
      </c>
      <c r="F1469" s="4">
        <v>65450.154000000002</v>
      </c>
      <c r="G1469" s="4">
        <v>65450.175000000003</v>
      </c>
      <c r="H1469" s="5">
        <f>20 / 86400</f>
        <v>2.3148148148148149E-4</v>
      </c>
      <c r="I1469" t="s">
        <v>55</v>
      </c>
      <c r="J1469" t="s">
        <v>145</v>
      </c>
      <c r="K1469" s="5">
        <f>107 / 86400</f>
        <v>1.238425925925926E-3</v>
      </c>
      <c r="L1469" s="5">
        <f>1540 / 86400</f>
        <v>1.7824074074074076E-2</v>
      </c>
    </row>
    <row r="1470" spans="1:12" x14ac:dyDescent="0.25">
      <c r="A1470" s="3">
        <v>45708.723715277782</v>
      </c>
      <c r="B1470" t="s">
        <v>407</v>
      </c>
      <c r="C1470" s="3">
        <v>45708.727812500001</v>
      </c>
      <c r="D1470" t="s">
        <v>121</v>
      </c>
      <c r="E1470" s="4">
        <v>1.167</v>
      </c>
      <c r="F1470" s="4">
        <v>65450.175000000003</v>
      </c>
      <c r="G1470" s="4">
        <v>65451.341999999997</v>
      </c>
      <c r="H1470" s="5">
        <f>99 / 86400</f>
        <v>1.1458333333333333E-3</v>
      </c>
      <c r="I1470" t="s">
        <v>162</v>
      </c>
      <c r="J1470" t="s">
        <v>65</v>
      </c>
      <c r="K1470" s="5">
        <f>353 / 86400</f>
        <v>4.0856481481481481E-3</v>
      </c>
      <c r="L1470" s="5">
        <f>11036 / 86400</f>
        <v>0.12773148148148147</v>
      </c>
    </row>
    <row r="1471" spans="1:12" x14ac:dyDescent="0.25">
      <c r="A1471" s="3">
        <v>45708.855543981481</v>
      </c>
      <c r="B1471" t="s">
        <v>121</v>
      </c>
      <c r="C1471" s="3">
        <v>45708.859756944439</v>
      </c>
      <c r="D1471" t="s">
        <v>41</v>
      </c>
      <c r="E1471" s="4">
        <v>1.9E-2</v>
      </c>
      <c r="F1471" s="4">
        <v>65451.341999999997</v>
      </c>
      <c r="G1471" s="4">
        <v>65451.360999999997</v>
      </c>
      <c r="H1471" s="5">
        <f>339 / 86400</f>
        <v>3.9236111111111112E-3</v>
      </c>
      <c r="I1471" t="s">
        <v>55</v>
      </c>
      <c r="J1471" t="s">
        <v>22</v>
      </c>
      <c r="K1471" s="5">
        <f>363 / 86400</f>
        <v>4.2013888888888891E-3</v>
      </c>
      <c r="L1471" s="5">
        <f>11322 / 86400</f>
        <v>0.13104166666666667</v>
      </c>
    </row>
    <row r="1472" spans="1:12" x14ac:dyDescent="0.25">
      <c r="A1472" s="3">
        <v>45708.990798611107</v>
      </c>
      <c r="B1472" t="s">
        <v>41</v>
      </c>
      <c r="C1472" s="3">
        <v>45708.9925462963</v>
      </c>
      <c r="D1472" t="s">
        <v>121</v>
      </c>
      <c r="E1472" s="4">
        <v>3.6999999999999998E-2</v>
      </c>
      <c r="F1472" s="4">
        <v>65451.360999999997</v>
      </c>
      <c r="G1472" s="4">
        <v>65451.398000000001</v>
      </c>
      <c r="H1472" s="5">
        <f>120 / 86400</f>
        <v>1.3888888888888889E-3</v>
      </c>
      <c r="I1472" t="s">
        <v>136</v>
      </c>
      <c r="J1472" t="s">
        <v>145</v>
      </c>
      <c r="K1472" s="5">
        <f>151 / 86400</f>
        <v>1.7476851851851852E-3</v>
      </c>
      <c r="L1472" s="5">
        <f>643 / 86400</f>
        <v>7.4421296296296293E-3</v>
      </c>
    </row>
    <row r="1473" spans="1:12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</row>
    <row r="1474" spans="1:12" x14ac:dyDescent="0.25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</row>
    <row r="1475" spans="1:12" s="10" customFormat="1" ht="20.100000000000001" customHeight="1" x14ac:dyDescent="0.35">
      <c r="A1475" s="15" t="s">
        <v>529</v>
      </c>
      <c r="B1475" s="15"/>
      <c r="C1475" s="15"/>
      <c r="D1475" s="15"/>
      <c r="E1475" s="15"/>
      <c r="F1475" s="15"/>
      <c r="G1475" s="15"/>
      <c r="H1475" s="15"/>
      <c r="I1475" s="15"/>
      <c r="J1475" s="15"/>
    </row>
    <row r="1476" spans="1:12" x14ac:dyDescent="0.25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</row>
    <row r="1477" spans="1:12" ht="30" x14ac:dyDescent="0.25">
      <c r="A1477" s="2" t="s">
        <v>6</v>
      </c>
      <c r="B1477" s="2" t="s">
        <v>7</v>
      </c>
      <c r="C1477" s="2" t="s">
        <v>8</v>
      </c>
      <c r="D1477" s="2" t="s">
        <v>9</v>
      </c>
      <c r="E1477" s="2" t="s">
        <v>10</v>
      </c>
      <c r="F1477" s="2" t="s">
        <v>11</v>
      </c>
      <c r="G1477" s="2" t="s">
        <v>12</v>
      </c>
      <c r="H1477" s="2" t="s">
        <v>13</v>
      </c>
      <c r="I1477" s="2" t="s">
        <v>14</v>
      </c>
      <c r="J1477" s="2" t="s">
        <v>15</v>
      </c>
      <c r="K1477" s="2" t="s">
        <v>16</v>
      </c>
      <c r="L1477" s="2" t="s">
        <v>17</v>
      </c>
    </row>
    <row r="1478" spans="1:12" x14ac:dyDescent="0.25">
      <c r="A1478" s="3">
        <v>45708.038437499999</v>
      </c>
      <c r="B1478" t="s">
        <v>121</v>
      </c>
      <c r="C1478" s="3">
        <v>45708.038738425923</v>
      </c>
      <c r="D1478" t="s">
        <v>121</v>
      </c>
      <c r="E1478" s="4">
        <v>0.01</v>
      </c>
      <c r="F1478" s="4">
        <v>293111.995</v>
      </c>
      <c r="G1478" s="4">
        <v>293112.005</v>
      </c>
      <c r="H1478" s="5">
        <f>0 / 86400</f>
        <v>0</v>
      </c>
      <c r="I1478" t="s">
        <v>32</v>
      </c>
      <c r="J1478" t="s">
        <v>145</v>
      </c>
      <c r="K1478" s="5">
        <f>26 / 86400</f>
        <v>3.0092592592592595E-4</v>
      </c>
      <c r="L1478" s="5">
        <f>24980 / 86400</f>
        <v>0.28912037037037036</v>
      </c>
    </row>
    <row r="1479" spans="1:12" x14ac:dyDescent="0.25">
      <c r="A1479" s="3">
        <v>45708.2894212963</v>
      </c>
      <c r="B1479" t="s">
        <v>121</v>
      </c>
      <c r="C1479" s="3">
        <v>45708.869525462964</v>
      </c>
      <c r="D1479" t="s">
        <v>121</v>
      </c>
      <c r="E1479" s="4">
        <v>209.233</v>
      </c>
      <c r="F1479" s="4">
        <v>293112.005</v>
      </c>
      <c r="G1479" s="4">
        <v>293321.23800000001</v>
      </c>
      <c r="H1479" s="5">
        <f>19296 / 86400</f>
        <v>0.22333333333333333</v>
      </c>
      <c r="I1479" t="s">
        <v>123</v>
      </c>
      <c r="J1479" t="s">
        <v>44</v>
      </c>
      <c r="K1479" s="5">
        <f>50121 / 86400</f>
        <v>0.58010416666666664</v>
      </c>
      <c r="L1479" s="5">
        <f>11272 / 86400</f>
        <v>0.13046296296296298</v>
      </c>
    </row>
    <row r="1480" spans="1:12" x14ac:dyDescent="0.25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</row>
    <row r="1481" spans="1:12" x14ac:dyDescent="0.25">
      <c r="A1481" s="12" t="s">
        <v>125</v>
      </c>
      <c r="B1481" s="12"/>
      <c r="C1481" s="12"/>
      <c r="D1481" s="12"/>
      <c r="E1481" s="12"/>
      <c r="F1481" s="12"/>
      <c r="G1481" s="12"/>
      <c r="H1481" s="12"/>
      <c r="I1481" s="12"/>
      <c r="J1481" s="12"/>
    </row>
  </sheetData>
  <mergeCells count="254">
    <mergeCell ref="A1476:J1476"/>
    <mergeCell ref="A1480:J1480"/>
    <mergeCell ref="A1481:J1481"/>
    <mergeCell ref="A1433:J1433"/>
    <mergeCell ref="A1434:J1434"/>
    <mergeCell ref="A1456:J1456"/>
    <mergeCell ref="A1457:J1457"/>
    <mergeCell ref="A1458:J1458"/>
    <mergeCell ref="A1459:J1459"/>
    <mergeCell ref="A1473:J1473"/>
    <mergeCell ref="A1474:J1474"/>
    <mergeCell ref="A1475:J1475"/>
    <mergeCell ref="A1403:J1403"/>
    <mergeCell ref="A1404:J1404"/>
    <mergeCell ref="A1405:J1405"/>
    <mergeCell ref="A1411:J1411"/>
    <mergeCell ref="A1412:J1412"/>
    <mergeCell ref="A1413:J1413"/>
    <mergeCell ref="A1414:J1414"/>
    <mergeCell ref="A1431:J1431"/>
    <mergeCell ref="A1432:J1432"/>
    <mergeCell ref="A1359:J1359"/>
    <mergeCell ref="A1360:J1360"/>
    <mergeCell ref="A1361:J1361"/>
    <mergeCell ref="A1362:J1362"/>
    <mergeCell ref="A1372:J1372"/>
    <mergeCell ref="A1373:J1373"/>
    <mergeCell ref="A1374:J1374"/>
    <mergeCell ref="A1375:J1375"/>
    <mergeCell ref="A1402:J1402"/>
    <mergeCell ref="A1319:J1319"/>
    <mergeCell ref="A1327:J1327"/>
    <mergeCell ref="A1328:J1328"/>
    <mergeCell ref="A1329:J1329"/>
    <mergeCell ref="A1330:J1330"/>
    <mergeCell ref="A1345:J1345"/>
    <mergeCell ref="A1346:J1346"/>
    <mergeCell ref="A1347:J1347"/>
    <mergeCell ref="A1348:J1348"/>
    <mergeCell ref="A1295:J1295"/>
    <mergeCell ref="A1296:J1296"/>
    <mergeCell ref="A1304:J1304"/>
    <mergeCell ref="A1305:J1305"/>
    <mergeCell ref="A1306:J1306"/>
    <mergeCell ref="A1307:J1307"/>
    <mergeCell ref="A1316:J1316"/>
    <mergeCell ref="A1317:J1317"/>
    <mergeCell ref="A1318:J1318"/>
    <mergeCell ref="A1264:J1264"/>
    <mergeCell ref="A1265:J1265"/>
    <mergeCell ref="A1266:J1266"/>
    <mergeCell ref="A1276:J1276"/>
    <mergeCell ref="A1277:J1277"/>
    <mergeCell ref="A1278:J1278"/>
    <mergeCell ref="A1279:J1279"/>
    <mergeCell ref="A1293:J1293"/>
    <mergeCell ref="A1294:J1294"/>
    <mergeCell ref="A1230:J1230"/>
    <mergeCell ref="A1231:J1231"/>
    <mergeCell ref="A1232:J1232"/>
    <mergeCell ref="A1233:J1233"/>
    <mergeCell ref="A1240:J1240"/>
    <mergeCell ref="A1241:J1241"/>
    <mergeCell ref="A1242:J1242"/>
    <mergeCell ref="A1243:J1243"/>
    <mergeCell ref="A1263:J1263"/>
    <mergeCell ref="A1176:J1176"/>
    <mergeCell ref="A1182:J1182"/>
    <mergeCell ref="A1183:J1183"/>
    <mergeCell ref="A1184:J1184"/>
    <mergeCell ref="A1185:J1185"/>
    <mergeCell ref="A1218:J1218"/>
    <mergeCell ref="A1219:J1219"/>
    <mergeCell ref="A1220:J1220"/>
    <mergeCell ref="A1221:J1221"/>
    <mergeCell ref="A1130:J1130"/>
    <mergeCell ref="A1131:J1131"/>
    <mergeCell ref="A1157:J1157"/>
    <mergeCell ref="A1158:J1158"/>
    <mergeCell ref="A1159:J1159"/>
    <mergeCell ref="A1160:J1160"/>
    <mergeCell ref="A1173:J1173"/>
    <mergeCell ref="A1174:J1174"/>
    <mergeCell ref="A1175:J1175"/>
    <mergeCell ref="A1102:J1102"/>
    <mergeCell ref="A1103:J1103"/>
    <mergeCell ref="A1104:J1104"/>
    <mergeCell ref="A1108:J1108"/>
    <mergeCell ref="A1109:J1109"/>
    <mergeCell ref="A1110:J1110"/>
    <mergeCell ref="A1111:J1111"/>
    <mergeCell ref="A1128:J1128"/>
    <mergeCell ref="A1129:J1129"/>
    <mergeCell ref="A1071:J1071"/>
    <mergeCell ref="A1072:J1072"/>
    <mergeCell ref="A1073:J1073"/>
    <mergeCell ref="A1074:J1074"/>
    <mergeCell ref="A1094:J1094"/>
    <mergeCell ref="A1095:J1095"/>
    <mergeCell ref="A1096:J1096"/>
    <mergeCell ref="A1097:J1097"/>
    <mergeCell ref="A1101:J1101"/>
    <mergeCell ref="A1028:J1028"/>
    <mergeCell ref="A1038:J1038"/>
    <mergeCell ref="A1039:J1039"/>
    <mergeCell ref="A1040:J1040"/>
    <mergeCell ref="A1041:J1041"/>
    <mergeCell ref="A1049:J1049"/>
    <mergeCell ref="A1050:J1050"/>
    <mergeCell ref="A1051:J1051"/>
    <mergeCell ref="A1052:J1052"/>
    <mergeCell ref="A990:J990"/>
    <mergeCell ref="A991:J991"/>
    <mergeCell ref="A1014:J1014"/>
    <mergeCell ref="A1015:J1015"/>
    <mergeCell ref="A1016:J1016"/>
    <mergeCell ref="A1017:J1017"/>
    <mergeCell ref="A1025:J1025"/>
    <mergeCell ref="A1026:J1026"/>
    <mergeCell ref="A1027:J1027"/>
    <mergeCell ref="A939:J939"/>
    <mergeCell ref="A940:J940"/>
    <mergeCell ref="A941:J941"/>
    <mergeCell ref="A982:J982"/>
    <mergeCell ref="A983:J983"/>
    <mergeCell ref="A984:J984"/>
    <mergeCell ref="A985:J985"/>
    <mergeCell ref="A988:J988"/>
    <mergeCell ref="A989:J989"/>
    <mergeCell ref="A900:J900"/>
    <mergeCell ref="A901:J901"/>
    <mergeCell ref="A902:J902"/>
    <mergeCell ref="A903:J903"/>
    <mergeCell ref="A918:J918"/>
    <mergeCell ref="A919:J919"/>
    <mergeCell ref="A920:J920"/>
    <mergeCell ref="A921:J921"/>
    <mergeCell ref="A938:J938"/>
    <mergeCell ref="A836:J836"/>
    <mergeCell ref="A851:J851"/>
    <mergeCell ref="A852:J852"/>
    <mergeCell ref="A853:J853"/>
    <mergeCell ref="A854:J854"/>
    <mergeCell ref="A880:J880"/>
    <mergeCell ref="A881:J881"/>
    <mergeCell ref="A882:J882"/>
    <mergeCell ref="A883:J883"/>
    <mergeCell ref="A810:J810"/>
    <mergeCell ref="A811:J811"/>
    <mergeCell ref="A824:J824"/>
    <mergeCell ref="A825:J825"/>
    <mergeCell ref="A826:J826"/>
    <mergeCell ref="A827:J827"/>
    <mergeCell ref="A833:J833"/>
    <mergeCell ref="A834:J834"/>
    <mergeCell ref="A835:J835"/>
    <mergeCell ref="A779:J779"/>
    <mergeCell ref="A780:J780"/>
    <mergeCell ref="A781:J781"/>
    <mergeCell ref="A789:J789"/>
    <mergeCell ref="A790:J790"/>
    <mergeCell ref="A791:J791"/>
    <mergeCell ref="A792:J792"/>
    <mergeCell ref="A808:J808"/>
    <mergeCell ref="A809:J809"/>
    <mergeCell ref="A755:J755"/>
    <mergeCell ref="A756:J756"/>
    <mergeCell ref="A757:J757"/>
    <mergeCell ref="A758:J758"/>
    <mergeCell ref="A767:J767"/>
    <mergeCell ref="A768:J768"/>
    <mergeCell ref="A769:J769"/>
    <mergeCell ref="A770:J770"/>
    <mergeCell ref="A778:J778"/>
    <mergeCell ref="A714:J714"/>
    <mergeCell ref="A726:J726"/>
    <mergeCell ref="A727:J727"/>
    <mergeCell ref="A728:J728"/>
    <mergeCell ref="A729:J729"/>
    <mergeCell ref="A740:J740"/>
    <mergeCell ref="A741:J741"/>
    <mergeCell ref="A742:J742"/>
    <mergeCell ref="A743:J743"/>
    <mergeCell ref="A682:J682"/>
    <mergeCell ref="A683:J683"/>
    <mergeCell ref="A689:J689"/>
    <mergeCell ref="A690:J690"/>
    <mergeCell ref="A691:J691"/>
    <mergeCell ref="A692:J692"/>
    <mergeCell ref="A711:J711"/>
    <mergeCell ref="A712:J712"/>
    <mergeCell ref="A713:J713"/>
    <mergeCell ref="A652:J652"/>
    <mergeCell ref="A653:J653"/>
    <mergeCell ref="A654:J654"/>
    <mergeCell ref="A661:J661"/>
    <mergeCell ref="A662:J662"/>
    <mergeCell ref="A663:J663"/>
    <mergeCell ref="A664:J664"/>
    <mergeCell ref="A680:J680"/>
    <mergeCell ref="A681:J681"/>
    <mergeCell ref="A611:J611"/>
    <mergeCell ref="A612:J612"/>
    <mergeCell ref="A613:J613"/>
    <mergeCell ref="A614:J614"/>
    <mergeCell ref="A625:J625"/>
    <mergeCell ref="A626:J626"/>
    <mergeCell ref="A627:J627"/>
    <mergeCell ref="A628:J628"/>
    <mergeCell ref="A651:J651"/>
    <mergeCell ref="A139:J139"/>
    <mergeCell ref="A153:J153"/>
    <mergeCell ref="A154:J154"/>
    <mergeCell ref="A155:J155"/>
    <mergeCell ref="A156:J156"/>
    <mergeCell ref="A585:J585"/>
    <mergeCell ref="A586:J586"/>
    <mergeCell ref="A587:J587"/>
    <mergeCell ref="A588:J588"/>
    <mergeCell ref="A123:J123"/>
    <mergeCell ref="A124:J124"/>
    <mergeCell ref="A127:J127"/>
    <mergeCell ref="A128:J128"/>
    <mergeCell ref="A129:J129"/>
    <mergeCell ref="A130:J130"/>
    <mergeCell ref="A136:J136"/>
    <mergeCell ref="A137:J137"/>
    <mergeCell ref="A138:J138"/>
    <mergeCell ref="A96:J96"/>
    <mergeCell ref="A97:J97"/>
    <mergeCell ref="A98:J98"/>
    <mergeCell ref="A103:J103"/>
    <mergeCell ref="A104:J104"/>
    <mergeCell ref="A105:J105"/>
    <mergeCell ref="A106:J106"/>
    <mergeCell ref="A121:J121"/>
    <mergeCell ref="A122:J122"/>
    <mergeCell ref="A72:J72"/>
    <mergeCell ref="A73:J73"/>
    <mergeCell ref="A74:J74"/>
    <mergeCell ref="A75:J75"/>
    <mergeCell ref="A84:J84"/>
    <mergeCell ref="A85:J85"/>
    <mergeCell ref="A86:J86"/>
    <mergeCell ref="A87:J87"/>
    <mergeCell ref="A95:J95"/>
    <mergeCell ref="A1:J1"/>
    <mergeCell ref="A2:J2"/>
    <mergeCell ref="A3:J3"/>
    <mergeCell ref="A4:J4"/>
    <mergeCell ref="A5:J5"/>
    <mergeCell ref="A6:J6"/>
    <mergeCell ref="A70:J70"/>
    <mergeCell ref="A71:J7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2025-09-22T19:52:53Z</dcterms:created>
  <dcterms:modified xsi:type="dcterms:W3CDTF">2025-09-23T05:38:17Z</dcterms:modified>
</cp:coreProperties>
</file>