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codeName="ThisWorkbook"/>
  <xr:revisionPtr revIDLastSave="0" documentId="13_ncr:1_{5EF582A7-8AEF-4D2F-B7B6-A9F4DAE78A48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L1211" i="1" l="1"/>
  <c r="K1211" i="1"/>
  <c r="H1211" i="1"/>
  <c r="L1210" i="1"/>
  <c r="K1210" i="1"/>
  <c r="H1210" i="1"/>
  <c r="L1209" i="1"/>
  <c r="K1209" i="1"/>
  <c r="H1209" i="1"/>
  <c r="L1208" i="1"/>
  <c r="K1208" i="1"/>
  <c r="H1208" i="1"/>
  <c r="L1202" i="1"/>
  <c r="K1202" i="1"/>
  <c r="H1202" i="1"/>
  <c r="L1201" i="1"/>
  <c r="K1201" i="1"/>
  <c r="H1201" i="1"/>
  <c r="L1200" i="1"/>
  <c r="K1200" i="1"/>
  <c r="H1200" i="1"/>
  <c r="L1199" i="1"/>
  <c r="K1199" i="1"/>
  <c r="H1199" i="1"/>
  <c r="L1198" i="1"/>
  <c r="K1198" i="1"/>
  <c r="H1198" i="1"/>
  <c r="L1197" i="1"/>
  <c r="K1197" i="1"/>
  <c r="H1197" i="1"/>
  <c r="L1196" i="1"/>
  <c r="K1196" i="1"/>
  <c r="H1196" i="1"/>
  <c r="L1195" i="1"/>
  <c r="K1195" i="1"/>
  <c r="H1195" i="1"/>
  <c r="L1194" i="1"/>
  <c r="K1194" i="1"/>
  <c r="H1194" i="1"/>
  <c r="L1193" i="1"/>
  <c r="K1193" i="1"/>
  <c r="H1193" i="1"/>
  <c r="L1187" i="1"/>
  <c r="K1187" i="1"/>
  <c r="H1187" i="1"/>
  <c r="L1186" i="1"/>
  <c r="K1186" i="1"/>
  <c r="H1186" i="1"/>
  <c r="L1185" i="1"/>
  <c r="K1185" i="1"/>
  <c r="H1185" i="1"/>
  <c r="L1184" i="1"/>
  <c r="K1184" i="1"/>
  <c r="H1184" i="1"/>
  <c r="L1183" i="1"/>
  <c r="K1183" i="1"/>
  <c r="H1183" i="1"/>
  <c r="L1182" i="1"/>
  <c r="K1182" i="1"/>
  <c r="H1182" i="1"/>
  <c r="L1181" i="1"/>
  <c r="K1181" i="1"/>
  <c r="H1181" i="1"/>
  <c r="L1180" i="1"/>
  <c r="K1180" i="1"/>
  <c r="H1180" i="1"/>
  <c r="L1179" i="1"/>
  <c r="K1179" i="1"/>
  <c r="H1179" i="1"/>
  <c r="L1178" i="1"/>
  <c r="K1178" i="1"/>
  <c r="H1178" i="1"/>
  <c r="L1177" i="1"/>
  <c r="K1177" i="1"/>
  <c r="H1177" i="1"/>
  <c r="L1176" i="1"/>
  <c r="K1176" i="1"/>
  <c r="H1176" i="1"/>
  <c r="L1175" i="1"/>
  <c r="K1175" i="1"/>
  <c r="H1175" i="1"/>
  <c r="L1174" i="1"/>
  <c r="K1174" i="1"/>
  <c r="H1174" i="1"/>
  <c r="L1173" i="1"/>
  <c r="K1173" i="1"/>
  <c r="H1173" i="1"/>
  <c r="L1172" i="1"/>
  <c r="K1172" i="1"/>
  <c r="H1172" i="1"/>
  <c r="L1171" i="1"/>
  <c r="K1171" i="1"/>
  <c r="H1171" i="1"/>
  <c r="L1170" i="1"/>
  <c r="K1170" i="1"/>
  <c r="H1170" i="1"/>
  <c r="L1164" i="1"/>
  <c r="K1164" i="1"/>
  <c r="H1164" i="1"/>
  <c r="L1163" i="1"/>
  <c r="K1163" i="1"/>
  <c r="H1163" i="1"/>
  <c r="L1162" i="1"/>
  <c r="K1162" i="1"/>
  <c r="H1162" i="1"/>
  <c r="L1161" i="1"/>
  <c r="K1161" i="1"/>
  <c r="H1161" i="1"/>
  <c r="L1160" i="1"/>
  <c r="K1160" i="1"/>
  <c r="H1160" i="1"/>
  <c r="L1159" i="1"/>
  <c r="K1159" i="1"/>
  <c r="H1159" i="1"/>
  <c r="L1153" i="1"/>
  <c r="K1153" i="1"/>
  <c r="H1153" i="1"/>
  <c r="L1152" i="1"/>
  <c r="K1152" i="1"/>
  <c r="H1152" i="1"/>
  <c r="L1151" i="1"/>
  <c r="K1151" i="1"/>
  <c r="H1151" i="1"/>
  <c r="L1150" i="1"/>
  <c r="K1150" i="1"/>
  <c r="H1150" i="1"/>
  <c r="L1149" i="1"/>
  <c r="K1149" i="1"/>
  <c r="H1149" i="1"/>
  <c r="L1148" i="1"/>
  <c r="K1148" i="1"/>
  <c r="H1148" i="1"/>
  <c r="L1147" i="1"/>
  <c r="K1147" i="1"/>
  <c r="H1147" i="1"/>
  <c r="L1141" i="1"/>
  <c r="K1141" i="1"/>
  <c r="H1141" i="1"/>
  <c r="L1140" i="1"/>
  <c r="K1140" i="1"/>
  <c r="H1140" i="1"/>
  <c r="L1139" i="1"/>
  <c r="K1139" i="1"/>
  <c r="H1139" i="1"/>
  <c r="L1138" i="1"/>
  <c r="K1138" i="1"/>
  <c r="H1138" i="1"/>
  <c r="L1137" i="1"/>
  <c r="K1137" i="1"/>
  <c r="H1137" i="1"/>
  <c r="L1136" i="1"/>
  <c r="K1136" i="1"/>
  <c r="H1136" i="1"/>
  <c r="L1135" i="1"/>
  <c r="K1135" i="1"/>
  <c r="H1135" i="1"/>
  <c r="L1134" i="1"/>
  <c r="K1134" i="1"/>
  <c r="H1134" i="1"/>
  <c r="L1128" i="1"/>
  <c r="K1128" i="1"/>
  <c r="H1128" i="1"/>
  <c r="L1127" i="1"/>
  <c r="K1127" i="1"/>
  <c r="H1127" i="1"/>
  <c r="L1126" i="1"/>
  <c r="K1126" i="1"/>
  <c r="H1126" i="1"/>
  <c r="L1125" i="1"/>
  <c r="K1125" i="1"/>
  <c r="H1125" i="1"/>
  <c r="L1124" i="1"/>
  <c r="K1124" i="1"/>
  <c r="H1124" i="1"/>
  <c r="L1123" i="1"/>
  <c r="K1123" i="1"/>
  <c r="H1123" i="1"/>
  <c r="L1117" i="1"/>
  <c r="K1117" i="1"/>
  <c r="H1117" i="1"/>
  <c r="L1116" i="1"/>
  <c r="K1116" i="1"/>
  <c r="H1116" i="1"/>
  <c r="L1115" i="1"/>
  <c r="K1115" i="1"/>
  <c r="H1115" i="1"/>
  <c r="L1114" i="1"/>
  <c r="K1114" i="1"/>
  <c r="H1114" i="1"/>
  <c r="L1113" i="1"/>
  <c r="K1113" i="1"/>
  <c r="H1113" i="1"/>
  <c r="L1112" i="1"/>
  <c r="K1112" i="1"/>
  <c r="H1112" i="1"/>
  <c r="L1111" i="1"/>
  <c r="K1111" i="1"/>
  <c r="H1111" i="1"/>
  <c r="L1105" i="1"/>
  <c r="K1105" i="1"/>
  <c r="H1105" i="1"/>
  <c r="L1104" i="1"/>
  <c r="K1104" i="1"/>
  <c r="H1104" i="1"/>
  <c r="L1103" i="1"/>
  <c r="K1103" i="1"/>
  <c r="H1103" i="1"/>
  <c r="L1102" i="1"/>
  <c r="K1102" i="1"/>
  <c r="H1102" i="1"/>
  <c r="L1101" i="1"/>
  <c r="K1101" i="1"/>
  <c r="H1101" i="1"/>
  <c r="L1100" i="1"/>
  <c r="K1100" i="1"/>
  <c r="H1100" i="1"/>
  <c r="L1099" i="1"/>
  <c r="K1099" i="1"/>
  <c r="H1099" i="1"/>
  <c r="L1098" i="1"/>
  <c r="K1098" i="1"/>
  <c r="H1098" i="1"/>
  <c r="L1097" i="1"/>
  <c r="K1097" i="1"/>
  <c r="H1097" i="1"/>
  <c r="L1091" i="1"/>
  <c r="K1091" i="1"/>
  <c r="H1091" i="1"/>
  <c r="L1090" i="1"/>
  <c r="K1090" i="1"/>
  <c r="H1090" i="1"/>
  <c r="L1089" i="1"/>
  <c r="K1089" i="1"/>
  <c r="H1089" i="1"/>
  <c r="L1088" i="1"/>
  <c r="K1088" i="1"/>
  <c r="H1088" i="1"/>
  <c r="L1087" i="1"/>
  <c r="K1087" i="1"/>
  <c r="H1087" i="1"/>
  <c r="L1086" i="1"/>
  <c r="K1086" i="1"/>
  <c r="H1086" i="1"/>
  <c r="L1085" i="1"/>
  <c r="K1085" i="1"/>
  <c r="H1085" i="1"/>
  <c r="L1084" i="1"/>
  <c r="K1084" i="1"/>
  <c r="H1084" i="1"/>
  <c r="L1078" i="1"/>
  <c r="K1078" i="1"/>
  <c r="H1078" i="1"/>
  <c r="L1077" i="1"/>
  <c r="K1077" i="1"/>
  <c r="H1077" i="1"/>
  <c r="L1076" i="1"/>
  <c r="K1076" i="1"/>
  <c r="H1076" i="1"/>
  <c r="L1075" i="1"/>
  <c r="K1075" i="1"/>
  <c r="H1075" i="1"/>
  <c r="L1074" i="1"/>
  <c r="K1074" i="1"/>
  <c r="H1074" i="1"/>
  <c r="L1073" i="1"/>
  <c r="K1073" i="1"/>
  <c r="H1073" i="1"/>
  <c r="L1072" i="1"/>
  <c r="K1072" i="1"/>
  <c r="H1072" i="1"/>
  <c r="L1066" i="1"/>
  <c r="K1066" i="1"/>
  <c r="H1066" i="1"/>
  <c r="L1065" i="1"/>
  <c r="K1065" i="1"/>
  <c r="H1065" i="1"/>
  <c r="L1064" i="1"/>
  <c r="K1064" i="1"/>
  <c r="H1064" i="1"/>
  <c r="L1063" i="1"/>
  <c r="K1063" i="1"/>
  <c r="H1063" i="1"/>
  <c r="L1062" i="1"/>
  <c r="K1062" i="1"/>
  <c r="H1062" i="1"/>
  <c r="L1061" i="1"/>
  <c r="K1061" i="1"/>
  <c r="H1061" i="1"/>
  <c r="L1060" i="1"/>
  <c r="K1060" i="1"/>
  <c r="H1060" i="1"/>
  <c r="L1059" i="1"/>
  <c r="K1059" i="1"/>
  <c r="H1059" i="1"/>
  <c r="L1058" i="1"/>
  <c r="K1058" i="1"/>
  <c r="H1058" i="1"/>
  <c r="L1052" i="1"/>
  <c r="K1052" i="1"/>
  <c r="H1052" i="1"/>
  <c r="L1051" i="1"/>
  <c r="K1051" i="1"/>
  <c r="H1051" i="1"/>
  <c r="L1050" i="1"/>
  <c r="K1050" i="1"/>
  <c r="H1050" i="1"/>
  <c r="L1049" i="1"/>
  <c r="K1049" i="1"/>
  <c r="H1049" i="1"/>
  <c r="L1048" i="1"/>
  <c r="K1048" i="1"/>
  <c r="H1048" i="1"/>
  <c r="L1047" i="1"/>
  <c r="K1047" i="1"/>
  <c r="H1047" i="1"/>
  <c r="L1046" i="1"/>
  <c r="K1046" i="1"/>
  <c r="H1046" i="1"/>
  <c r="L1045" i="1"/>
  <c r="K1045" i="1"/>
  <c r="H1045" i="1"/>
  <c r="L1044" i="1"/>
  <c r="K1044" i="1"/>
  <c r="H1044" i="1"/>
  <c r="L1043" i="1"/>
  <c r="K1043" i="1"/>
  <c r="H1043" i="1"/>
  <c r="L1042" i="1"/>
  <c r="K1042" i="1"/>
  <c r="H1042" i="1"/>
  <c r="L1041" i="1"/>
  <c r="K1041" i="1"/>
  <c r="H1041" i="1"/>
  <c r="L1040" i="1"/>
  <c r="K1040" i="1"/>
  <c r="H1040" i="1"/>
  <c r="L1039" i="1"/>
  <c r="K1039" i="1"/>
  <c r="H1039" i="1"/>
  <c r="L1038" i="1"/>
  <c r="K1038" i="1"/>
  <c r="H1038" i="1"/>
  <c r="L1037" i="1"/>
  <c r="K1037" i="1"/>
  <c r="H1037" i="1"/>
  <c r="L1036" i="1"/>
  <c r="K1036" i="1"/>
  <c r="H1036" i="1"/>
  <c r="L1035" i="1"/>
  <c r="K1035" i="1"/>
  <c r="H1035" i="1"/>
  <c r="L1034" i="1"/>
  <c r="K1034" i="1"/>
  <c r="H1034" i="1"/>
  <c r="L1028" i="1"/>
  <c r="K1028" i="1"/>
  <c r="H1028" i="1"/>
  <c r="L1022" i="1"/>
  <c r="K1022" i="1"/>
  <c r="H1022" i="1"/>
  <c r="L1021" i="1"/>
  <c r="K1021" i="1"/>
  <c r="H1021" i="1"/>
  <c r="L1020" i="1"/>
  <c r="K1020" i="1"/>
  <c r="H1020" i="1"/>
  <c r="L1019" i="1"/>
  <c r="K1019" i="1"/>
  <c r="H1019" i="1"/>
  <c r="L1018" i="1"/>
  <c r="K1018" i="1"/>
  <c r="H1018" i="1"/>
  <c r="L1017" i="1"/>
  <c r="K1017" i="1"/>
  <c r="H1017" i="1"/>
  <c r="L1016" i="1"/>
  <c r="K1016" i="1"/>
  <c r="H1016" i="1"/>
  <c r="L1015" i="1"/>
  <c r="K1015" i="1"/>
  <c r="H1015" i="1"/>
  <c r="L1014" i="1"/>
  <c r="K1014" i="1"/>
  <c r="H1014" i="1"/>
  <c r="L1013" i="1"/>
  <c r="K1013" i="1"/>
  <c r="H1013" i="1"/>
  <c r="L1007" i="1"/>
  <c r="K1007" i="1"/>
  <c r="H1007" i="1"/>
  <c r="L1006" i="1"/>
  <c r="K1006" i="1"/>
  <c r="H1006" i="1"/>
  <c r="L1005" i="1"/>
  <c r="K1005" i="1"/>
  <c r="H1005" i="1"/>
  <c r="L1004" i="1"/>
  <c r="K1004" i="1"/>
  <c r="H1004" i="1"/>
  <c r="L1003" i="1"/>
  <c r="K1003" i="1"/>
  <c r="H1003" i="1"/>
  <c r="L1002" i="1"/>
  <c r="K1002" i="1"/>
  <c r="H1002" i="1"/>
  <c r="L1001" i="1"/>
  <c r="K1001" i="1"/>
  <c r="H1001" i="1"/>
  <c r="L1000" i="1"/>
  <c r="K1000" i="1"/>
  <c r="H1000" i="1"/>
  <c r="L999" i="1"/>
  <c r="K999" i="1"/>
  <c r="H999" i="1"/>
  <c r="L998" i="1"/>
  <c r="K998" i="1"/>
  <c r="H998" i="1"/>
  <c r="L997" i="1"/>
  <c r="K997" i="1"/>
  <c r="H997" i="1"/>
  <c r="L996" i="1"/>
  <c r="K996" i="1"/>
  <c r="H996" i="1"/>
  <c r="L995" i="1"/>
  <c r="K995" i="1"/>
  <c r="H995" i="1"/>
  <c r="L994" i="1"/>
  <c r="K994" i="1"/>
  <c r="H994" i="1"/>
  <c r="L993" i="1"/>
  <c r="K993" i="1"/>
  <c r="H993" i="1"/>
  <c r="L992" i="1"/>
  <c r="K992" i="1"/>
  <c r="H992" i="1"/>
  <c r="L991" i="1"/>
  <c r="K991" i="1"/>
  <c r="H991" i="1"/>
  <c r="L985" i="1"/>
  <c r="K985" i="1"/>
  <c r="H985" i="1"/>
  <c r="L984" i="1"/>
  <c r="K984" i="1"/>
  <c r="H984" i="1"/>
  <c r="L983" i="1"/>
  <c r="K983" i="1"/>
  <c r="H983" i="1"/>
  <c r="L982" i="1"/>
  <c r="K982" i="1"/>
  <c r="H982" i="1"/>
  <c r="L981" i="1"/>
  <c r="K981" i="1"/>
  <c r="H981" i="1"/>
  <c r="L980" i="1"/>
  <c r="K980" i="1"/>
  <c r="H980" i="1"/>
  <c r="L979" i="1"/>
  <c r="K979" i="1"/>
  <c r="H979" i="1"/>
  <c r="L978" i="1"/>
  <c r="K978" i="1"/>
  <c r="H978" i="1"/>
  <c r="L977" i="1"/>
  <c r="K977" i="1"/>
  <c r="H977" i="1"/>
  <c r="L976" i="1"/>
  <c r="K976" i="1"/>
  <c r="H976" i="1"/>
  <c r="L975" i="1"/>
  <c r="K975" i="1"/>
  <c r="H975" i="1"/>
  <c r="L969" i="1"/>
  <c r="K969" i="1"/>
  <c r="H969" i="1"/>
  <c r="L968" i="1"/>
  <c r="K968" i="1"/>
  <c r="H968" i="1"/>
  <c r="L967" i="1"/>
  <c r="K967" i="1"/>
  <c r="H967" i="1"/>
  <c r="L966" i="1"/>
  <c r="K966" i="1"/>
  <c r="H966" i="1"/>
  <c r="L965" i="1"/>
  <c r="K965" i="1"/>
  <c r="H965" i="1"/>
  <c r="L964" i="1"/>
  <c r="K964" i="1"/>
  <c r="H964" i="1"/>
  <c r="L963" i="1"/>
  <c r="K963" i="1"/>
  <c r="H963" i="1"/>
  <c r="L962" i="1"/>
  <c r="K962" i="1"/>
  <c r="H962" i="1"/>
  <c r="L961" i="1"/>
  <c r="K961" i="1"/>
  <c r="H961" i="1"/>
  <c r="L960" i="1"/>
  <c r="K960" i="1"/>
  <c r="H960" i="1"/>
  <c r="L959" i="1"/>
  <c r="K959" i="1"/>
  <c r="H959" i="1"/>
  <c r="L958" i="1"/>
  <c r="K958" i="1"/>
  <c r="H958" i="1"/>
  <c r="L957" i="1"/>
  <c r="K957" i="1"/>
  <c r="H957" i="1"/>
  <c r="L956" i="1"/>
  <c r="K956" i="1"/>
  <c r="H956" i="1"/>
  <c r="L955" i="1"/>
  <c r="K955" i="1"/>
  <c r="H955" i="1"/>
  <c r="L954" i="1"/>
  <c r="K954" i="1"/>
  <c r="H954" i="1"/>
  <c r="L948" i="1"/>
  <c r="K948" i="1"/>
  <c r="H948" i="1"/>
  <c r="L947" i="1"/>
  <c r="K947" i="1"/>
  <c r="H947" i="1"/>
  <c r="L946" i="1"/>
  <c r="K946" i="1"/>
  <c r="H946" i="1"/>
  <c r="L945" i="1"/>
  <c r="K945" i="1"/>
  <c r="H945" i="1"/>
  <c r="L944" i="1"/>
  <c r="K944" i="1"/>
  <c r="H944" i="1"/>
  <c r="L943" i="1"/>
  <c r="K943" i="1"/>
  <c r="H943" i="1"/>
  <c r="L942" i="1"/>
  <c r="K942" i="1"/>
  <c r="H942" i="1"/>
  <c r="L936" i="1"/>
  <c r="K936" i="1"/>
  <c r="H936" i="1"/>
  <c r="L935" i="1"/>
  <c r="K935" i="1"/>
  <c r="H935" i="1"/>
  <c r="L934" i="1"/>
  <c r="K934" i="1"/>
  <c r="H934" i="1"/>
  <c r="L933" i="1"/>
  <c r="K933" i="1"/>
  <c r="H933" i="1"/>
  <c r="L932" i="1"/>
  <c r="K932" i="1"/>
  <c r="H932" i="1"/>
  <c r="L931" i="1"/>
  <c r="K931" i="1"/>
  <c r="H931" i="1"/>
  <c r="L925" i="1"/>
  <c r="K925" i="1"/>
  <c r="H925" i="1"/>
  <c r="L924" i="1"/>
  <c r="K924" i="1"/>
  <c r="H924" i="1"/>
  <c r="L923" i="1"/>
  <c r="K923" i="1"/>
  <c r="H923" i="1"/>
  <c r="L922" i="1"/>
  <c r="K922" i="1"/>
  <c r="H922" i="1"/>
  <c r="L921" i="1"/>
  <c r="K921" i="1"/>
  <c r="H921" i="1"/>
  <c r="L920" i="1"/>
  <c r="K920" i="1"/>
  <c r="H920" i="1"/>
  <c r="L919" i="1"/>
  <c r="K919" i="1"/>
  <c r="H919" i="1"/>
  <c r="L918" i="1"/>
  <c r="K918" i="1"/>
  <c r="H918" i="1"/>
  <c r="L917" i="1"/>
  <c r="K917" i="1"/>
  <c r="H917" i="1"/>
  <c r="L916" i="1"/>
  <c r="K916" i="1"/>
  <c r="H916" i="1"/>
  <c r="L915" i="1"/>
  <c r="K915" i="1"/>
  <c r="H915" i="1"/>
  <c r="L914" i="1"/>
  <c r="K914" i="1"/>
  <c r="H914" i="1"/>
  <c r="L913" i="1"/>
  <c r="K913" i="1"/>
  <c r="H913" i="1"/>
  <c r="L912" i="1"/>
  <c r="K912" i="1"/>
  <c r="H912" i="1"/>
  <c r="L911" i="1"/>
  <c r="K911" i="1"/>
  <c r="H911" i="1"/>
  <c r="L910" i="1"/>
  <c r="K910" i="1"/>
  <c r="H910" i="1"/>
  <c r="L909" i="1"/>
  <c r="K909" i="1"/>
  <c r="H909" i="1"/>
  <c r="L908" i="1"/>
  <c r="K908" i="1"/>
  <c r="H908" i="1"/>
  <c r="L902" i="1"/>
  <c r="K902" i="1"/>
  <c r="H902" i="1"/>
  <c r="L901" i="1"/>
  <c r="K901" i="1"/>
  <c r="H901" i="1"/>
  <c r="L900" i="1"/>
  <c r="K900" i="1"/>
  <c r="H900" i="1"/>
  <c r="L899" i="1"/>
  <c r="K899" i="1"/>
  <c r="H899" i="1"/>
  <c r="L898" i="1"/>
  <c r="K898" i="1"/>
  <c r="H898" i="1"/>
  <c r="L897" i="1"/>
  <c r="K897" i="1"/>
  <c r="H897" i="1"/>
  <c r="L896" i="1"/>
  <c r="K896" i="1"/>
  <c r="H896" i="1"/>
  <c r="L895" i="1"/>
  <c r="K895" i="1"/>
  <c r="H895" i="1"/>
  <c r="L894" i="1"/>
  <c r="K894" i="1"/>
  <c r="H894" i="1"/>
  <c r="L893" i="1"/>
  <c r="K893" i="1"/>
  <c r="H893" i="1"/>
  <c r="L892" i="1"/>
  <c r="K892" i="1"/>
  <c r="H892" i="1"/>
  <c r="L891" i="1"/>
  <c r="K891" i="1"/>
  <c r="H891" i="1"/>
  <c r="L890" i="1"/>
  <c r="K890" i="1"/>
  <c r="H890" i="1"/>
  <c r="L889" i="1"/>
  <c r="K889" i="1"/>
  <c r="H889" i="1"/>
  <c r="L888" i="1"/>
  <c r="K888" i="1"/>
  <c r="H888" i="1"/>
  <c r="L887" i="1"/>
  <c r="K887" i="1"/>
  <c r="H887" i="1"/>
  <c r="L886" i="1"/>
  <c r="K886" i="1"/>
  <c r="H886" i="1"/>
  <c r="L885" i="1"/>
  <c r="K885" i="1"/>
  <c r="H885" i="1"/>
  <c r="L879" i="1"/>
  <c r="K879" i="1"/>
  <c r="H879" i="1"/>
  <c r="L878" i="1"/>
  <c r="K878" i="1"/>
  <c r="H878" i="1"/>
  <c r="L877" i="1"/>
  <c r="K877" i="1"/>
  <c r="H877" i="1"/>
  <c r="L876" i="1"/>
  <c r="K876" i="1"/>
  <c r="H876" i="1"/>
  <c r="L875" i="1"/>
  <c r="K875" i="1"/>
  <c r="H875" i="1"/>
  <c r="L874" i="1"/>
  <c r="K874" i="1"/>
  <c r="H874" i="1"/>
  <c r="L873" i="1"/>
  <c r="K873" i="1"/>
  <c r="H873" i="1"/>
  <c r="L872" i="1"/>
  <c r="K872" i="1"/>
  <c r="H872" i="1"/>
  <c r="L871" i="1"/>
  <c r="K871" i="1"/>
  <c r="H871" i="1"/>
  <c r="L865" i="1"/>
  <c r="K865" i="1"/>
  <c r="H865" i="1"/>
  <c r="L864" i="1"/>
  <c r="K864" i="1"/>
  <c r="H864" i="1"/>
  <c r="L863" i="1"/>
  <c r="K863" i="1"/>
  <c r="H863" i="1"/>
  <c r="L862" i="1"/>
  <c r="K862" i="1"/>
  <c r="H862" i="1"/>
  <c r="L861" i="1"/>
  <c r="K861" i="1"/>
  <c r="H861" i="1"/>
  <c r="L855" i="1"/>
  <c r="K855" i="1"/>
  <c r="H855" i="1"/>
  <c r="L854" i="1"/>
  <c r="K854" i="1"/>
  <c r="H854" i="1"/>
  <c r="L853" i="1"/>
  <c r="K853" i="1"/>
  <c r="H853" i="1"/>
  <c r="L852" i="1"/>
  <c r="K852" i="1"/>
  <c r="H852" i="1"/>
  <c r="L851" i="1"/>
  <c r="K851" i="1"/>
  <c r="H851" i="1"/>
  <c r="L850" i="1"/>
  <c r="K850" i="1"/>
  <c r="H850" i="1"/>
  <c r="L849" i="1"/>
  <c r="K849" i="1"/>
  <c r="H849" i="1"/>
  <c r="L848" i="1"/>
  <c r="K848" i="1"/>
  <c r="H848" i="1"/>
  <c r="L847" i="1"/>
  <c r="K847" i="1"/>
  <c r="H847" i="1"/>
  <c r="L846" i="1"/>
  <c r="K846" i="1"/>
  <c r="H846" i="1"/>
  <c r="L845" i="1"/>
  <c r="K845" i="1"/>
  <c r="H845" i="1"/>
  <c r="L839" i="1"/>
  <c r="K839" i="1"/>
  <c r="H839" i="1"/>
  <c r="L838" i="1"/>
  <c r="K838" i="1"/>
  <c r="H838" i="1"/>
  <c r="L837" i="1"/>
  <c r="K837" i="1"/>
  <c r="H837" i="1"/>
  <c r="L836" i="1"/>
  <c r="K836" i="1"/>
  <c r="H836" i="1"/>
  <c r="L835" i="1"/>
  <c r="K835" i="1"/>
  <c r="H835" i="1"/>
  <c r="L834" i="1"/>
  <c r="K834" i="1"/>
  <c r="H834" i="1"/>
  <c r="L833" i="1"/>
  <c r="K833" i="1"/>
  <c r="H833" i="1"/>
  <c r="L832" i="1"/>
  <c r="K832" i="1"/>
  <c r="H832" i="1"/>
  <c r="L831" i="1"/>
  <c r="K831" i="1"/>
  <c r="H831" i="1"/>
  <c r="L830" i="1"/>
  <c r="K830" i="1"/>
  <c r="H830" i="1"/>
  <c r="L829" i="1"/>
  <c r="K829" i="1"/>
  <c r="H829" i="1"/>
  <c r="L828" i="1"/>
  <c r="K828" i="1"/>
  <c r="H828" i="1"/>
  <c r="L827" i="1"/>
  <c r="K827" i="1"/>
  <c r="H827" i="1"/>
  <c r="L826" i="1"/>
  <c r="K826" i="1"/>
  <c r="H826" i="1"/>
  <c r="L820" i="1"/>
  <c r="K820" i="1"/>
  <c r="H820" i="1"/>
  <c r="L819" i="1"/>
  <c r="K819" i="1"/>
  <c r="H819" i="1"/>
  <c r="L818" i="1"/>
  <c r="K818" i="1"/>
  <c r="H818" i="1"/>
  <c r="L817" i="1"/>
  <c r="K817" i="1"/>
  <c r="H817" i="1"/>
  <c r="L816" i="1"/>
  <c r="K816" i="1"/>
  <c r="H816" i="1"/>
  <c r="L815" i="1"/>
  <c r="K815" i="1"/>
  <c r="H815" i="1"/>
  <c r="L814" i="1"/>
  <c r="K814" i="1"/>
  <c r="H814" i="1"/>
  <c r="L808" i="1"/>
  <c r="K808" i="1"/>
  <c r="H808" i="1"/>
  <c r="L807" i="1"/>
  <c r="K807" i="1"/>
  <c r="H807" i="1"/>
  <c r="L806" i="1"/>
  <c r="K806" i="1"/>
  <c r="H806" i="1"/>
  <c r="L805" i="1"/>
  <c r="K805" i="1"/>
  <c r="H805" i="1"/>
  <c r="L804" i="1"/>
  <c r="K804" i="1"/>
  <c r="H804" i="1"/>
  <c r="L803" i="1"/>
  <c r="K803" i="1"/>
  <c r="H803" i="1"/>
  <c r="L797" i="1"/>
  <c r="K797" i="1"/>
  <c r="H797" i="1"/>
  <c r="L796" i="1"/>
  <c r="K796" i="1"/>
  <c r="H796" i="1"/>
  <c r="L795" i="1"/>
  <c r="K795" i="1"/>
  <c r="H795" i="1"/>
  <c r="L794" i="1"/>
  <c r="K794" i="1"/>
  <c r="H794" i="1"/>
  <c r="L793" i="1"/>
  <c r="K793" i="1"/>
  <c r="H793" i="1"/>
  <c r="L792" i="1"/>
  <c r="K792" i="1"/>
  <c r="H792" i="1"/>
  <c r="L786" i="1"/>
  <c r="K786" i="1"/>
  <c r="H786" i="1"/>
  <c r="L780" i="1"/>
  <c r="K780" i="1"/>
  <c r="H780" i="1"/>
  <c r="L779" i="1"/>
  <c r="K779" i="1"/>
  <c r="H779" i="1"/>
  <c r="L778" i="1"/>
  <c r="K778" i="1"/>
  <c r="H778" i="1"/>
  <c r="L777" i="1"/>
  <c r="K777" i="1"/>
  <c r="H777" i="1"/>
  <c r="L776" i="1"/>
  <c r="K776" i="1"/>
  <c r="H776" i="1"/>
  <c r="L775" i="1"/>
  <c r="K775" i="1"/>
  <c r="H775" i="1"/>
  <c r="L774" i="1"/>
  <c r="K774" i="1"/>
  <c r="H774" i="1"/>
  <c r="L773" i="1"/>
  <c r="K773" i="1"/>
  <c r="H773" i="1"/>
  <c r="L767" i="1"/>
  <c r="K767" i="1"/>
  <c r="H767" i="1"/>
  <c r="L766" i="1"/>
  <c r="K766" i="1"/>
  <c r="H766" i="1"/>
  <c r="L765" i="1"/>
  <c r="K765" i="1"/>
  <c r="H765" i="1"/>
  <c r="L764" i="1"/>
  <c r="K764" i="1"/>
  <c r="H764" i="1"/>
  <c r="L763" i="1"/>
  <c r="K763" i="1"/>
  <c r="H763" i="1"/>
  <c r="L762" i="1"/>
  <c r="K762" i="1"/>
  <c r="H762" i="1"/>
  <c r="L761" i="1"/>
  <c r="K761" i="1"/>
  <c r="H761" i="1"/>
  <c r="L760" i="1"/>
  <c r="K760" i="1"/>
  <c r="H760" i="1"/>
  <c r="L759" i="1"/>
  <c r="K759" i="1"/>
  <c r="H759" i="1"/>
  <c r="L758" i="1"/>
  <c r="K758" i="1"/>
  <c r="H758" i="1"/>
  <c r="L757" i="1"/>
  <c r="K757" i="1"/>
  <c r="H757" i="1"/>
  <c r="L751" i="1"/>
  <c r="K751" i="1"/>
  <c r="H751" i="1"/>
  <c r="L750" i="1"/>
  <c r="K750" i="1"/>
  <c r="H750" i="1"/>
  <c r="L749" i="1"/>
  <c r="K749" i="1"/>
  <c r="H749" i="1"/>
  <c r="L748" i="1"/>
  <c r="K748" i="1"/>
  <c r="H748" i="1"/>
  <c r="L747" i="1"/>
  <c r="K747" i="1"/>
  <c r="H747" i="1"/>
  <c r="L746" i="1"/>
  <c r="K746" i="1"/>
  <c r="H746" i="1"/>
  <c r="L745" i="1"/>
  <c r="K745" i="1"/>
  <c r="H745" i="1"/>
  <c r="L744" i="1"/>
  <c r="K744" i="1"/>
  <c r="H744" i="1"/>
  <c r="L743" i="1"/>
  <c r="K743" i="1"/>
  <c r="H743" i="1"/>
  <c r="L742" i="1"/>
  <c r="K742" i="1"/>
  <c r="H742" i="1"/>
  <c r="L741" i="1"/>
  <c r="K741" i="1"/>
  <c r="H741" i="1"/>
  <c r="L740" i="1"/>
  <c r="K740" i="1"/>
  <c r="H740" i="1"/>
  <c r="L739" i="1"/>
  <c r="K739" i="1"/>
  <c r="H739" i="1"/>
  <c r="L738" i="1"/>
  <c r="K738" i="1"/>
  <c r="H738" i="1"/>
  <c r="L737" i="1"/>
  <c r="K737" i="1"/>
  <c r="H737" i="1"/>
  <c r="L731" i="1"/>
  <c r="K731" i="1"/>
  <c r="H731" i="1"/>
  <c r="L730" i="1"/>
  <c r="K730" i="1"/>
  <c r="H730" i="1"/>
  <c r="L729" i="1"/>
  <c r="K729" i="1"/>
  <c r="H729" i="1"/>
  <c r="L728" i="1"/>
  <c r="K728" i="1"/>
  <c r="H728" i="1"/>
  <c r="L727" i="1"/>
  <c r="K727" i="1"/>
  <c r="H727" i="1"/>
  <c r="L726" i="1"/>
  <c r="K726" i="1"/>
  <c r="H726" i="1"/>
  <c r="L725" i="1"/>
  <c r="K725" i="1"/>
  <c r="H725" i="1"/>
  <c r="L724" i="1"/>
  <c r="K724" i="1"/>
  <c r="H724" i="1"/>
  <c r="L723" i="1"/>
  <c r="K723" i="1"/>
  <c r="H723" i="1"/>
  <c r="L722" i="1"/>
  <c r="K722" i="1"/>
  <c r="H722" i="1"/>
  <c r="L721" i="1"/>
  <c r="K721" i="1"/>
  <c r="H721" i="1"/>
  <c r="L720" i="1"/>
  <c r="K720" i="1"/>
  <c r="H720" i="1"/>
  <c r="L714" i="1"/>
  <c r="K714" i="1"/>
  <c r="H714" i="1"/>
  <c r="L713" i="1"/>
  <c r="K713" i="1"/>
  <c r="H713" i="1"/>
  <c r="L712" i="1"/>
  <c r="K712" i="1"/>
  <c r="H712" i="1"/>
  <c r="L711" i="1"/>
  <c r="K711" i="1"/>
  <c r="H711" i="1"/>
  <c r="L710" i="1"/>
  <c r="K710" i="1"/>
  <c r="H710" i="1"/>
  <c r="L709" i="1"/>
  <c r="K709" i="1"/>
  <c r="H709" i="1"/>
  <c r="L708" i="1"/>
  <c r="K708" i="1"/>
  <c r="H708" i="1"/>
  <c r="L707" i="1"/>
  <c r="K707" i="1"/>
  <c r="H707" i="1"/>
  <c r="L706" i="1"/>
  <c r="K706" i="1"/>
  <c r="H706" i="1"/>
  <c r="L705" i="1"/>
  <c r="K705" i="1"/>
  <c r="H705" i="1"/>
  <c r="L704" i="1"/>
  <c r="K704" i="1"/>
  <c r="H704" i="1"/>
  <c r="L703" i="1"/>
  <c r="K703" i="1"/>
  <c r="H703" i="1"/>
  <c r="L702" i="1"/>
  <c r="K702" i="1"/>
  <c r="H702" i="1"/>
  <c r="L701" i="1"/>
  <c r="K701" i="1"/>
  <c r="H701" i="1"/>
  <c r="L700" i="1"/>
  <c r="K700" i="1"/>
  <c r="H700" i="1"/>
  <c r="L699" i="1"/>
  <c r="K699" i="1"/>
  <c r="H699" i="1"/>
  <c r="L693" i="1"/>
  <c r="K693" i="1"/>
  <c r="H693" i="1"/>
  <c r="L692" i="1"/>
  <c r="K692" i="1"/>
  <c r="H692" i="1"/>
  <c r="L691" i="1"/>
  <c r="K691" i="1"/>
  <c r="H691" i="1"/>
  <c r="L690" i="1"/>
  <c r="K690" i="1"/>
  <c r="H690" i="1"/>
  <c r="L689" i="1"/>
  <c r="K689" i="1"/>
  <c r="H689" i="1"/>
  <c r="L688" i="1"/>
  <c r="K688" i="1"/>
  <c r="H688" i="1"/>
  <c r="L682" i="1"/>
  <c r="K682" i="1"/>
  <c r="H682" i="1"/>
  <c r="L681" i="1"/>
  <c r="K681" i="1"/>
  <c r="H681" i="1"/>
  <c r="L680" i="1"/>
  <c r="K680" i="1"/>
  <c r="H680" i="1"/>
  <c r="L679" i="1"/>
  <c r="K679" i="1"/>
  <c r="H679" i="1"/>
  <c r="L678" i="1"/>
  <c r="K678" i="1"/>
  <c r="H678" i="1"/>
  <c r="L672" i="1"/>
  <c r="K672" i="1"/>
  <c r="H672" i="1"/>
  <c r="L671" i="1"/>
  <c r="K671" i="1"/>
  <c r="H671" i="1"/>
  <c r="L670" i="1"/>
  <c r="K670" i="1"/>
  <c r="H670" i="1"/>
  <c r="L669" i="1"/>
  <c r="K669" i="1"/>
  <c r="H669" i="1"/>
  <c r="L668" i="1"/>
  <c r="K668" i="1"/>
  <c r="H668" i="1"/>
  <c r="L667" i="1"/>
  <c r="K667" i="1"/>
  <c r="H667" i="1"/>
  <c r="L666" i="1"/>
  <c r="K666" i="1"/>
  <c r="H666" i="1"/>
  <c r="L665" i="1"/>
  <c r="K665" i="1"/>
  <c r="H665" i="1"/>
  <c r="L664" i="1"/>
  <c r="K664" i="1"/>
  <c r="H664" i="1"/>
  <c r="L663" i="1"/>
  <c r="K663" i="1"/>
  <c r="H663" i="1"/>
  <c r="L657" i="1"/>
  <c r="K657" i="1"/>
  <c r="H657" i="1"/>
  <c r="L656" i="1"/>
  <c r="K656" i="1"/>
  <c r="H656" i="1"/>
  <c r="L655" i="1"/>
  <c r="K655" i="1"/>
  <c r="H655" i="1"/>
  <c r="L654" i="1"/>
  <c r="K654" i="1"/>
  <c r="H654" i="1"/>
  <c r="L653" i="1"/>
  <c r="K653" i="1"/>
  <c r="H653" i="1"/>
  <c r="L652" i="1"/>
  <c r="K652" i="1"/>
  <c r="H652" i="1"/>
  <c r="L651" i="1"/>
  <c r="K651" i="1"/>
  <c r="H651" i="1"/>
  <c r="L650" i="1"/>
  <c r="K650" i="1"/>
  <c r="H650" i="1"/>
  <c r="L649" i="1"/>
  <c r="K649" i="1"/>
  <c r="H649" i="1"/>
  <c r="L643" i="1"/>
  <c r="K643" i="1"/>
  <c r="H643" i="1"/>
  <c r="L642" i="1"/>
  <c r="K642" i="1"/>
  <c r="H642" i="1"/>
  <c r="L641" i="1"/>
  <c r="K641" i="1"/>
  <c r="H641" i="1"/>
  <c r="L640" i="1"/>
  <c r="K640" i="1"/>
  <c r="H640" i="1"/>
  <c r="L639" i="1"/>
  <c r="K639" i="1"/>
  <c r="H639" i="1"/>
  <c r="L638" i="1"/>
  <c r="K638" i="1"/>
  <c r="H638" i="1"/>
  <c r="L637" i="1"/>
  <c r="K637" i="1"/>
  <c r="H637" i="1"/>
  <c r="L636" i="1"/>
  <c r="K636" i="1"/>
  <c r="H636" i="1"/>
  <c r="L635" i="1"/>
  <c r="K635" i="1"/>
  <c r="H635" i="1"/>
  <c r="L634" i="1"/>
  <c r="K634" i="1"/>
  <c r="H634" i="1"/>
  <c r="L633" i="1"/>
  <c r="K633" i="1"/>
  <c r="H633" i="1"/>
  <c r="L632" i="1"/>
  <c r="K632" i="1"/>
  <c r="H632" i="1"/>
  <c r="L626" i="1"/>
  <c r="K626" i="1"/>
  <c r="H626" i="1"/>
  <c r="L625" i="1"/>
  <c r="K625" i="1"/>
  <c r="H625" i="1"/>
  <c r="L624" i="1"/>
  <c r="K624" i="1"/>
  <c r="H624" i="1"/>
  <c r="L623" i="1"/>
  <c r="K623" i="1"/>
  <c r="H623" i="1"/>
  <c r="L622" i="1"/>
  <c r="K622" i="1"/>
  <c r="H622" i="1"/>
  <c r="L621" i="1"/>
  <c r="K621" i="1"/>
  <c r="H621" i="1"/>
  <c r="L615" i="1"/>
  <c r="K615" i="1"/>
  <c r="H615" i="1"/>
  <c r="L614" i="1"/>
  <c r="K614" i="1"/>
  <c r="H614" i="1"/>
  <c r="L613" i="1"/>
  <c r="K613" i="1"/>
  <c r="H613" i="1"/>
  <c r="L612" i="1"/>
  <c r="K612" i="1"/>
  <c r="H612" i="1"/>
  <c r="L611" i="1"/>
  <c r="K611" i="1"/>
  <c r="H611" i="1"/>
  <c r="L610" i="1"/>
  <c r="K610" i="1"/>
  <c r="H610" i="1"/>
  <c r="L604" i="1"/>
  <c r="K604" i="1"/>
  <c r="H604" i="1"/>
  <c r="L603" i="1"/>
  <c r="K603" i="1"/>
  <c r="H603" i="1"/>
  <c r="L602" i="1"/>
  <c r="K602" i="1"/>
  <c r="H602" i="1"/>
  <c r="L601" i="1"/>
  <c r="K601" i="1"/>
  <c r="H601" i="1"/>
  <c r="L600" i="1"/>
  <c r="K600" i="1"/>
  <c r="H600" i="1"/>
  <c r="L599" i="1"/>
  <c r="K599" i="1"/>
  <c r="H599" i="1"/>
  <c r="L598" i="1"/>
  <c r="K598" i="1"/>
  <c r="H598" i="1"/>
  <c r="L597" i="1"/>
  <c r="K597" i="1"/>
  <c r="H597" i="1"/>
  <c r="L596" i="1"/>
  <c r="K596" i="1"/>
  <c r="H596" i="1"/>
  <c r="L595" i="1"/>
  <c r="K595" i="1"/>
  <c r="H595" i="1"/>
  <c r="L594" i="1"/>
  <c r="K594" i="1"/>
  <c r="H594" i="1"/>
  <c r="L593" i="1"/>
  <c r="K593" i="1"/>
  <c r="H593" i="1"/>
  <c r="L592" i="1"/>
  <c r="K592" i="1"/>
  <c r="H592" i="1"/>
  <c r="L591" i="1"/>
  <c r="K591" i="1"/>
  <c r="H591" i="1"/>
  <c r="L590" i="1"/>
  <c r="K590" i="1"/>
  <c r="H590" i="1"/>
  <c r="L589" i="1"/>
  <c r="K589" i="1"/>
  <c r="H589" i="1"/>
  <c r="L583" i="1"/>
  <c r="K583" i="1"/>
  <c r="H583" i="1"/>
  <c r="L582" i="1"/>
  <c r="K582" i="1"/>
  <c r="H582" i="1"/>
  <c r="L581" i="1"/>
  <c r="K581" i="1"/>
  <c r="H581" i="1"/>
  <c r="L580" i="1"/>
  <c r="K580" i="1"/>
  <c r="H580" i="1"/>
  <c r="L579" i="1"/>
  <c r="K579" i="1"/>
  <c r="H579" i="1"/>
  <c r="L578" i="1"/>
  <c r="K578" i="1"/>
  <c r="H578" i="1"/>
  <c r="L577" i="1"/>
  <c r="K577" i="1"/>
  <c r="H577" i="1"/>
  <c r="L576" i="1"/>
  <c r="K576" i="1"/>
  <c r="H576" i="1"/>
  <c r="L575" i="1"/>
  <c r="K575" i="1"/>
  <c r="H575" i="1"/>
  <c r="L574" i="1"/>
  <c r="K574" i="1"/>
  <c r="H574" i="1"/>
  <c r="L568" i="1"/>
  <c r="K568" i="1"/>
  <c r="H568" i="1"/>
  <c r="L567" i="1"/>
  <c r="K567" i="1"/>
  <c r="H567" i="1"/>
  <c r="L566" i="1"/>
  <c r="K566" i="1"/>
  <c r="H566" i="1"/>
  <c r="L565" i="1"/>
  <c r="K565" i="1"/>
  <c r="H565" i="1"/>
  <c r="L564" i="1"/>
  <c r="K564" i="1"/>
  <c r="H564" i="1"/>
  <c r="L563" i="1"/>
  <c r="K563" i="1"/>
  <c r="H563" i="1"/>
  <c r="L562" i="1"/>
  <c r="K562" i="1"/>
  <c r="H562" i="1"/>
  <c r="L561" i="1"/>
  <c r="K561" i="1"/>
  <c r="H561" i="1"/>
  <c r="L560" i="1"/>
  <c r="K560" i="1"/>
  <c r="H560" i="1"/>
  <c r="L559" i="1"/>
  <c r="K559" i="1"/>
  <c r="H559" i="1"/>
  <c r="L558" i="1"/>
  <c r="K558" i="1"/>
  <c r="H558" i="1"/>
  <c r="L557" i="1"/>
  <c r="K557" i="1"/>
  <c r="H557" i="1"/>
  <c r="L556" i="1"/>
  <c r="K556" i="1"/>
  <c r="H556" i="1"/>
  <c r="L555" i="1"/>
  <c r="K555" i="1"/>
  <c r="H555" i="1"/>
  <c r="L554" i="1"/>
  <c r="K554" i="1"/>
  <c r="H554" i="1"/>
  <c r="L548" i="1"/>
  <c r="K548" i="1"/>
  <c r="H548" i="1"/>
  <c r="L547" i="1"/>
  <c r="K547" i="1"/>
  <c r="H547" i="1"/>
  <c r="L546" i="1"/>
  <c r="K546" i="1"/>
  <c r="H546" i="1"/>
  <c r="L545" i="1"/>
  <c r="K545" i="1"/>
  <c r="H545" i="1"/>
  <c r="L544" i="1"/>
  <c r="K544" i="1"/>
  <c r="H544" i="1"/>
  <c r="L543" i="1"/>
  <c r="K543" i="1"/>
  <c r="H543" i="1"/>
  <c r="L542" i="1"/>
  <c r="K542" i="1"/>
  <c r="H542" i="1"/>
  <c r="L541" i="1"/>
  <c r="K541" i="1"/>
  <c r="H541" i="1"/>
  <c r="L540" i="1"/>
  <c r="K540" i="1"/>
  <c r="H540" i="1"/>
  <c r="L539" i="1"/>
  <c r="K539" i="1"/>
  <c r="H539" i="1"/>
  <c r="L538" i="1"/>
  <c r="K538" i="1"/>
  <c r="H538" i="1"/>
  <c r="L537" i="1"/>
  <c r="K537" i="1"/>
  <c r="H537" i="1"/>
  <c r="L536" i="1"/>
  <c r="K536" i="1"/>
  <c r="H536" i="1"/>
  <c r="L535" i="1"/>
  <c r="K535" i="1"/>
  <c r="H535" i="1"/>
  <c r="L534" i="1"/>
  <c r="K534" i="1"/>
  <c r="H534" i="1"/>
  <c r="L533" i="1"/>
  <c r="K533" i="1"/>
  <c r="H533" i="1"/>
  <c r="L527" i="1"/>
  <c r="K527" i="1"/>
  <c r="H527" i="1"/>
  <c r="L526" i="1"/>
  <c r="K526" i="1"/>
  <c r="H526" i="1"/>
  <c r="L525" i="1"/>
  <c r="K525" i="1"/>
  <c r="H525" i="1"/>
  <c r="L524" i="1"/>
  <c r="K524" i="1"/>
  <c r="H524" i="1"/>
  <c r="L523" i="1"/>
  <c r="K523" i="1"/>
  <c r="H523" i="1"/>
  <c r="L522" i="1"/>
  <c r="K522" i="1"/>
  <c r="H522" i="1"/>
  <c r="L521" i="1"/>
  <c r="K521" i="1"/>
  <c r="H521" i="1"/>
  <c r="L520" i="1"/>
  <c r="K520" i="1"/>
  <c r="H520" i="1"/>
  <c r="L519" i="1"/>
  <c r="K519" i="1"/>
  <c r="H519" i="1"/>
  <c r="L518" i="1"/>
  <c r="K518" i="1"/>
  <c r="H518" i="1"/>
  <c r="L517" i="1"/>
  <c r="K517" i="1"/>
  <c r="H517" i="1"/>
  <c r="L516" i="1"/>
  <c r="K516" i="1"/>
  <c r="H516" i="1"/>
  <c r="L515" i="1"/>
  <c r="K515" i="1"/>
  <c r="H515" i="1"/>
  <c r="L514" i="1"/>
  <c r="K514" i="1"/>
  <c r="H514" i="1"/>
  <c r="L508" i="1"/>
  <c r="K508" i="1"/>
  <c r="H508" i="1"/>
  <c r="L507" i="1"/>
  <c r="K507" i="1"/>
  <c r="H507" i="1"/>
  <c r="L506" i="1"/>
  <c r="K506" i="1"/>
  <c r="H506" i="1"/>
  <c r="L505" i="1"/>
  <c r="K505" i="1"/>
  <c r="H505" i="1"/>
  <c r="L504" i="1"/>
  <c r="K504" i="1"/>
  <c r="H504" i="1"/>
  <c r="L503" i="1"/>
  <c r="K503" i="1"/>
  <c r="H503" i="1"/>
  <c r="L502" i="1"/>
  <c r="K502" i="1"/>
  <c r="H502" i="1"/>
  <c r="L501" i="1"/>
  <c r="K501" i="1"/>
  <c r="H501" i="1"/>
  <c r="L500" i="1"/>
  <c r="K500" i="1"/>
  <c r="H500" i="1"/>
  <c r="L499" i="1"/>
  <c r="K499" i="1"/>
  <c r="H499" i="1"/>
  <c r="L498" i="1"/>
  <c r="K498" i="1"/>
  <c r="H498" i="1"/>
  <c r="L492" i="1"/>
  <c r="K492" i="1"/>
  <c r="H492" i="1"/>
  <c r="L491" i="1"/>
  <c r="K491" i="1"/>
  <c r="H491" i="1"/>
  <c r="L490" i="1"/>
  <c r="K490" i="1"/>
  <c r="H490" i="1"/>
  <c r="L489" i="1"/>
  <c r="K489" i="1"/>
  <c r="H489" i="1"/>
  <c r="L488" i="1"/>
  <c r="K488" i="1"/>
  <c r="H488" i="1"/>
  <c r="L487" i="1"/>
  <c r="K487" i="1"/>
  <c r="H487" i="1"/>
  <c r="L486" i="1"/>
  <c r="K486" i="1"/>
  <c r="H486" i="1"/>
  <c r="L485" i="1"/>
  <c r="K485" i="1"/>
  <c r="H485" i="1"/>
  <c r="L484" i="1"/>
  <c r="K484" i="1"/>
  <c r="H484" i="1"/>
  <c r="L483" i="1"/>
  <c r="K483" i="1"/>
  <c r="H483" i="1"/>
  <c r="L482" i="1"/>
  <c r="K482" i="1"/>
  <c r="H482" i="1"/>
  <c r="L481" i="1"/>
  <c r="K481" i="1"/>
  <c r="H481" i="1"/>
  <c r="L480" i="1"/>
  <c r="K480" i="1"/>
  <c r="H480" i="1"/>
  <c r="L479" i="1"/>
  <c r="K479" i="1"/>
  <c r="H479" i="1"/>
  <c r="L478" i="1"/>
  <c r="K478" i="1"/>
  <c r="H478" i="1"/>
  <c r="L472" i="1"/>
  <c r="K472" i="1"/>
  <c r="H472" i="1"/>
  <c r="L471" i="1"/>
  <c r="K471" i="1"/>
  <c r="H471" i="1"/>
  <c r="L470" i="1"/>
  <c r="K470" i="1"/>
  <c r="H470" i="1"/>
  <c r="L469" i="1"/>
  <c r="K469" i="1"/>
  <c r="H469" i="1"/>
  <c r="L468" i="1"/>
  <c r="K468" i="1"/>
  <c r="H468" i="1"/>
  <c r="L467" i="1"/>
  <c r="K467" i="1"/>
  <c r="H467" i="1"/>
  <c r="L466" i="1"/>
  <c r="K466" i="1"/>
  <c r="H466" i="1"/>
  <c r="L465" i="1"/>
  <c r="K465" i="1"/>
  <c r="H465" i="1"/>
  <c r="L464" i="1"/>
  <c r="K464" i="1"/>
  <c r="H464" i="1"/>
  <c r="L463" i="1"/>
  <c r="K463" i="1"/>
  <c r="H463" i="1"/>
  <c r="L462" i="1"/>
  <c r="K462" i="1"/>
  <c r="H462" i="1"/>
  <c r="L461" i="1"/>
  <c r="K461" i="1"/>
  <c r="H461" i="1"/>
  <c r="L460" i="1"/>
  <c r="K460" i="1"/>
  <c r="H460" i="1"/>
  <c r="L459" i="1"/>
  <c r="K459" i="1"/>
  <c r="H459" i="1"/>
  <c r="L458" i="1"/>
  <c r="K458" i="1"/>
  <c r="H458" i="1"/>
  <c r="L457" i="1"/>
  <c r="K457" i="1"/>
  <c r="H457" i="1"/>
  <c r="L456" i="1"/>
  <c r="K456" i="1"/>
  <c r="H456" i="1"/>
  <c r="L455" i="1"/>
  <c r="K455" i="1"/>
  <c r="H455" i="1"/>
  <c r="L454" i="1"/>
  <c r="K454" i="1"/>
  <c r="H454" i="1"/>
  <c r="L453" i="1"/>
  <c r="K453" i="1"/>
  <c r="H453" i="1"/>
  <c r="L452" i="1"/>
  <c r="K452" i="1"/>
  <c r="H452" i="1"/>
  <c r="L451" i="1"/>
  <c r="K451" i="1"/>
  <c r="H451" i="1"/>
  <c r="L445" i="1"/>
  <c r="K445" i="1"/>
  <c r="H445" i="1"/>
  <c r="L444" i="1"/>
  <c r="K444" i="1"/>
  <c r="H444" i="1"/>
  <c r="L443" i="1"/>
  <c r="K443" i="1"/>
  <c r="H443" i="1"/>
  <c r="L442" i="1"/>
  <c r="K442" i="1"/>
  <c r="H442" i="1"/>
  <c r="L441" i="1"/>
  <c r="K441" i="1"/>
  <c r="H441" i="1"/>
  <c r="L440" i="1"/>
  <c r="K440" i="1"/>
  <c r="H440" i="1"/>
  <c r="L439" i="1"/>
  <c r="K439" i="1"/>
  <c r="H439" i="1"/>
  <c r="L438" i="1"/>
  <c r="K438" i="1"/>
  <c r="H438" i="1"/>
  <c r="L437" i="1"/>
  <c r="K437" i="1"/>
  <c r="H437" i="1"/>
  <c r="L436" i="1"/>
  <c r="K436" i="1"/>
  <c r="H436" i="1"/>
  <c r="L435" i="1"/>
  <c r="K435" i="1"/>
  <c r="H435" i="1"/>
  <c r="L434" i="1"/>
  <c r="K434" i="1"/>
  <c r="H434" i="1"/>
  <c r="L433" i="1"/>
  <c r="K433" i="1"/>
  <c r="H433" i="1"/>
  <c r="L432" i="1"/>
  <c r="K432" i="1"/>
  <c r="H432" i="1"/>
  <c r="L431" i="1"/>
  <c r="K431" i="1"/>
  <c r="H431" i="1"/>
  <c r="L425" i="1"/>
  <c r="K425" i="1"/>
  <c r="H425" i="1"/>
  <c r="L424" i="1"/>
  <c r="K424" i="1"/>
  <c r="H424" i="1"/>
  <c r="L423" i="1"/>
  <c r="K423" i="1"/>
  <c r="H423" i="1"/>
  <c r="L422" i="1"/>
  <c r="K422" i="1"/>
  <c r="H422" i="1"/>
  <c r="L421" i="1"/>
  <c r="K421" i="1"/>
  <c r="H421" i="1"/>
  <c r="L420" i="1"/>
  <c r="K420" i="1"/>
  <c r="H420" i="1"/>
  <c r="L419" i="1"/>
  <c r="K419" i="1"/>
  <c r="H419" i="1"/>
  <c r="L413" i="1"/>
  <c r="K413" i="1"/>
  <c r="H413" i="1"/>
  <c r="L412" i="1"/>
  <c r="K412" i="1"/>
  <c r="H412" i="1"/>
  <c r="L411" i="1"/>
  <c r="K411" i="1"/>
  <c r="H411" i="1"/>
  <c r="L410" i="1"/>
  <c r="K410" i="1"/>
  <c r="H410" i="1"/>
  <c r="L409" i="1"/>
  <c r="K409" i="1"/>
  <c r="H409" i="1"/>
  <c r="L408" i="1"/>
  <c r="K408" i="1"/>
  <c r="H408" i="1"/>
  <c r="L407" i="1"/>
  <c r="K407" i="1"/>
  <c r="H407" i="1"/>
  <c r="L406" i="1"/>
  <c r="K406" i="1"/>
  <c r="H406" i="1"/>
  <c r="L405" i="1"/>
  <c r="K405" i="1"/>
  <c r="H405" i="1"/>
  <c r="L404" i="1"/>
  <c r="K404" i="1"/>
  <c r="H404" i="1"/>
  <c r="L403" i="1"/>
  <c r="K403" i="1"/>
  <c r="H403" i="1"/>
  <c r="L402" i="1"/>
  <c r="K402" i="1"/>
  <c r="H402" i="1"/>
  <c r="L401" i="1"/>
  <c r="K401" i="1"/>
  <c r="H401" i="1"/>
  <c r="L400" i="1"/>
  <c r="K400" i="1"/>
  <c r="H400" i="1"/>
  <c r="L399" i="1"/>
  <c r="K399" i="1"/>
  <c r="H399" i="1"/>
  <c r="L398" i="1"/>
  <c r="K398" i="1"/>
  <c r="H398" i="1"/>
  <c r="L397" i="1"/>
  <c r="K397" i="1"/>
  <c r="H397" i="1"/>
  <c r="L396" i="1"/>
  <c r="K396" i="1"/>
  <c r="H396" i="1"/>
  <c r="L395" i="1"/>
  <c r="K395" i="1"/>
  <c r="H395" i="1"/>
  <c r="L394" i="1"/>
  <c r="K394" i="1"/>
  <c r="H394" i="1"/>
  <c r="L388" i="1"/>
  <c r="K388" i="1"/>
  <c r="H388" i="1"/>
  <c r="L387" i="1"/>
  <c r="K387" i="1"/>
  <c r="H387" i="1"/>
  <c r="L386" i="1"/>
  <c r="K386" i="1"/>
  <c r="H386" i="1"/>
  <c r="L385" i="1"/>
  <c r="K385" i="1"/>
  <c r="H385" i="1"/>
  <c r="L384" i="1"/>
  <c r="K384" i="1"/>
  <c r="H384" i="1"/>
  <c r="L378" i="1"/>
  <c r="K378" i="1"/>
  <c r="H378" i="1"/>
  <c r="L377" i="1"/>
  <c r="K377" i="1"/>
  <c r="H377" i="1"/>
  <c r="L376" i="1"/>
  <c r="K376" i="1"/>
  <c r="H376" i="1"/>
  <c r="L370" i="1"/>
  <c r="K370" i="1"/>
  <c r="H370" i="1"/>
  <c r="L369" i="1"/>
  <c r="K369" i="1"/>
  <c r="H369" i="1"/>
  <c r="L368" i="1"/>
  <c r="K368" i="1"/>
  <c r="H368" i="1"/>
  <c r="L367" i="1"/>
  <c r="K367" i="1"/>
  <c r="H367" i="1"/>
  <c r="L366" i="1"/>
  <c r="K366" i="1"/>
  <c r="H366" i="1"/>
  <c r="L365" i="1"/>
  <c r="K365" i="1"/>
  <c r="H365" i="1"/>
  <c r="L364" i="1"/>
  <c r="K364" i="1"/>
  <c r="H364" i="1"/>
  <c r="L363" i="1"/>
  <c r="K363" i="1"/>
  <c r="H363" i="1"/>
  <c r="L362" i="1"/>
  <c r="K362" i="1"/>
  <c r="H362" i="1"/>
  <c r="L361" i="1"/>
  <c r="K361" i="1"/>
  <c r="H361" i="1"/>
  <c r="L360" i="1"/>
  <c r="K360" i="1"/>
  <c r="H360" i="1"/>
  <c r="L359" i="1"/>
  <c r="K359" i="1"/>
  <c r="H359" i="1"/>
  <c r="L358" i="1"/>
  <c r="K358" i="1"/>
  <c r="H358" i="1"/>
  <c r="L357" i="1"/>
  <c r="K357" i="1"/>
  <c r="H357" i="1"/>
  <c r="L356" i="1"/>
  <c r="K356" i="1"/>
  <c r="H356" i="1"/>
  <c r="L355" i="1"/>
  <c r="K355" i="1"/>
  <c r="H355" i="1"/>
  <c r="L354" i="1"/>
  <c r="K354" i="1"/>
  <c r="H354" i="1"/>
  <c r="L353" i="1"/>
  <c r="K353" i="1"/>
  <c r="H353" i="1"/>
  <c r="L352" i="1"/>
  <c r="K352" i="1"/>
  <c r="H352" i="1"/>
  <c r="L351" i="1"/>
  <c r="K351" i="1"/>
  <c r="H351" i="1"/>
  <c r="L350" i="1"/>
  <c r="K350" i="1"/>
  <c r="H350" i="1"/>
  <c r="L349" i="1"/>
  <c r="K349" i="1"/>
  <c r="H349" i="1"/>
  <c r="L348" i="1"/>
  <c r="K348" i="1"/>
  <c r="H348" i="1"/>
  <c r="L347" i="1"/>
  <c r="K347" i="1"/>
  <c r="H347" i="1"/>
  <c r="L346" i="1"/>
  <c r="K346" i="1"/>
  <c r="H346" i="1"/>
  <c r="L345" i="1"/>
  <c r="K345" i="1"/>
  <c r="H345" i="1"/>
  <c r="L344" i="1"/>
  <c r="K344" i="1"/>
  <c r="H344" i="1"/>
  <c r="L343" i="1"/>
  <c r="K343" i="1"/>
  <c r="H343" i="1"/>
  <c r="L342" i="1"/>
  <c r="K342" i="1"/>
  <c r="H342" i="1"/>
  <c r="L341" i="1"/>
  <c r="K341" i="1"/>
  <c r="H341" i="1"/>
  <c r="L340" i="1"/>
  <c r="K340" i="1"/>
  <c r="H340" i="1"/>
  <c r="L339" i="1"/>
  <c r="K339" i="1"/>
  <c r="H339" i="1"/>
  <c r="L338" i="1"/>
  <c r="K338" i="1"/>
  <c r="H338" i="1"/>
  <c r="L337" i="1"/>
  <c r="K337" i="1"/>
  <c r="H337" i="1"/>
  <c r="L336" i="1"/>
  <c r="K336" i="1"/>
  <c r="H336" i="1"/>
  <c r="L335" i="1"/>
  <c r="K335" i="1"/>
  <c r="H335" i="1"/>
  <c r="L334" i="1"/>
  <c r="K334" i="1"/>
  <c r="H334" i="1"/>
  <c r="L333" i="1"/>
  <c r="K333" i="1"/>
  <c r="H333" i="1"/>
  <c r="L332" i="1"/>
  <c r="K332" i="1"/>
  <c r="H332" i="1"/>
  <c r="L331" i="1"/>
  <c r="K331" i="1"/>
  <c r="H331" i="1"/>
  <c r="L330" i="1"/>
  <c r="K330" i="1"/>
  <c r="H330" i="1"/>
  <c r="L329" i="1"/>
  <c r="K329" i="1"/>
  <c r="H329" i="1"/>
  <c r="L328" i="1"/>
  <c r="K328" i="1"/>
  <c r="H328" i="1"/>
  <c r="L327" i="1"/>
  <c r="K327" i="1"/>
  <c r="H327" i="1"/>
  <c r="L326" i="1"/>
  <c r="K326" i="1"/>
  <c r="H326" i="1"/>
  <c r="L325" i="1"/>
  <c r="K325" i="1"/>
  <c r="H325" i="1"/>
  <c r="L324" i="1"/>
  <c r="K324" i="1"/>
  <c r="H324" i="1"/>
  <c r="L323" i="1"/>
  <c r="K323" i="1"/>
  <c r="H323" i="1"/>
  <c r="L322" i="1"/>
  <c r="K322" i="1"/>
  <c r="H322" i="1"/>
  <c r="L321" i="1"/>
  <c r="K321" i="1"/>
  <c r="H321" i="1"/>
  <c r="L320" i="1"/>
  <c r="K320" i="1"/>
  <c r="H320" i="1"/>
  <c r="L319" i="1"/>
  <c r="K319" i="1"/>
  <c r="H319" i="1"/>
  <c r="L318" i="1"/>
  <c r="K318" i="1"/>
  <c r="H318" i="1"/>
  <c r="L317" i="1"/>
  <c r="K317" i="1"/>
  <c r="H317" i="1"/>
  <c r="L316" i="1"/>
  <c r="K316" i="1"/>
  <c r="H316" i="1"/>
  <c r="L315" i="1"/>
  <c r="K315" i="1"/>
  <c r="H315" i="1"/>
  <c r="L314" i="1"/>
  <c r="K314" i="1"/>
  <c r="H314" i="1"/>
  <c r="L313" i="1"/>
  <c r="K313" i="1"/>
  <c r="H313" i="1"/>
  <c r="L312" i="1"/>
  <c r="K312" i="1"/>
  <c r="H312" i="1"/>
  <c r="L311" i="1"/>
  <c r="K311" i="1"/>
  <c r="H311" i="1"/>
  <c r="L310" i="1"/>
  <c r="K310" i="1"/>
  <c r="H310" i="1"/>
  <c r="L309" i="1"/>
  <c r="K309" i="1"/>
  <c r="H309" i="1"/>
  <c r="L308" i="1"/>
  <c r="K308" i="1"/>
  <c r="H308" i="1"/>
  <c r="L307" i="1"/>
  <c r="K307" i="1"/>
  <c r="H307" i="1"/>
  <c r="L306" i="1"/>
  <c r="K306" i="1"/>
  <c r="H306" i="1"/>
  <c r="L305" i="1"/>
  <c r="K305" i="1"/>
  <c r="H305" i="1"/>
  <c r="L304" i="1"/>
  <c r="K304" i="1"/>
  <c r="H304" i="1"/>
  <c r="L303" i="1"/>
  <c r="K303" i="1"/>
  <c r="H303" i="1"/>
  <c r="L302" i="1"/>
  <c r="K302" i="1"/>
  <c r="H302" i="1"/>
  <c r="L301" i="1"/>
  <c r="K301" i="1"/>
  <c r="H301" i="1"/>
  <c r="L300" i="1"/>
  <c r="K300" i="1"/>
  <c r="H300" i="1"/>
  <c r="L299" i="1"/>
  <c r="K299" i="1"/>
  <c r="H299" i="1"/>
  <c r="L298" i="1"/>
  <c r="K298" i="1"/>
  <c r="H298" i="1"/>
  <c r="L297" i="1"/>
  <c r="K297" i="1"/>
  <c r="H297" i="1"/>
  <c r="L296" i="1"/>
  <c r="K296" i="1"/>
  <c r="H296" i="1"/>
  <c r="L295" i="1"/>
  <c r="K295" i="1"/>
  <c r="H295" i="1"/>
  <c r="L294" i="1"/>
  <c r="K294" i="1"/>
  <c r="H294" i="1"/>
  <c r="L293" i="1"/>
  <c r="K293" i="1"/>
  <c r="H293" i="1"/>
  <c r="L292" i="1"/>
  <c r="K292" i="1"/>
  <c r="H292" i="1"/>
  <c r="L291" i="1"/>
  <c r="K291" i="1"/>
  <c r="H291" i="1"/>
  <c r="L290" i="1"/>
  <c r="K290" i="1"/>
  <c r="H290" i="1"/>
  <c r="L289" i="1"/>
  <c r="K289" i="1"/>
  <c r="H289" i="1"/>
  <c r="L288" i="1"/>
  <c r="K288" i="1"/>
  <c r="H288" i="1"/>
  <c r="L287" i="1"/>
  <c r="K287" i="1"/>
  <c r="H287" i="1"/>
  <c r="L286" i="1"/>
  <c r="K286" i="1"/>
  <c r="H286" i="1"/>
  <c r="L285" i="1"/>
  <c r="K285" i="1"/>
  <c r="H285" i="1"/>
  <c r="L284" i="1"/>
  <c r="K284" i="1"/>
  <c r="H284" i="1"/>
  <c r="L283" i="1"/>
  <c r="K283" i="1"/>
  <c r="H283" i="1"/>
  <c r="L282" i="1"/>
  <c r="K282" i="1"/>
  <c r="H282" i="1"/>
  <c r="L281" i="1"/>
  <c r="K281" i="1"/>
  <c r="H281" i="1"/>
  <c r="L280" i="1"/>
  <c r="K280" i="1"/>
  <c r="H280" i="1"/>
  <c r="L279" i="1"/>
  <c r="K279" i="1"/>
  <c r="H279" i="1"/>
  <c r="L278" i="1"/>
  <c r="K278" i="1"/>
  <c r="H278" i="1"/>
  <c r="L277" i="1"/>
  <c r="K277" i="1"/>
  <c r="H277" i="1"/>
  <c r="L276" i="1"/>
  <c r="K276" i="1"/>
  <c r="H276" i="1"/>
  <c r="L275" i="1"/>
  <c r="K275" i="1"/>
  <c r="H275" i="1"/>
  <c r="L274" i="1"/>
  <c r="K274" i="1"/>
  <c r="H274" i="1"/>
  <c r="L273" i="1"/>
  <c r="K273" i="1"/>
  <c r="H273" i="1"/>
  <c r="L272" i="1"/>
  <c r="K272" i="1"/>
  <c r="H272" i="1"/>
  <c r="L271" i="1"/>
  <c r="K271" i="1"/>
  <c r="H271" i="1"/>
  <c r="L270" i="1"/>
  <c r="K270" i="1"/>
  <c r="H270" i="1"/>
  <c r="L269" i="1"/>
  <c r="K269" i="1"/>
  <c r="H269" i="1"/>
  <c r="L268" i="1"/>
  <c r="K268" i="1"/>
  <c r="H268" i="1"/>
  <c r="L267" i="1"/>
  <c r="K267" i="1"/>
  <c r="H267" i="1"/>
  <c r="L266" i="1"/>
  <c r="K266" i="1"/>
  <c r="H266" i="1"/>
  <c r="L265" i="1"/>
  <c r="K265" i="1"/>
  <c r="H265" i="1"/>
  <c r="L264" i="1"/>
  <c r="K264" i="1"/>
  <c r="H264" i="1"/>
  <c r="L263" i="1"/>
  <c r="K263" i="1"/>
  <c r="H263" i="1"/>
  <c r="L262" i="1"/>
  <c r="K262" i="1"/>
  <c r="H262" i="1"/>
  <c r="L261" i="1"/>
  <c r="K261" i="1"/>
  <c r="H261" i="1"/>
  <c r="L260" i="1"/>
  <c r="K260" i="1"/>
  <c r="H260" i="1"/>
  <c r="L259" i="1"/>
  <c r="K259" i="1"/>
  <c r="H259" i="1"/>
  <c r="L258" i="1"/>
  <c r="K258" i="1"/>
  <c r="H258" i="1"/>
  <c r="L257" i="1"/>
  <c r="K257" i="1"/>
  <c r="H257" i="1"/>
  <c r="L256" i="1"/>
  <c r="K256" i="1"/>
  <c r="H256" i="1"/>
  <c r="L255" i="1"/>
  <c r="K255" i="1"/>
  <c r="H255" i="1"/>
  <c r="L254" i="1"/>
  <c r="K254" i="1"/>
  <c r="H254" i="1"/>
  <c r="L253" i="1"/>
  <c r="K253" i="1"/>
  <c r="H253" i="1"/>
  <c r="L252" i="1"/>
  <c r="K252" i="1"/>
  <c r="H252" i="1"/>
  <c r="L251" i="1"/>
  <c r="K251" i="1"/>
  <c r="H251" i="1"/>
  <c r="L250" i="1"/>
  <c r="K250" i="1"/>
  <c r="H250" i="1"/>
  <c r="L249" i="1"/>
  <c r="K249" i="1"/>
  <c r="H249" i="1"/>
  <c r="L248" i="1"/>
  <c r="K248" i="1"/>
  <c r="H248" i="1"/>
  <c r="L247" i="1"/>
  <c r="K247" i="1"/>
  <c r="H247" i="1"/>
  <c r="L246" i="1"/>
  <c r="K246" i="1"/>
  <c r="H246" i="1"/>
  <c r="L245" i="1"/>
  <c r="K245" i="1"/>
  <c r="H245" i="1"/>
  <c r="L244" i="1"/>
  <c r="K244" i="1"/>
  <c r="H244" i="1"/>
  <c r="L243" i="1"/>
  <c r="K243" i="1"/>
  <c r="H243" i="1"/>
  <c r="L242" i="1"/>
  <c r="K242" i="1"/>
  <c r="H242" i="1"/>
  <c r="L241" i="1"/>
  <c r="K241" i="1"/>
  <c r="H241" i="1"/>
  <c r="L240" i="1"/>
  <c r="K240" i="1"/>
  <c r="H240" i="1"/>
  <c r="L239" i="1"/>
  <c r="K239" i="1"/>
  <c r="H239" i="1"/>
  <c r="L238" i="1"/>
  <c r="K238" i="1"/>
  <c r="H238" i="1"/>
  <c r="L237" i="1"/>
  <c r="K237" i="1"/>
  <c r="H237" i="1"/>
  <c r="L236" i="1"/>
  <c r="K236" i="1"/>
  <c r="H236" i="1"/>
  <c r="L235" i="1"/>
  <c r="K235" i="1"/>
  <c r="H235" i="1"/>
  <c r="L234" i="1"/>
  <c r="K234" i="1"/>
  <c r="H234" i="1"/>
  <c r="L233" i="1"/>
  <c r="K233" i="1"/>
  <c r="H233" i="1"/>
  <c r="L232" i="1"/>
  <c r="K232" i="1"/>
  <c r="H232" i="1"/>
  <c r="L231" i="1"/>
  <c r="K231" i="1"/>
  <c r="H231" i="1"/>
  <c r="L230" i="1"/>
  <c r="K230" i="1"/>
  <c r="H230" i="1"/>
  <c r="L229" i="1"/>
  <c r="K229" i="1"/>
  <c r="H229" i="1"/>
  <c r="L228" i="1"/>
  <c r="K228" i="1"/>
  <c r="H228" i="1"/>
  <c r="L227" i="1"/>
  <c r="K227" i="1"/>
  <c r="H227" i="1"/>
  <c r="L226" i="1"/>
  <c r="K226" i="1"/>
  <c r="H226" i="1"/>
  <c r="L225" i="1"/>
  <c r="K225" i="1"/>
  <c r="H225" i="1"/>
  <c r="L224" i="1"/>
  <c r="K224" i="1"/>
  <c r="H224" i="1"/>
  <c r="L223" i="1"/>
  <c r="K223" i="1"/>
  <c r="H223" i="1"/>
  <c r="L222" i="1"/>
  <c r="K222" i="1"/>
  <c r="H222" i="1"/>
  <c r="L221" i="1"/>
  <c r="K221" i="1"/>
  <c r="H221" i="1"/>
  <c r="L220" i="1"/>
  <c r="K220" i="1"/>
  <c r="H220" i="1"/>
  <c r="L219" i="1"/>
  <c r="K219" i="1"/>
  <c r="H219" i="1"/>
  <c r="L218" i="1"/>
  <c r="K218" i="1"/>
  <c r="H218" i="1"/>
  <c r="L217" i="1"/>
  <c r="K217" i="1"/>
  <c r="H217" i="1"/>
  <c r="L216" i="1"/>
  <c r="K216" i="1"/>
  <c r="H216" i="1"/>
  <c r="L215" i="1"/>
  <c r="K215" i="1"/>
  <c r="H215" i="1"/>
  <c r="L214" i="1"/>
  <c r="K214" i="1"/>
  <c r="H214" i="1"/>
  <c r="L213" i="1"/>
  <c r="K213" i="1"/>
  <c r="H213" i="1"/>
  <c r="L212" i="1"/>
  <c r="K212" i="1"/>
  <c r="H212" i="1"/>
  <c r="L211" i="1"/>
  <c r="K211" i="1"/>
  <c r="H211" i="1"/>
  <c r="L210" i="1"/>
  <c r="K210" i="1"/>
  <c r="H210" i="1"/>
  <c r="L209" i="1"/>
  <c r="K209" i="1"/>
  <c r="H209" i="1"/>
  <c r="L208" i="1"/>
  <c r="K208" i="1"/>
  <c r="H208" i="1"/>
  <c r="L207" i="1"/>
  <c r="K207" i="1"/>
  <c r="H207" i="1"/>
  <c r="L206" i="1"/>
  <c r="K206" i="1"/>
  <c r="H206" i="1"/>
  <c r="L205" i="1"/>
  <c r="K205" i="1"/>
  <c r="H205" i="1"/>
  <c r="L204" i="1"/>
  <c r="K204" i="1"/>
  <c r="H204" i="1"/>
  <c r="L203" i="1"/>
  <c r="K203" i="1"/>
  <c r="H203" i="1"/>
  <c r="L202" i="1"/>
  <c r="K202" i="1"/>
  <c r="H202" i="1"/>
  <c r="L201" i="1"/>
  <c r="K201" i="1"/>
  <c r="H201" i="1"/>
  <c r="L200" i="1"/>
  <c r="K200" i="1"/>
  <c r="H200" i="1"/>
  <c r="L199" i="1"/>
  <c r="K199" i="1"/>
  <c r="H199" i="1"/>
  <c r="L198" i="1"/>
  <c r="K198" i="1"/>
  <c r="H198" i="1"/>
  <c r="L197" i="1"/>
  <c r="K197" i="1"/>
  <c r="H197" i="1"/>
  <c r="L196" i="1"/>
  <c r="K196" i="1"/>
  <c r="H196" i="1"/>
  <c r="L195" i="1"/>
  <c r="K195" i="1"/>
  <c r="H195" i="1"/>
  <c r="L194" i="1"/>
  <c r="K194" i="1"/>
  <c r="H194" i="1"/>
  <c r="L193" i="1"/>
  <c r="K193" i="1"/>
  <c r="H193" i="1"/>
  <c r="L192" i="1"/>
  <c r="K192" i="1"/>
  <c r="H192" i="1"/>
  <c r="L186" i="1"/>
  <c r="K186" i="1"/>
  <c r="H186" i="1"/>
  <c r="L185" i="1"/>
  <c r="K185" i="1"/>
  <c r="H185" i="1"/>
  <c r="L184" i="1"/>
  <c r="K184" i="1"/>
  <c r="H184" i="1"/>
  <c r="L183" i="1"/>
  <c r="K183" i="1"/>
  <c r="H183" i="1"/>
  <c r="L182" i="1"/>
  <c r="K182" i="1"/>
  <c r="H182" i="1"/>
  <c r="L181" i="1"/>
  <c r="K181" i="1"/>
  <c r="H181" i="1"/>
  <c r="L180" i="1"/>
  <c r="K180" i="1"/>
  <c r="H180" i="1"/>
  <c r="L179" i="1"/>
  <c r="K179" i="1"/>
  <c r="H179" i="1"/>
  <c r="L173" i="1"/>
  <c r="K173" i="1"/>
  <c r="H173" i="1"/>
  <c r="L172" i="1"/>
  <c r="K172" i="1"/>
  <c r="H172" i="1"/>
  <c r="L171" i="1"/>
  <c r="K171" i="1"/>
  <c r="H171" i="1"/>
  <c r="L170" i="1"/>
  <c r="K170" i="1"/>
  <c r="H170" i="1"/>
  <c r="L169" i="1"/>
  <c r="K169" i="1"/>
  <c r="H169" i="1"/>
  <c r="L168" i="1"/>
  <c r="K168" i="1"/>
  <c r="H168" i="1"/>
  <c r="L167" i="1"/>
  <c r="K167" i="1"/>
  <c r="H167" i="1"/>
  <c r="L166" i="1"/>
  <c r="K166" i="1"/>
  <c r="H166" i="1"/>
  <c r="L165" i="1"/>
  <c r="K165" i="1"/>
  <c r="H165" i="1"/>
  <c r="L159" i="1"/>
  <c r="K159" i="1"/>
  <c r="H159" i="1"/>
  <c r="L158" i="1"/>
  <c r="K158" i="1"/>
  <c r="H158" i="1"/>
  <c r="L157" i="1"/>
  <c r="K157" i="1"/>
  <c r="H157" i="1"/>
  <c r="L156" i="1"/>
  <c r="K156" i="1"/>
  <c r="H156" i="1"/>
  <c r="L155" i="1"/>
  <c r="K155" i="1"/>
  <c r="H155" i="1"/>
  <c r="L154" i="1"/>
  <c r="K154" i="1"/>
  <c r="H154" i="1"/>
  <c r="L153" i="1"/>
  <c r="K153" i="1"/>
  <c r="H153" i="1"/>
  <c r="L152" i="1"/>
  <c r="K152" i="1"/>
  <c r="H152" i="1"/>
  <c r="L146" i="1"/>
  <c r="K146" i="1"/>
  <c r="H146" i="1"/>
  <c r="L145" i="1"/>
  <c r="K145" i="1"/>
  <c r="H145" i="1"/>
  <c r="L144" i="1"/>
  <c r="K144" i="1"/>
  <c r="H144" i="1"/>
  <c r="L143" i="1"/>
  <c r="K143" i="1"/>
  <c r="H143" i="1"/>
  <c r="L142" i="1"/>
  <c r="K142" i="1"/>
  <c r="H142" i="1"/>
  <c r="L141" i="1"/>
  <c r="K141" i="1"/>
  <c r="H141" i="1"/>
  <c r="L140" i="1"/>
  <c r="K140" i="1"/>
  <c r="H140" i="1"/>
  <c r="L139" i="1"/>
  <c r="K139" i="1"/>
  <c r="H139" i="1"/>
  <c r="L138" i="1"/>
  <c r="K138" i="1"/>
  <c r="H138" i="1"/>
  <c r="L137" i="1"/>
  <c r="K137" i="1"/>
  <c r="H137" i="1"/>
  <c r="L136" i="1"/>
  <c r="K136" i="1"/>
  <c r="H136" i="1"/>
  <c r="L135" i="1"/>
  <c r="K135" i="1"/>
  <c r="H135" i="1"/>
  <c r="L134" i="1"/>
  <c r="K134" i="1"/>
  <c r="H134" i="1"/>
  <c r="L133" i="1"/>
  <c r="K133" i="1"/>
  <c r="H133" i="1"/>
  <c r="L132" i="1"/>
  <c r="K132" i="1"/>
  <c r="H132" i="1"/>
  <c r="L131" i="1"/>
  <c r="K131" i="1"/>
  <c r="H131" i="1"/>
  <c r="L130" i="1"/>
  <c r="K130" i="1"/>
  <c r="H130" i="1"/>
  <c r="L124" i="1"/>
  <c r="K124" i="1"/>
  <c r="H124" i="1"/>
  <c r="L123" i="1"/>
  <c r="K123" i="1"/>
  <c r="H123" i="1"/>
  <c r="L122" i="1"/>
  <c r="K122" i="1"/>
  <c r="H122" i="1"/>
  <c r="L121" i="1"/>
  <c r="K121" i="1"/>
  <c r="H121" i="1"/>
  <c r="L120" i="1"/>
  <c r="K120" i="1"/>
  <c r="H120" i="1"/>
  <c r="L119" i="1"/>
  <c r="K119" i="1"/>
  <c r="H119" i="1"/>
  <c r="L118" i="1"/>
  <c r="K118" i="1"/>
  <c r="H118" i="1"/>
  <c r="L117" i="1"/>
  <c r="K117" i="1"/>
  <c r="H117" i="1"/>
  <c r="L116" i="1"/>
  <c r="K116" i="1"/>
  <c r="H116" i="1"/>
  <c r="L115" i="1"/>
  <c r="K115" i="1"/>
  <c r="H115" i="1"/>
  <c r="L114" i="1"/>
  <c r="K114" i="1"/>
  <c r="H114" i="1"/>
  <c r="L113" i="1"/>
  <c r="K113" i="1"/>
  <c r="H113" i="1"/>
  <c r="L112" i="1"/>
  <c r="K112" i="1"/>
  <c r="H112" i="1"/>
  <c r="L111" i="1"/>
  <c r="K111" i="1"/>
  <c r="H111" i="1"/>
  <c r="L110" i="1"/>
  <c r="K110" i="1"/>
  <c r="H110" i="1"/>
  <c r="L109" i="1"/>
  <c r="K109" i="1"/>
  <c r="H109" i="1"/>
  <c r="L103" i="1"/>
  <c r="K103" i="1"/>
  <c r="H103" i="1"/>
  <c r="L102" i="1"/>
  <c r="K102" i="1"/>
  <c r="H102" i="1"/>
  <c r="L101" i="1"/>
  <c r="K101" i="1"/>
  <c r="H101" i="1"/>
  <c r="L100" i="1"/>
  <c r="K100" i="1"/>
  <c r="H100" i="1"/>
  <c r="L99" i="1"/>
  <c r="K99" i="1"/>
  <c r="H99" i="1"/>
  <c r="L98" i="1"/>
  <c r="K98" i="1"/>
  <c r="H98" i="1"/>
  <c r="L97" i="1"/>
  <c r="K97" i="1"/>
  <c r="H97" i="1"/>
  <c r="L96" i="1"/>
  <c r="K96" i="1"/>
  <c r="H96" i="1"/>
  <c r="L90" i="1"/>
  <c r="K90" i="1"/>
  <c r="H90" i="1"/>
  <c r="L89" i="1"/>
  <c r="K89" i="1"/>
  <c r="H89" i="1"/>
  <c r="L88" i="1"/>
  <c r="K88" i="1"/>
  <c r="H88" i="1"/>
  <c r="L87" i="1"/>
  <c r="K87" i="1"/>
  <c r="H87" i="1"/>
  <c r="L86" i="1"/>
  <c r="K86" i="1"/>
  <c r="H86" i="1"/>
  <c r="L85" i="1"/>
  <c r="K85" i="1"/>
  <c r="H85" i="1"/>
  <c r="L84" i="1"/>
  <c r="K84" i="1"/>
  <c r="H84" i="1"/>
  <c r="L83" i="1"/>
  <c r="K83" i="1"/>
  <c r="H83" i="1"/>
  <c r="L82" i="1"/>
  <c r="K82" i="1"/>
  <c r="H82" i="1"/>
  <c r="L81" i="1"/>
  <c r="K81" i="1"/>
  <c r="H81" i="1"/>
  <c r="L80" i="1"/>
  <c r="K80" i="1"/>
  <c r="H80" i="1"/>
  <c r="L79" i="1"/>
  <c r="K79" i="1"/>
  <c r="H79" i="1"/>
  <c r="M71" i="1"/>
  <c r="L71" i="1"/>
  <c r="I71" i="1"/>
  <c r="M70" i="1"/>
  <c r="L70" i="1"/>
  <c r="I70" i="1"/>
  <c r="M69" i="1"/>
  <c r="L69" i="1"/>
  <c r="I69" i="1"/>
  <c r="M68" i="1"/>
  <c r="L68" i="1"/>
  <c r="I68" i="1"/>
  <c r="M67" i="1"/>
  <c r="L67" i="1"/>
  <c r="I67" i="1"/>
  <c r="M66" i="1"/>
  <c r="L66" i="1"/>
  <c r="I66" i="1"/>
  <c r="M65" i="1"/>
  <c r="L65" i="1"/>
  <c r="I65" i="1"/>
  <c r="M64" i="1"/>
  <c r="L64" i="1"/>
  <c r="I64" i="1"/>
  <c r="M63" i="1"/>
  <c r="L63" i="1"/>
  <c r="I63" i="1"/>
  <c r="M62" i="1"/>
  <c r="L62" i="1"/>
  <c r="I62" i="1"/>
  <c r="M61" i="1"/>
  <c r="L61" i="1"/>
  <c r="I61" i="1"/>
  <c r="M60" i="1"/>
  <c r="L60" i="1"/>
  <c r="I60" i="1"/>
  <c r="M59" i="1"/>
  <c r="L59" i="1"/>
  <c r="I59" i="1"/>
  <c r="M58" i="1"/>
  <c r="L58" i="1"/>
  <c r="I58" i="1"/>
  <c r="M57" i="1"/>
  <c r="L57" i="1"/>
  <c r="I57" i="1"/>
  <c r="M56" i="1"/>
  <c r="L56" i="1"/>
  <c r="I56" i="1"/>
  <c r="M55" i="1"/>
  <c r="L55" i="1"/>
  <c r="I55" i="1"/>
  <c r="M54" i="1"/>
  <c r="L54" i="1"/>
  <c r="I54" i="1"/>
  <c r="M53" i="1"/>
  <c r="L53" i="1"/>
  <c r="I53" i="1"/>
  <c r="M52" i="1"/>
  <c r="L52" i="1"/>
  <c r="I52" i="1"/>
  <c r="M51" i="1"/>
  <c r="L51" i="1"/>
  <c r="I51" i="1"/>
  <c r="M50" i="1"/>
  <c r="L50" i="1"/>
  <c r="I50" i="1"/>
  <c r="M49" i="1"/>
  <c r="L49" i="1"/>
  <c r="I49" i="1"/>
  <c r="M48" i="1"/>
  <c r="L48" i="1"/>
  <c r="I48" i="1"/>
  <c r="M47" i="1"/>
  <c r="L47" i="1"/>
  <c r="I47" i="1"/>
  <c r="M46" i="1"/>
  <c r="L46" i="1"/>
  <c r="I46" i="1"/>
  <c r="M45" i="1"/>
  <c r="L45" i="1"/>
  <c r="I45" i="1"/>
  <c r="M44" i="1"/>
  <c r="L44" i="1"/>
  <c r="I44" i="1"/>
  <c r="M43" i="1"/>
  <c r="L43" i="1"/>
  <c r="I43" i="1"/>
  <c r="M42" i="1"/>
  <c r="L42" i="1"/>
  <c r="I42" i="1"/>
  <c r="M41" i="1"/>
  <c r="L41" i="1"/>
  <c r="I41" i="1"/>
  <c r="M40" i="1"/>
  <c r="L40" i="1"/>
  <c r="I40" i="1"/>
  <c r="M39" i="1"/>
  <c r="L39" i="1"/>
  <c r="I39" i="1"/>
  <c r="M38" i="1"/>
  <c r="L38" i="1"/>
  <c r="I38" i="1"/>
  <c r="M37" i="1"/>
  <c r="L37" i="1"/>
  <c r="I37" i="1"/>
  <c r="M36" i="1"/>
  <c r="L36" i="1"/>
  <c r="I36" i="1"/>
  <c r="M35" i="1"/>
  <c r="L35" i="1"/>
  <c r="I35" i="1"/>
  <c r="M34" i="1"/>
  <c r="L34" i="1"/>
  <c r="I34" i="1"/>
  <c r="M33" i="1"/>
  <c r="L33" i="1"/>
  <c r="I33" i="1"/>
  <c r="M32" i="1"/>
  <c r="L32" i="1"/>
  <c r="I32" i="1"/>
  <c r="M31" i="1"/>
  <c r="L31" i="1"/>
  <c r="I31" i="1"/>
  <c r="M30" i="1"/>
  <c r="L30" i="1"/>
  <c r="I30" i="1"/>
  <c r="M29" i="1"/>
  <c r="L29" i="1"/>
  <c r="I29" i="1"/>
  <c r="M28" i="1"/>
  <c r="L28" i="1"/>
  <c r="I28" i="1"/>
  <c r="M27" i="1"/>
  <c r="L27" i="1"/>
  <c r="I27" i="1"/>
  <c r="M26" i="1"/>
  <c r="L26" i="1"/>
  <c r="I26" i="1"/>
  <c r="M25" i="1"/>
  <c r="L25" i="1"/>
  <c r="I25" i="1"/>
  <c r="M24" i="1"/>
  <c r="L24" i="1"/>
  <c r="I24" i="1"/>
  <c r="M23" i="1"/>
  <c r="L23" i="1"/>
  <c r="I23" i="1"/>
  <c r="M22" i="1"/>
  <c r="L22" i="1"/>
  <c r="I22" i="1"/>
  <c r="M21" i="1"/>
  <c r="L21" i="1"/>
  <c r="I21" i="1"/>
  <c r="M20" i="1"/>
  <c r="L20" i="1"/>
  <c r="I20" i="1"/>
  <c r="M19" i="1"/>
  <c r="L19" i="1"/>
  <c r="I19" i="1"/>
  <c r="M18" i="1"/>
  <c r="L18" i="1"/>
  <c r="I18" i="1"/>
  <c r="M17" i="1"/>
  <c r="L17" i="1"/>
  <c r="I17" i="1"/>
  <c r="M16" i="1"/>
  <c r="L16" i="1"/>
  <c r="I16" i="1"/>
  <c r="M15" i="1"/>
  <c r="L15" i="1"/>
  <c r="I15" i="1"/>
  <c r="M14" i="1"/>
  <c r="L14" i="1"/>
  <c r="I14" i="1"/>
  <c r="M13" i="1"/>
  <c r="L13" i="1"/>
  <c r="I13" i="1"/>
  <c r="M12" i="1"/>
  <c r="L12" i="1"/>
  <c r="I12" i="1"/>
  <c r="M11" i="1"/>
  <c r="L11" i="1"/>
  <c r="I11" i="1"/>
  <c r="M10" i="1"/>
  <c r="L10" i="1"/>
  <c r="I10" i="1"/>
  <c r="M9" i="1"/>
  <c r="L9" i="1"/>
  <c r="I9" i="1"/>
  <c r="M8" i="1"/>
  <c r="L8" i="1"/>
  <c r="I8" i="1"/>
</calcChain>
</file>

<file path=xl/sharedStrings.xml><?xml version="1.0" encoding="utf-8"?>
<sst xmlns="http://schemas.openxmlformats.org/spreadsheetml/2006/main" count="4455" uniqueCount="454">
  <si>
    <t>Informe de trayectos</t>
  </si>
  <si>
    <t>Periodo: 25 de febrero de 2025 0:00 - 25 de febrero de 2025 23:59</t>
  </si>
  <si>
    <t>Informe generado</t>
  </si>
  <si>
    <t>a: 22 de septiembre de 2025 14:44</t>
  </si>
  <si>
    <t>Resumen del informe</t>
  </si>
  <si>
    <t>Nombre de objeto</t>
  </si>
  <si>
    <t>Hora de inicio de trabajo</t>
  </si>
  <si>
    <t>Ubicación de inicio de trabajo</t>
  </si>
  <si>
    <t>Hora de fin de trabajo</t>
  </si>
  <si>
    <t>Ubicación de fin de trabajo</t>
  </si>
  <si>
    <t>Kilometraje recorrido</t>
  </si>
  <si>
    <t>Kilometraje al inicio</t>
  </si>
  <si>
    <t>Kilometraje al final</t>
  </si>
  <si>
    <t>Duración de inactividad</t>
  </si>
  <si>
    <t>Velocidad máxima</t>
  </si>
  <si>
    <t>Velocidad media</t>
  </si>
  <si>
    <t>Duración del trabajo</t>
  </si>
  <si>
    <t>Duración de parada</t>
  </si>
  <si>
    <t>Ate, Lima Metropolitana, Lima, 15498, Perú</t>
  </si>
  <si>
    <t>82 km/h</t>
  </si>
  <si>
    <t>17 km/h</t>
  </si>
  <si>
    <t>Avenida Lima Norte, Chosica, Lima Metropolitana, Lima, 15468, Perú, (Ruta4507nueva era 23-10-23)</t>
  </si>
  <si>
    <t>0 km/h</t>
  </si>
  <si>
    <t>Avenida Los Incas, Ate, Lima Metropolitana, Lima, 15483, Perú</t>
  </si>
  <si>
    <t>Los Huancas, Ate, Lima Metropolitana, Lima, 15483, Perú</t>
  </si>
  <si>
    <t>83 km/h</t>
  </si>
  <si>
    <t>18 km/h</t>
  </si>
  <si>
    <t>Ate, Lima Metropolitana, Lima, 15483, Perú</t>
  </si>
  <si>
    <t>74 km/h</t>
  </si>
  <si>
    <t>14 km/h</t>
  </si>
  <si>
    <t>Calle Manantiales de Vida, Ate, Lima Metropolitana, Lima, 15487, Perú</t>
  </si>
  <si>
    <t>84 km/h</t>
  </si>
  <si>
    <t>16 km/h</t>
  </si>
  <si>
    <t>35 km/h</t>
  </si>
  <si>
    <t>7 km/h</t>
  </si>
  <si>
    <t>86 km/h</t>
  </si>
  <si>
    <t>Calle 2, Ate, Lima Metropolitana, Lima, 15487, Perú</t>
  </si>
  <si>
    <t>88 km/h</t>
  </si>
  <si>
    <t>23 km/h</t>
  </si>
  <si>
    <t>Carretera Central, Chaclacayo, Lima Metropolitana, Lima, 15476, Perú</t>
  </si>
  <si>
    <t>75 km/h</t>
  </si>
  <si>
    <t>Avenida Las Begonias, Chosica, Lima Metropolitana, Lima, 15468, Perú</t>
  </si>
  <si>
    <t>Calle los Alamos, Chosica, Lima Metropolitana, Lima, 15468, Perú</t>
  </si>
  <si>
    <t>106 km/h</t>
  </si>
  <si>
    <t>Calle Las Gardenias, Ricardo Palma, Huarochirí, Lima, 15468, Perú</t>
  </si>
  <si>
    <t>13 km/h</t>
  </si>
  <si>
    <t>Capitan Gamarra, Ricardo Palma, Huarochirí, Lima, 15468, Perú, (Ruta4507nueva era 23-10-23)</t>
  </si>
  <si>
    <t>89 km/h</t>
  </si>
  <si>
    <t>Avenida Lima Norte, Santa Eulalia, Lima Metropolitana, Lima, 15468, Perú</t>
  </si>
  <si>
    <t>Calle A, Chosica, Lima Metropolitana, Lima, 15468, Perú</t>
  </si>
  <si>
    <t>Avenida 22 de Julio, Ate, Lima Metropolitana, Lima, 15498, Perú</t>
  </si>
  <si>
    <t>Avenida José Carlos Mariátegui, Ricardo Palma, Huarochirí, Lima, 15468, Perú</t>
  </si>
  <si>
    <t>70 km/h</t>
  </si>
  <si>
    <t>11 km/h</t>
  </si>
  <si>
    <t>Carretera Central, 200, Chaclacayo, Lima Metropolitana, Lima, 15476, Perú</t>
  </si>
  <si>
    <t>Calle Junín, Lurigancho, Lima Metropolitana, Lima, 15487, Perú</t>
  </si>
  <si>
    <t>Avenida José Carlos Mariátegui, Ate, Lima Metropolitana, Lima, 15487, Perú</t>
  </si>
  <si>
    <t>Calle Nueva Los Alamos, Santa Eulalia, Huarochirí, Lima, 15468, Perú</t>
  </si>
  <si>
    <t>91 km/h</t>
  </si>
  <si>
    <t>Calle Cerro de Pasco, Ate, Lima Metropolitana, Lima, 15498, Perú</t>
  </si>
  <si>
    <t>76 km/h</t>
  </si>
  <si>
    <t>Avenida Bernard de Balaguer, Lurigancho, Lima Metropolitana, Lima, 15464, Perú</t>
  </si>
  <si>
    <t>87 km/h</t>
  </si>
  <si>
    <t>44 km/h</t>
  </si>
  <si>
    <t>9 km/h</t>
  </si>
  <si>
    <t>77 km/h</t>
  </si>
  <si>
    <t>Calle 1, Ate, Lima Metropolitana, Lima, 15483, Perú</t>
  </si>
  <si>
    <t>Carretera Central, Chaclacayo, Lima Metropolitana, Lima, 15476, Perú, (Ruta4507nueva era 23-10-23)</t>
  </si>
  <si>
    <t>Ate, Lima Metropolitana, Lima, 15474, Perú, (Ruta4507nueva era 23-10-23)</t>
  </si>
  <si>
    <t>67 km/h</t>
  </si>
  <si>
    <t>Calle Leoncio Prado, Santa Eulalia, Huarochirí, Lima, 15468, Perú</t>
  </si>
  <si>
    <t>80 km/h</t>
  </si>
  <si>
    <t>Calle Estocolmo, Ate, Lima Metropolitana, Lima, 15498, Perú</t>
  </si>
  <si>
    <t>90 km/h</t>
  </si>
  <si>
    <t>Calle Las Tunas, Santa Anita, Lima Metropolitana, Lima, 15007, Perú</t>
  </si>
  <si>
    <t>78 km/h</t>
  </si>
  <si>
    <t>15 km/h</t>
  </si>
  <si>
    <t>Carretera Central, Ate, Lima Metropolitana, Lima, 15487, Perú, (S06 SANTA CLARA, Ruta4507nueva era 23-10-23)</t>
  </si>
  <si>
    <t>Calle Los Topacios, Lurigancho, Lima Metropolitana, Lima, 15472, Perú</t>
  </si>
  <si>
    <t>Víctor Raúl Haya de la Torre, Ate, Lima Metropolitana, Lima, 15498, Perú, (Ruta4507nueva era 23-10-23)</t>
  </si>
  <si>
    <t>Avenida Nicolás de Ayllón, Santa Anita, Lima Metropolitana, Lima, 15008, Perú, (Ruta4507nueva era 23-10-23, RUTA DESVIO TEM.  4507)</t>
  </si>
  <si>
    <t>96 km/h</t>
  </si>
  <si>
    <t>Avenida Simón Bolívar, Santa Eulalia, Huarochirí, Lima, 15468, Perú</t>
  </si>
  <si>
    <t>Avenida Camino Real, Santa Anita, Lima Metropolitana, Lima, 15009, Perú</t>
  </si>
  <si>
    <t>Carretera Central, Ate, Lima Metropolitana, Lima, 15474, Perú</t>
  </si>
  <si>
    <t>Ate, Lima Metropolitana, Lima, 15474, Perú</t>
  </si>
  <si>
    <t>Calle Los Álamos, Ate, Lima Metropolitana, Lima, 15483, Perú</t>
  </si>
  <si>
    <t>79 km/h</t>
  </si>
  <si>
    <t>Chosica, Lima Metropolitana, Lima, 15468, Perú</t>
  </si>
  <si>
    <t>Avenida Enrique Guzmán y Valle, Chosica, Lima Metropolitana, Lima, 15468, Perú</t>
  </si>
  <si>
    <t>94 km/h</t>
  </si>
  <si>
    <t>Carretera Central, Ate, Lima Metropolitana, Lima, 15474, Perú, (Ruta4507nueva era 23-10-23)</t>
  </si>
  <si>
    <t>19 km/h</t>
  </si>
  <si>
    <t>81 km/h</t>
  </si>
  <si>
    <t>73 km/h</t>
  </si>
  <si>
    <t>Santa Eulalia, Huarochirí, Lima, 15468, Perú</t>
  </si>
  <si>
    <t>95 km/h</t>
  </si>
  <si>
    <t>8 km/h</t>
  </si>
  <si>
    <t>Avenida Las Retamas, Ricardo Palma, Huarochirí, Lima, 15468, Perú</t>
  </si>
  <si>
    <t>Avenida Nicolás de Ayllón, Ate, Lima Metropolitana, Lima, 15487, Perú, (Ruta4507nueva era 23-10-23)</t>
  </si>
  <si>
    <t>Ate, Lima Metropolitana, Lima, 15487, Perú</t>
  </si>
  <si>
    <t>Corcona, Huarochirí, Lima, Perú</t>
  </si>
  <si>
    <t>Carretera Central, Ricardo Palma, Huarochirí, Lima, 15500, Perú</t>
  </si>
  <si>
    <t>Avenida Palomar Sur, Santa Eulalia, Huarochirí, Lima, 15468, Perú</t>
  </si>
  <si>
    <t>Lurigancho, Lima Metropolitana, Lima, 15468, Perú</t>
  </si>
  <si>
    <t>31 km/h</t>
  </si>
  <si>
    <t>3 km/h</t>
  </si>
  <si>
    <t>Plaza Francisco Bolognesi, Lima, Lima Metropolitana, Lima, 15083, Perú, (Ruta4507nueva era 23-10-23)</t>
  </si>
  <si>
    <t>Avenida 9 de Diciembre, 371, Lima, Lima Metropolitana, Lima, 15083, Perú, (Ruta4507nueva era 23-10-23)</t>
  </si>
  <si>
    <t>Avenida Colectora, Chosica, Lima Metropolitana, Lima, 15468, Perú</t>
  </si>
  <si>
    <t>Calle 3, Chosica, Lima Metropolitana, Lima, 15468, Perú</t>
  </si>
  <si>
    <t>20 km/h</t>
  </si>
  <si>
    <t>Chaclacayo, Lima Metropolitana, Lima, 15474, Perú, (Ruta4507nueva era 23-10-23)</t>
  </si>
  <si>
    <t>Carretera Central, Ate, Lima Metropolitana, Lima, 15474, Perú, (Horacio Zeballos, Ruta4507nueva era 23-10-23)</t>
  </si>
  <si>
    <t>Micaela Bastidas, Ate, Lima Metropolitana, Lima, 15498, Perú</t>
  </si>
  <si>
    <t>Simón Bolívar, Ricardo Palma, Huarochirí, Lima, 15468, Perú</t>
  </si>
  <si>
    <t>Avenida Lima Norte, Chosica, Lima Metropolitana, Lima, 15468, Perú</t>
  </si>
  <si>
    <t>68 km/h</t>
  </si>
  <si>
    <t>Jirón Tacna, Chosica, Lima Metropolitana, Lima, 15468, Perú</t>
  </si>
  <si>
    <t>24 km/h</t>
  </si>
  <si>
    <t>Avenida Manuel de la Torre Ugarte, Santa Anita, Lima Metropolitana, Lima, 15008, Perú, (RUTA DESVIO TEM.  4507)</t>
  </si>
  <si>
    <t>Calle Jorge Chavez, Lurigancho, Lima Metropolitana, Lima, 15457, Perú</t>
  </si>
  <si>
    <t>Jirón Los Próceres, Santa Eulalia, Huarochirí, Lima, 15468, Perú</t>
  </si>
  <si>
    <t>92 km/h</t>
  </si>
  <si>
    <t>Calle Cesar Vallejo, Ricardo Palma, Huarochirí, Lima, 15468, Perú</t>
  </si>
  <si>
    <t>21 km/h</t>
  </si>
  <si>
    <t>Avenida José Santos Chocano, Ricardo Palma, Huarochirí, Lima, 15468, Perú</t>
  </si>
  <si>
    <t>Totales:</t>
  </si>
  <si>
    <t/>
  </si>
  <si>
    <t>* Los datos de combustible se calculan de acuerdo con el consumo medio de combustible del vehículo especificado en su configuración</t>
  </si>
  <si>
    <t>Calle Córdova, Ricardo Palma, Huarochirí, Lima, 15468, Perú, (Ruta4507nueva era 23-10-23)</t>
  </si>
  <si>
    <t>32 km/h</t>
  </si>
  <si>
    <t>Jose Carlos Mariátegui, Ricardo Palma, Lima Metropolitana, Lima, 15468, Perú, (PARADERO RICARDO PALMA)</t>
  </si>
  <si>
    <t>Ricardo Palma, Huarochirí, Lima, 15468, Perú, (CURVA RICARDO PALMA, Ruta4507nueva era 23-10-23)</t>
  </si>
  <si>
    <t>10 km/h</t>
  </si>
  <si>
    <t>Avenida Río Perene, Ate, Lima Metropolitana, Lima, 15498, Perú</t>
  </si>
  <si>
    <t>22 km/h</t>
  </si>
  <si>
    <t>Ricardo Palma, Huarochirí, Lima, 15468, Perú, (Ruta4507nueva era 23-10-23)</t>
  </si>
  <si>
    <t>39 km/h</t>
  </si>
  <si>
    <t>Calle Berlín, Ate, Lima Metropolitana, Lima, 15498, Perú</t>
  </si>
  <si>
    <t>30 km/h</t>
  </si>
  <si>
    <t>4 km/h</t>
  </si>
  <si>
    <t>61 km/h</t>
  </si>
  <si>
    <t>Avenida De Las Torres, San Luis, Lima Metropolitana, Lima, 15022, Perú</t>
  </si>
  <si>
    <t>1 km/h</t>
  </si>
  <si>
    <t>6 km/h</t>
  </si>
  <si>
    <t>5 km/h</t>
  </si>
  <si>
    <t>2 km/h</t>
  </si>
  <si>
    <t>Avenida Minería, Santa Anita, Lima Metropolitana, Lima, 15008, Perú, (Ruta4507nueva era 23-10-23, RUTA DESVIO TEM.  4507)</t>
  </si>
  <si>
    <t>Jirón Tacna, 430, Chosica, Lima Metropolitana, Lima, 15468, Perú, (Ruta4507nueva era 23-10-23)</t>
  </si>
  <si>
    <t>26 km/h</t>
  </si>
  <si>
    <t>52 km/h</t>
  </si>
  <si>
    <t>Avenida José Carlos Mariátegui, Ate, Lima Metropolitana, Lima, 15474, Perú</t>
  </si>
  <si>
    <t>42 km/h</t>
  </si>
  <si>
    <t>72 km/h</t>
  </si>
  <si>
    <t>Avenida José Carlos Mariátegui, Ate, Lima Metropolitana, Lima, 15483, Perú</t>
  </si>
  <si>
    <t>37 km/h</t>
  </si>
  <si>
    <t>Avenida Andrés Avelino Cáceres, Ate, Lima Metropolitana, Lima, 15483, Perú</t>
  </si>
  <si>
    <t>12 km/h</t>
  </si>
  <si>
    <t>Avenida Nicolás de Ayllón, Lima, Lima Metropolitana, Lima, 15011, Perú, (Ruta4507nueva era 23-10-23)</t>
  </si>
  <si>
    <t>65 km/h</t>
  </si>
  <si>
    <t>Avenida Alfonso Ugarte, 650, Lima, Lima Metropolitana, Lima, 15082, Perú</t>
  </si>
  <si>
    <t>50 km/h</t>
  </si>
  <si>
    <t>Pasaje Gould, Lima, Lima Metropolitana, Lima, 15082, Perú</t>
  </si>
  <si>
    <t>27 km/h</t>
  </si>
  <si>
    <t>Avenida José Carlos Mariátegui, Ricardo Palma, Huarochirí, Lima, 15468, Perú, (Ruta4507nueva era 23-10-23)</t>
  </si>
  <si>
    <t>28 km/h</t>
  </si>
  <si>
    <t>Jirón Sánchez Pinillos, Lima, Lima Metropolitana, Lima, 15082, Perú</t>
  </si>
  <si>
    <t>66 km/h</t>
  </si>
  <si>
    <t>Jirón Trujillo Sur, Chosica, Lima Metropolitana, Lima, 15468, Perú</t>
  </si>
  <si>
    <t>Marcos Puente Llanos, Ate, Lima Metropolitana, Lima, 15498, Perú, (RUTA DESVIO TEM.  4507)</t>
  </si>
  <si>
    <t>Marcos Puente Llanos, Ate, Lima Metropolitana, Lima, 15498, Perú</t>
  </si>
  <si>
    <t>Avenida Gloria Grande, Ate, Lima Metropolitana, Lima, 15483, Perú</t>
  </si>
  <si>
    <t>Avenida Andrés Avelino Cáceres, Ate, Lima Metropolitana, Lima, 15474, Perú, (Ruta4507nueva era 23-10-23)</t>
  </si>
  <si>
    <t>54 km/h</t>
  </si>
  <si>
    <t>Carretera Central, Chaclacayo, Lima Metropolitana, Lima, 15474, Perú, (Ruta4507nueva era 23-10-23)</t>
  </si>
  <si>
    <t>46 km/h</t>
  </si>
  <si>
    <t>36 km/h</t>
  </si>
  <si>
    <t>Avenida Nicolás Ayllón, 432, Chaclacayo, Lima Metropolitana, Lima, 15472, Perú, (Ruta4507nueva era 23-10-23)</t>
  </si>
  <si>
    <t>43 km/h</t>
  </si>
  <si>
    <t>Avenida Nicolás Ayllón, 477, Chaclacayo, Lima Metropolitana, Lima, 15472, Perú, (Ruta4507nueva era 23-10-23)</t>
  </si>
  <si>
    <t>69 km/h</t>
  </si>
  <si>
    <t>38 km/h</t>
  </si>
  <si>
    <t>Avenida Lima Sur, 1205, Chosica, Lima Metropolitana, Lima, 15468, Perú</t>
  </si>
  <si>
    <t>Avenida Lima Sur, Chosica, Lima Metropolitana, Lima, 15468, Perú, (S09 CHOSICA/ PEDREGAL, Ruta4507nueva era 23-10-23)</t>
  </si>
  <si>
    <t>Jirón Chucuito, 187, Chosica, Lima Metropolitana, Lima, 15468, Perú, (Ruta4507nueva era 23-10-23)</t>
  </si>
  <si>
    <t>Avenida Lima Sur, 765, Chosica, Lima Metropolitana, Lima, 15468, Perú, (Ruta4507nueva era 23-10-23)</t>
  </si>
  <si>
    <t>47 km/h</t>
  </si>
  <si>
    <t>Avenida Lima Norte, 574, Santa Eulalia, Lima Metropolitana, Lima, 15468, Perú, (Ruta4507nueva era 23-10-23)</t>
  </si>
  <si>
    <t>45 km/h</t>
  </si>
  <si>
    <t>25 km/h</t>
  </si>
  <si>
    <t>Avenida Lima Norte, Santa Eulalia, Huarochirí, Lima, 15468, Perú, (Ruta4507nueva era 23-10-23)</t>
  </si>
  <si>
    <t>Avenida Lima Norte, Santa Eulalia, Lima Metropolitana, Lima, 15468, Perú, (Ruta4507nueva era 23-10-23)</t>
  </si>
  <si>
    <t>51 km/h</t>
  </si>
  <si>
    <t>Jirón Trujillo Sur, Chosica, Lima Metropolitana, Lima, 15468, Perú, (Ruta4507nueva era 23-10-23)</t>
  </si>
  <si>
    <t>Jirón Iquitos, Chosica, Lima Metropolitana, Lima, 15468, Perú</t>
  </si>
  <si>
    <t>34 km/h</t>
  </si>
  <si>
    <t>Jirón Iquitos, Chosica, Lima Metropolitana, Lima, 15468, Perú, (Ruta4507nueva era 23-10-23)</t>
  </si>
  <si>
    <t>Avenida Lima Sur, 824, Chosica, Lima Metropolitana, Lima, 15468, Perú, (Ruta4507nueva era 23-10-23)</t>
  </si>
  <si>
    <t>Calle Las Dacitas, Chosica, Lima Metropolitana, Lima, 15468, Perú, (Ruta4507nueva era 23-10-23)</t>
  </si>
  <si>
    <t>Avenida Lima Sur, Chosica, Lima Metropolitana, Lima, 15468, Perú, (Ruta4507nueva era 23-10-23)</t>
  </si>
  <si>
    <t>33 km/h</t>
  </si>
  <si>
    <t>Avenida Las Flores, Lurigancho, Lima Metropolitana, Lima, 15468, Perú, (Ruta4507nueva era 23-10-23)</t>
  </si>
  <si>
    <t>56 km/h</t>
  </si>
  <si>
    <t>Carretera Central, Lurigancho, Lima Metropolitana, Lima, 15472, Perú, (Ruta4507nueva era 23-10-23)</t>
  </si>
  <si>
    <t>Avenida Nicolás Ayllón, Chaclacayo, Lima Metropolitana, Lima, 15472, Perú, (Ruta4507nueva era 23-10-23)</t>
  </si>
  <si>
    <t>Avenida Malecón Manco Cápac, Chaclacayo, Lima Metropolitana, Lima, 15472, Perú, (Ruta4507nueva era 23-10-23)</t>
  </si>
  <si>
    <t>Carretera Central, Chaclacayo, Lima Metropolitana, Lima, 15464, Perú, (Ruta4507nueva era 23-10-23)</t>
  </si>
  <si>
    <t>57 km/h</t>
  </si>
  <si>
    <t>Carretera Central, Chaclacayo, Lima Metropolitana, Lima, 15474, Perú, (S07ÑAÑA, Ruta4507nueva era 23-10-23)</t>
  </si>
  <si>
    <t>49 km/h</t>
  </si>
  <si>
    <t>60 km/h</t>
  </si>
  <si>
    <t>Carretera Central, Ate, Lima Metropolitana, Lima, 15487, Perú, (Ruta4507nueva era 23-10-23)</t>
  </si>
  <si>
    <t>53 km/h</t>
  </si>
  <si>
    <t>Ate, Lima Metropolitana, Lima, 15487, Perú, (Ruta4507nueva era 23-10-23)</t>
  </si>
  <si>
    <t>41 km/h</t>
  </si>
  <si>
    <t>40 km/h</t>
  </si>
  <si>
    <t>Avenida Nicolás de Ayllón, 836, Ate, Lima Metropolitana, Lima, 15487, Perú, (Ruta4507nueva era 23-10-23)</t>
  </si>
  <si>
    <t>Avenida Nicolás de Ayllón, 816-818, Ate, Lima Metropolitana, Lima, 15487, Perú, (Ruta4507nueva era 23-10-23)</t>
  </si>
  <si>
    <t>Avenida Nicolás de Ayllón, Ate, Lima Metropolitana, Lima, 15498, Perú, (Ruta4507nueva era 23-10-23)</t>
  </si>
  <si>
    <t>Avenida Nicolás de Ayllón, Ate, Lima Metropolitana, Lima, 15498, Perú, (Ruta4507nueva era 23-10-23, RUTA DESVIO TEM.  4507)</t>
  </si>
  <si>
    <t>Avenida Central, Ate, Lima Metropolitana, Lima, 15498, Perú, (Ruta4507nueva era 23-10-23, RUTA DESVIO TEM.  4507)</t>
  </si>
  <si>
    <t>Prolongación Javier Prado Este, Ate, Lima Metropolitana, Lima, 15498, Perú, (RUTA DESVIO TEM.  4507)</t>
  </si>
  <si>
    <t>Avenida Metropolitana, Santa Anita, Lima Metropolitana, Lima, 15009, Perú, (RUTA DESVIO TEM.  4507)</t>
  </si>
  <si>
    <t>Avenida Huancaray, Santa Anita, Lima Metropolitana, Lima, 15009, Perú, (RUTA DESVIO TEM.  4507)</t>
  </si>
  <si>
    <t>Santa Anita, Lima Metropolitana, Lima, 15009, Perú, (RUTA DESVIO TEM.  4507)</t>
  </si>
  <si>
    <t>Avenida Huancaray, Santa Anita, Lima Metropolitana, Lima, 15009, Perú</t>
  </si>
  <si>
    <t>Avenida Huancaray, Santa Anita, Lima Metropolitana, Lima, 15009, Perú, (S04 AV. Metropolitana / Colectora Industrial)</t>
  </si>
  <si>
    <t>29 km/h</t>
  </si>
  <si>
    <t>Avenida Huancaray, Santa Anita, Lima Metropolitana, Lima, 15009, Perú, (S04 AV. Metropolitana / Colectora Industrial, RUTA DESVIO TEM.  4507)</t>
  </si>
  <si>
    <t>Avenida Huancaray, Santa Anita, Lima Metropolitana, Lima, 15007, Perú, (RUTA DESVIO TEM.  4507)</t>
  </si>
  <si>
    <t>Avenida Huancaray, Santa Anita, Lima Metropolitana, Lima, 15008, Perú, (RUTA DESVIO TEM.  4507)</t>
  </si>
  <si>
    <t>Avenida Minería, Santa Anita, Lima Metropolitana, Lima, 15008, Perú, (RUTA DESVIO TEM.  4507)</t>
  </si>
  <si>
    <t>Avenida Nicolás de Ayllón, Santa Anita, Lima Metropolitana, Lima, 15008, Perú, (RUTA DESVIO TEM.  4507)</t>
  </si>
  <si>
    <t>Avenida Los Cipreses, Santa Anita, Lima Metropolitana, Lima, 15008, Perú, (RUTA DESVIO TEM.  4507)</t>
  </si>
  <si>
    <t>Avenida Nicolás de Ayllón, Santa Anita, Lima Metropolitana, Lima, 15008, Perú</t>
  </si>
  <si>
    <t>Avenida Nicolás de Ayllón, El Agustino, Lima Metropolitana, Lima, 15008, Perú, (Ruta4507nueva era 23-10-23)</t>
  </si>
  <si>
    <t>Avenida Nicolás de Ayllón, El Agustino, Lima Metropolitana, Lima, 15002, Perú, (Ruta4507nueva era 23-10-23, RUTA DESVIO TEM.  4507)</t>
  </si>
  <si>
    <t>Avenida Nicolás de Ayllón, Ate, Lima Metropolitana, Lima, 15002, Perú, (Ruta4507nueva era 23-10-23, RUTA DESVIO TEM.  4507)</t>
  </si>
  <si>
    <t>Avenida Nicolás de Ayllón, Ate, Lima Metropolitana, Lima, 15022, Perú, (Ruta4507nueva era 23-10-23, RUTA DESVIO TEM.  4507)</t>
  </si>
  <si>
    <t>Avenida Nicolás de Ayllón, Ate, Lima Metropolitana, Lima, 15022, Perú, (Ruta4507nueva era 23-10-23)</t>
  </si>
  <si>
    <t>Avenida Nicolás Ayllón, Ate, Lima Metropolitana, Lima, 15019, Perú, (Ruta4507nueva era 23-10-23)</t>
  </si>
  <si>
    <t>Calle Ollanta, Lima, Lima Metropolitana, Lima, 15019, Perú</t>
  </si>
  <si>
    <t>Jirón Junín, El Agustino, Lima Metropolitana, Lima, 15003, Perú</t>
  </si>
  <si>
    <t>Avenida Almirante Miguel Grau, 1772, Lima, Lima Metropolitana, Lima, 15011, Perú</t>
  </si>
  <si>
    <t>Avenida Almirante Miguel Grau, 1553, Lima, Lima Metropolitana, Lima, 15011, Perú, (Ruta4507nueva era 23-10-23)</t>
  </si>
  <si>
    <t>Avenida Almirante Miguel Grau, 354, Lima, Lima Metropolitana, Lima, 15001, Perú, (Ruta4507nueva era 23-10-23)</t>
  </si>
  <si>
    <t>63 km/h</t>
  </si>
  <si>
    <t>Avenida Almirante Miguel Grau, La Victoria, Lima Metropolitana, Lima, 15001, Perú, (Ruta4507nueva era 23-10-23)</t>
  </si>
  <si>
    <t>Avenida 9 de Diciembre, 150, Lima, Lima Metropolitana, Lima, 15083, Perú, (Ruta4507nueva era 23-10-23)</t>
  </si>
  <si>
    <t>Avenida Paseo de la República, Lima, Lima Metropolitana, Lima, 15083, Perú, (Ruta4507nueva era 23-10-23)</t>
  </si>
  <si>
    <t>Avenida 9 de Diciembre, Lima, Lima Metropolitana, Lima, 15083, Perú, (Ruta4507nueva era 23-10-23)</t>
  </si>
  <si>
    <t>Avenida Almirante Miguel Grau, Lima, Lima Metropolitana, Lima, 15083, Perú, (Ruta4507nueva era 23-10-23)</t>
  </si>
  <si>
    <t>Vía Expresa Almirante Miguel Grau, La Victoria, Lima Metropolitana, Lima, 15001, Perú, (Ruta4507nueva era 23-10-23)</t>
  </si>
  <si>
    <t>Avenida Almirante Miguel Grau, 351, La Victoria, Lima Metropolitana, Lima, 15001, Perú</t>
  </si>
  <si>
    <t>Avenida Almirante Miguel Grau, 510, Lima, Lima Metropolitana, Lima, 15001, Perú, (Ruta4507nueva era 23-10-23)</t>
  </si>
  <si>
    <t>Avenida Almirante Miguel Grau, 500, La Victoria, Lima Metropolitana, Lima, 15001, Perú, (Ruta4507nueva era 23-10-23)</t>
  </si>
  <si>
    <t>Avenida Almirante Miguel Grau, 569, Lima, Lima Metropolitana, Lima, 15001, Perú, (Ruta4507nueva era 23-10-23)</t>
  </si>
  <si>
    <t>Avenida Almirante Miguel Grau, 569, Lima, Lima Metropolitana, Lima, 15001, Perú, (S02 AV.GRAU/ JR ANDAHUAYLAS, Ruta4507nueva era 23-10-23)</t>
  </si>
  <si>
    <t>Vía Expresa Almirante Miguel Grau, Lima, Lima Metropolitana, Lima, 15001, Perú, (S02 AV.GRAU/ JR ANDAHUAYLAS, Ruta4507nueva era 23-10-23)</t>
  </si>
  <si>
    <t>Vía Expresa Almirante Miguel Grau, La Victoria, Lima Metropolitana, Lima, 15001, Perú, (S02 AV.GRAU/ JR ANDAHUAYLAS, Ruta4507nueva era 23-10-23)</t>
  </si>
  <si>
    <t>Avenida Almirante Miguel Grau, Lima, Lima Metropolitana, Lima, 15001, Perú, (S02 AV.GRAU/ JR ANDAHUAYLAS, Ruta4507nueva era 23-10-23)</t>
  </si>
  <si>
    <t>Vía Expresa Almirante Miguel Grau, Lima, Lima Metropolitana, Lima, 15001, Perú, (Ruta4507nueva era 23-10-23)</t>
  </si>
  <si>
    <t>Vía Expresa Almirante Miguel Grau, Lima, Lima Metropolitana, Lima, 15011, Perú, (Ruta4507nueva era 23-10-23)</t>
  </si>
  <si>
    <t>Avenida Almirante Miguel Grau, Lima, Lima Metropolitana, Lima, 15011, Perú, (Ruta4507nueva era 23-10-23)</t>
  </si>
  <si>
    <t>Avenida Inca Garcilazo de la Vega, Lima, Lima Metropolitana, Lima, 15004, Perú</t>
  </si>
  <si>
    <t>Calle 28 de Diciembre, San Luis, Lima Metropolitana, Lima, 15019, Perú</t>
  </si>
  <si>
    <t>Avenida Nicolás Arriola, San Luis, Lima Metropolitana, Lima, 15019, Perú, (RUTA DESVIO TEM.  4507)</t>
  </si>
  <si>
    <t>Avenida Nicolás de Ayllón, Lado d 1820, San Luis, Lima Metropolitana, Lima, 15019, Perú, (RUTA DESVIO TEM.  4507)</t>
  </si>
  <si>
    <t>Avenida Nicolás de Ayllón, San Luis, Lima Metropolitana, Lima, 15022, Perú, (Ruta4507nueva era 23-10-23, RUTA DESVIO TEM.  4507)</t>
  </si>
  <si>
    <t>Avenida Nicolás de Ayllón, 1912, Ate, Lima Metropolitana, Lima, 15002, Perú, (Ruta4507nueva era 23-10-23, RUTA DESVIO TEM.  4507)</t>
  </si>
  <si>
    <t>Vía de Evitamiento, Ate, Lima Metropolitana, Lima, 15008, Perú, (Ruta4507nueva era 23-10-23, RUTA DESVIO TEM.  4507)</t>
  </si>
  <si>
    <t>Calle Santa Inés, Ate, Lima Metropolitana, Lima, 15008, Perú, (Ruta4507nueva era 23-10-23, RUTA DESVIO TEM.  4507)</t>
  </si>
  <si>
    <t>Avenida Los Cipreses, Santa Anita, Lima Metropolitana, Lima, 15002, Perú, (RUTA DESVIO TEM.  4507)</t>
  </si>
  <si>
    <t>Avenida Los Cipreses, Santa Anita, Lima Metropolitana, Lima, 15002, Perú</t>
  </si>
  <si>
    <t>Avenida Los Eucaliptos, Santa Anita, Lima Metropolitana, Lima, 15002, Perú, (RUTA DESVIO TEM.  4507)</t>
  </si>
  <si>
    <t>Avenida Los Eucaliptos, Santa Anita, Lima Metropolitana, Lima, 15008, Perú, (RUTA DESVIO TEM.  4507)</t>
  </si>
  <si>
    <t>Avenida Los Ruiseñores, Santa Anita, Lima Metropolitana, Lima, 15008, Perú, (RUTA DESVIO TEM.  4507)</t>
  </si>
  <si>
    <t>Avenida Metropolitana, Ate, Lima Metropolitana, Lima, 15498, Perú, (RUTA DESVIO TEM.  4507)</t>
  </si>
  <si>
    <t>Prolongación Javier Prado Este, Ate, Lima Metropolitana, Lima, 15498, Perú</t>
  </si>
  <si>
    <t>Avenida Metropolitana, Ate, Lima Metropolitana, Lima, 15498, Perú</t>
  </si>
  <si>
    <t>Avenida Bernardino Rivadavia, Ate, Lima Metropolitana, Lima, 15498, Perú</t>
  </si>
  <si>
    <t>Avenida Huarochiri, Santa Anita, Lima Metropolitana, Lima, 15009, Perú, (RUTA DESVIO TEM.  4507)</t>
  </si>
  <si>
    <t>Vía de Evitamiento, El Agustino, Lima Metropolitana, Lima, 15008, Perú, (Ruta4507nueva era 23-10-23)</t>
  </si>
  <si>
    <t>Avenida Nicolás de Ayllón, El Agustino, Lima Metropolitana, Lima, 15008, Perú, (Ruta4507nueva era 23-10-23, RUTA DESVIO TEM.  4507)</t>
  </si>
  <si>
    <t>Calle El Pino, El Agustino, Lima Metropolitana, Lima, 15004, Perú</t>
  </si>
  <si>
    <t>Avenida Nicolás Ayllón, 137, Lima, Lima Metropolitana, Lima, 15011, Perú, (Ruta4507nueva era 23-10-23)</t>
  </si>
  <si>
    <t>Avenida Almirante Miguel Grau, 1518, Lima, Lima Metropolitana, Lima, 15011, Perú, (Ruta4507nueva era 23-10-23)</t>
  </si>
  <si>
    <t>Avenida Almirante Miguel Grau, 1499, Lima, Lima Metropolitana, Lima, 15011, Perú, (Ruta4507nueva era 23-10-23)</t>
  </si>
  <si>
    <t>Avenida Almirante Miguel Grau, 1200, Lima, Lima Metropolitana, Lima, 15011, Perú, (Ruta4507nueva era 23-10-23)</t>
  </si>
  <si>
    <t>Avenida Paseo de la República, Lima, Lima Metropolitana, Lima, 15001, Perú, (Ruta4507nueva era 23-10-23)</t>
  </si>
  <si>
    <t>Avenida Paseo de la República, Lima, Lima Metropolitana, Lima, 15001, Perú</t>
  </si>
  <si>
    <t>Avenida Almirante Miguel Grau, 364, La Victoria, Lima Metropolitana, Lima, 15001, Perú, (Ruta4507nueva era 23-10-23)</t>
  </si>
  <si>
    <t>Vía Expresa Almirante Miguel Grau, La Victoria, Lima Metropolitana, Lima, 15011, Perú, (Ruta4507nueva era 23-10-23)</t>
  </si>
  <si>
    <t>Avenida Circunvalación, La Victoria, Lima Metropolitana, Lima, 15019, Perú</t>
  </si>
  <si>
    <t>Avenida Nicolás de Ayllón, Ate, Lima Metropolitana, Lima, 15008, Perú, (Ruta4507nueva era 23-10-23, RUTA DESVIO TEM.  4507)</t>
  </si>
  <si>
    <t>64 km/h</t>
  </si>
  <si>
    <t>Avenida Río Perene, Ate, Lima Metropolitana, Lima, 15498, Perú, (Ruta4507nueva era 23-10-23)</t>
  </si>
  <si>
    <t>Ate, Lima Metropolitana, Lima, 15498, Perú, (Ruta4507nueva era 23-10-23)</t>
  </si>
  <si>
    <t>Avenida Nicolás de Ayllón, 4770, Ate, Lima Metropolitana, Lima, 15498, Perú, (Ruta4507nueva era 23-10-23)</t>
  </si>
  <si>
    <t>Marcos Puente Llanos, Ate, Lima Metropolitana, Lima, 15498, Perú, (Ruta4507nueva era 23-10-23)</t>
  </si>
  <si>
    <t>Avenida Nicolás de Ayllón, Ate, Lima Metropolitana, Lima, 15498, Perú, (S05Vitarte/ ALT. Hospital, Ruta4507nueva era 23-10-23)</t>
  </si>
  <si>
    <t>Avenida José Carlos Mariátegui, Ate, Lima Metropolitana, Lima, 15498, Perú, (S05Vitarte/ ALT. Hospital, Ruta4507nueva era 23-10-23)</t>
  </si>
  <si>
    <t>Avenida Gloria Grande, Ate, Lima Metropolitana, Lima, 15483, Perú, (Ruta4507nueva era 23-10-23)</t>
  </si>
  <si>
    <t>Carretera Central, Lurigancho, Lima Metropolitana, Lima, 15483, Perú, (Ruta4507nueva era 23-10-23)</t>
  </si>
  <si>
    <t>Calle B, Ate, Lima Metropolitana, Lima, 15483, Perú</t>
  </si>
  <si>
    <t>Simón Bolívar, Ricardo Palma, Huarochirí, Lima, 15468, Perú, (Ruta4507nueva era 23-10-23)</t>
  </si>
  <si>
    <t>Jose Carlos Mariátegui, Chosica, Lima Metropolitana, Lima, 15468, Perú, (PARADERO RICARDO PALMA)</t>
  </si>
  <si>
    <t>Avenida Almirante Miguel Grau, 300, La Victoria, Lima Metropolitana, Lima, 15001, Perú, (Ruta4507nueva era 23-10-23)</t>
  </si>
  <si>
    <t>59 km/h</t>
  </si>
  <si>
    <t>Calle Abraham Valdelomar, 108, Ricardo Palma, Huarochirí, Lima, 15468, Perú</t>
  </si>
  <si>
    <t>Abraham Valdelomar, Ricardo Palma, Huarochirí, Lima, 15468, Perú</t>
  </si>
  <si>
    <t>Calle Córdova, 103, Ricardo Palma, Huarochirí, Lima, 15468, Perú, (Ruta4507nueva era 23-10-23)</t>
  </si>
  <si>
    <t>Jose Carlos Mariátegui, Ricardo Palma, Lima Metropolitana, Lima, 15468, Perú, (Exceso de Velocidad)</t>
  </si>
  <si>
    <t>Jirón Huarochirí, Lima, Lima Metropolitana, Lima, 15082, Perú, (Ruta4507nueva era 23-10-23)</t>
  </si>
  <si>
    <t>Pasaje Gould, Lima, Lima Metropolitana, Lima, 15082, Perú, (PARADERO DESTINO ASCOPE)</t>
  </si>
  <si>
    <t>Avenida Simón Bolívar, Santa Eulalia, Huarochirí, Lima, 15468, Perú, (Ruta4507nueva era 23-10-23)</t>
  </si>
  <si>
    <t>85 km/h</t>
  </si>
  <si>
    <t>Jirón Trujillo Norte, 523, Chosica, Lima Metropolitana, Lima, 15468, Perú</t>
  </si>
  <si>
    <t>55 km/h</t>
  </si>
  <si>
    <t>Avenida de La Cultura, Santa Anita, Lima Metropolitana, Lima, 15009, Perú</t>
  </si>
  <si>
    <t>Calle Los Paujiles, Santa Anita, Lima Metropolitana, Lima, 15008, Perú</t>
  </si>
  <si>
    <t>Jirón Huarochirí, 643, Lima, Lima Metropolitana, Lima, 15082, Perú</t>
  </si>
  <si>
    <t>Avenida Óscar Raimundo Benavides, 150, Lima, Lima Metropolitana, Lima, 15082, Perú</t>
  </si>
  <si>
    <t>Avenida Los Rosales, Ate, Lima Metropolitana, Lima, 15008, Perú, (Ruta4507nueva era 23-10-23)</t>
  </si>
  <si>
    <t>62 km/h</t>
  </si>
  <si>
    <t>Calle Principal, Lurigancho, Lima Metropolitana, Lima, 15474, Perú</t>
  </si>
  <si>
    <t>58 km/h</t>
  </si>
  <si>
    <t>Calle 24 de Setiembre, Lurigancho, Lima Metropolitana, Lima, 15487, Perú</t>
  </si>
  <si>
    <t>48 km/h</t>
  </si>
  <si>
    <t>Calle Arequipa, Ate, Lima Metropolitana, Lima, 15498, Perú</t>
  </si>
  <si>
    <t>71 km/h</t>
  </si>
  <si>
    <t>Avenida Óscar Raimundo Benavides, 213, Lima, Lima Metropolitana, Lima, 15082, Perú</t>
  </si>
  <si>
    <t>Carretera Central, Ricardo Palma, Huarochirí, Lima, 15468, Perú</t>
  </si>
  <si>
    <t>Ciclovía Colonial, Lima, Lima Metropolitana, Lima, 15082, Perú</t>
  </si>
  <si>
    <t>Avenida Paseo de la República, 385, La Victoria, Lima Metropolitana, Lima, 15001, Perú</t>
  </si>
  <si>
    <t>Vía Expresa Luis Fernán Bedoya Reyes, La Victoria, Lima Metropolitana, Lima, 15001, Perú</t>
  </si>
  <si>
    <t>Avenida Andrés Avelino Cáceres, Ate, Lima Metropolitana, Lima, 15474, Perú</t>
  </si>
  <si>
    <t>Avenida Los Incas, 205, Ate, Lima Metropolitana, Lima, 15483, Perú</t>
  </si>
  <si>
    <t>Avenida Andrés Avelino Cáceres, Ate, Lima Metropolitana, Lima, 15019, Perú</t>
  </si>
  <si>
    <t>Avenida Santa Cecilia, Ate, Lima Metropolitana, Lima, 15002, Perú</t>
  </si>
  <si>
    <t>Calle Las Praderas, Ate, Lima Metropolitana, Lima, 15487, Perú, (Ruta4507nueva era 23-10-23)</t>
  </si>
  <si>
    <t>Chaclacayo, Lima Metropolitana, Lima, 15474, Perú</t>
  </si>
  <si>
    <t>Carretera Central, Chaclacayo, Lima Metropolitana, Lima, 15474, Perú</t>
  </si>
  <si>
    <t>Avenida 15 de Julio, Ate, Lima Metropolitana, Lima, 15483, Perú</t>
  </si>
  <si>
    <t>Avenida 15 de Julio, Lote 4, Ate, Lima Metropolitana, Lima, 15483, Perú</t>
  </si>
  <si>
    <t>Avenida Nicolás Ayllón, Chaclacayo, Lima Metropolitana, Lima, 15472, Perú</t>
  </si>
  <si>
    <t>Carretera Central, Ate, Lima Metropolitana, Lima, 15483, Perú</t>
  </si>
  <si>
    <t>Avenida La Paz, G2, Santa Eulalia, Huarochirí, Lima, 15500, Perú</t>
  </si>
  <si>
    <t>Carretera Central, Ate, Lima Metropolitana, Lima, 15487, Perú, (S06 SANTA CLARA)</t>
  </si>
  <si>
    <t>Carretera Central, Ate, Lima Metropolitana, Lima, 15483, Perú, (Ruta4507nueva era 23-10-23)</t>
  </si>
  <si>
    <t>Avenida Alfonso Cobián, Chaclacayo, Lima Metropolitana, Lima, 15476, Perú</t>
  </si>
  <si>
    <t>Jirón Zepita, 101, Lima, Lima Metropolitana, Lima, 15082, Perú</t>
  </si>
  <si>
    <t>Avenida Alfonso Ugarte, Lima, Lima Metropolitana, Lima, 15082, Perú, (Ruta4507nueva era 23-10-23)</t>
  </si>
  <si>
    <t>Jirón Sánchez Pinillos, Lima, Lima Metropolitana, Lima, 15082, Perú, (Ruta4507nueva era 23-10-23)</t>
  </si>
  <si>
    <t>Avenida Óscar Raimundo Benavides, 153, Lima, Lima Metropolitana, Lima, 15082, Perú</t>
  </si>
  <si>
    <t>Víctor Raúl Haya de la Torre, Ate, Lima Metropolitana, Lima, 15498, Perú</t>
  </si>
  <si>
    <t>Vista Alegre, Ate, Lima Metropolitana, Lima, 15498, Perú</t>
  </si>
  <si>
    <t>Vista Alegre, Ate, Lima Metropolitana, Lima, 15498, Perú, (Ruta4507nueva era 23-10-23)</t>
  </si>
  <si>
    <t>Calle 11, Santa Anita, Lima Metropolitana, Lima, 15009, Perú</t>
  </si>
  <si>
    <t>Avenida Central, Ate, Lima Metropolitana, Lima, 15498, Perú, (RUTA DESVIO TEM.  4507)</t>
  </si>
  <si>
    <t>Victor Raul Haya de la Torre, Ate, Lima Metropolitana, Lima, 15498, Perú, (Ruta4507nueva era 23-10-23)</t>
  </si>
  <si>
    <t>Jirón Antonio Raimondi, 400, La Victoria, Lima Metropolitana, Lima, 15001, Perú</t>
  </si>
  <si>
    <t>Jirón Los Próceres, Santa Eulalia, Huarochirí, Lima, 15468, Perú, (Ruta4507nueva era 23-10-23)</t>
  </si>
  <si>
    <t>Avenida Lima Norte, Santa Eulalia, Huarochirí, Lima, 15468, Perú</t>
  </si>
  <si>
    <t>Avenida Paseo de la República, Lima, Lima Metropolitana, Lima, 15083, Perú</t>
  </si>
  <si>
    <t>Avenida Lima Sur, Chosica, Lima Metropolitana, Lima, 15468, Perú</t>
  </si>
  <si>
    <t>Jirón Tacna, Chosica, Lima Metropolitana, Lima, 15468, Perú, (Ruta4507nueva era 23-10-23)</t>
  </si>
  <si>
    <t>Prolongación Avenida San Pablo, Lima, Lima Metropolitana, Lima, 15011, Perú</t>
  </si>
  <si>
    <t>Avenida Nicolás de Ayllón, Ate, Lima Metropolitana, Lima, 15002, Perú</t>
  </si>
  <si>
    <t>Avenida Iquitos, Lima, Lima Metropolitana, Lima, 15001, Perú, (Ruta4507nueva era 23-10-23)</t>
  </si>
  <si>
    <t>Avenida San Martín, Santa Eulalia, Huarochirí, Lima, 15468, Perú</t>
  </si>
  <si>
    <t>Avenida José Carlos Mariátegui, Ricardo Palma, Huarochirí, Lima, 15468, Perú, (CURVA RICARDO PALMA, Ruta4507nueva era 23-10-23)</t>
  </si>
  <si>
    <t>Jose Carlos Mariátegui, Ricardo Palma, Lima Metropolitana, Lima, 15468, Perú, (PARADERO RICARDO PALMA, Exceso de Velocidad)</t>
  </si>
  <si>
    <t>Jirón Cornelio Borda, Lima, Lima Metropolitana, Lima, 15082, Perú</t>
  </si>
  <si>
    <t>Jirón Coronel Miguel Baquero, 190, Lima, Lima Metropolitana, Lima, 15082, Perú</t>
  </si>
  <si>
    <t>Calle 20 de Enero, Santa Eulalia, Huarochirí, Lima, 15468, Perú</t>
  </si>
  <si>
    <t>Calle Los Robles, Chaclacayo, Lima Metropolitana, Lima, 15472, Perú, (Ruta4507nueva era 23-10-23)</t>
  </si>
  <si>
    <t>Calle Las Palmeras, Chaclacayo, Lima Metropolitana, Lima, 15472, Perú</t>
  </si>
  <si>
    <t>Avenida Colectora, Ate, Lima Metropolitana, Lima, 15483, Perú</t>
  </si>
  <si>
    <t>Simón Bolívar, Ricardo Palma, Huarochirí, Lima, 15468, Perú, (TALLER TRASANDINO)</t>
  </si>
  <si>
    <t>93 km/h</t>
  </si>
  <si>
    <t>Calle Camino Real, Chosica, Lima Metropolitana, Lima, 15468, Perú</t>
  </si>
  <si>
    <t>Calle Alhelíes, Chaclacayo, Lima Metropolitana, Lima, 15476, Perú</t>
  </si>
  <si>
    <t>Alameda E, Chaclacayo, Lima Metropolitana, Lima, 15476, Perú</t>
  </si>
  <si>
    <t>Jirón Cornelio Borda, Breña, Lima Metropolitana, Lima, 15082, Perú, (Ruta4507nueva era 23-10-23)</t>
  </si>
  <si>
    <t>Calle Berlín, Ate, Lima Metropolitana, Lima, 15498, Perú, (RUTA DESVIO TEM.  4507)</t>
  </si>
  <si>
    <t>Avenida De Las Torres, 225, San Luis, Lima Metropolitana, Lima, 15022, Perú</t>
  </si>
  <si>
    <t>Los Olivos, Ate, Lima Metropolitana, Lima, 15498, Perú</t>
  </si>
  <si>
    <t>Ate, Lima Metropolitana, Lima, 15009, Perú, (Ruta4507nueva era 23-10-23)</t>
  </si>
  <si>
    <t>Las Alondras, 237, Santa Anita, Lima Metropolitana, Lima, 15008, Perú, (Ruta4507nueva era 23-10-23)</t>
  </si>
  <si>
    <t>Objeto 1</t>
  </si>
  <si>
    <t>Objeto 2</t>
  </si>
  <si>
    <t>Objeto 3</t>
  </si>
  <si>
    <t>Objeto 4</t>
  </si>
  <si>
    <t>Objeto 5</t>
  </si>
  <si>
    <t>Objeto 6</t>
  </si>
  <si>
    <t>Objeto 7</t>
  </si>
  <si>
    <t>Objeto 8</t>
  </si>
  <si>
    <t>Objeto 9</t>
  </si>
  <si>
    <t>Objeto 10</t>
  </si>
  <si>
    <t>Objeto 11</t>
  </si>
  <si>
    <t>Objeto 12</t>
  </si>
  <si>
    <t>Objeto 13</t>
  </si>
  <si>
    <t>Objeto 14</t>
  </si>
  <si>
    <t>Objeto 15</t>
  </si>
  <si>
    <t>Objeto 16</t>
  </si>
  <si>
    <t>Objeto 17</t>
  </si>
  <si>
    <t>Objeto 18</t>
  </si>
  <si>
    <t>Objeto 19</t>
  </si>
  <si>
    <t>Objeto 20</t>
  </si>
  <si>
    <t>Objeto 21</t>
  </si>
  <si>
    <t>Objeto 22</t>
  </si>
  <si>
    <t>Objeto 23</t>
  </si>
  <si>
    <t>Objeto 24</t>
  </si>
  <si>
    <t>Objeto 25</t>
  </si>
  <si>
    <t>Objeto 26</t>
  </si>
  <si>
    <t>Objeto 27</t>
  </si>
  <si>
    <t>Objeto 28</t>
  </si>
  <si>
    <t>Objeto 29</t>
  </si>
  <si>
    <t>Objeto 30</t>
  </si>
  <si>
    <t>Objeto 31</t>
  </si>
  <si>
    <t>Objeto 32</t>
  </si>
  <si>
    <t>Objeto 33</t>
  </si>
  <si>
    <t>Objeto 34</t>
  </si>
  <si>
    <t>Objeto 35</t>
  </si>
  <si>
    <t>Objeto 36</t>
  </si>
  <si>
    <t>Objeto 37</t>
  </si>
  <si>
    <t>Objeto 38</t>
  </si>
  <si>
    <t>Objeto 39</t>
  </si>
  <si>
    <t>Objeto 40</t>
  </si>
  <si>
    <t>Objeto 41</t>
  </si>
  <si>
    <t>Objeto 42</t>
  </si>
  <si>
    <t>Objeto 43</t>
  </si>
  <si>
    <t>Objeto 44</t>
  </si>
  <si>
    <t>Objeto 45</t>
  </si>
  <si>
    <t>Objeto 46</t>
  </si>
  <si>
    <t>Objeto 47</t>
  </si>
  <si>
    <t>Objeto 48</t>
  </si>
  <si>
    <t>Objeto 49</t>
  </si>
  <si>
    <t>Objeto 50</t>
  </si>
  <si>
    <t>Objeto 51</t>
  </si>
  <si>
    <t>Objeto 52</t>
  </si>
  <si>
    <t>Objeto 53</t>
  </si>
  <si>
    <t>Objeto 54</t>
  </si>
  <si>
    <t>Objeto 55</t>
  </si>
  <si>
    <t>Objeto 56</t>
  </si>
  <si>
    <t>Objeto 57</t>
  </si>
  <si>
    <t>Objeto 58</t>
  </si>
  <si>
    <t>Objeto 59</t>
  </si>
  <si>
    <t>Objeto 60</t>
  </si>
  <si>
    <t>Objeto 61</t>
  </si>
  <si>
    <t>Objeto 62</t>
  </si>
  <si>
    <t>Objeto 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</si>
</sst>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:mm:ss"/>
    <numFmt numFmtId="165" formatCode="&quot;&quot;#,##0.0##&quot; km&quot;"/>
  </numFmts>
  <fonts count="5" x14ac:knownFonts="1">
    <font>
      <sz val="11"/>
      <color theme="1"/>
      <name val="Calibri"/>
      <family val="2"/>
      <scheme val="minor"/>
    </font>
    <font>
      <b/>
      <sz val="18"/>
      <name val="Calibri"/>
    </font>
    <font>
      <b/>
      <sz val="11"/>
      <name val="Calibri"/>
    </font>
    <font>
      <i/>
      <sz val="11"/>
      <name val="Calibri"/>
    </font>
    <font>
      <b/>
      <sz val="16"/>
      <name val="Calibri"/>
    </font>
  </fonts>
  <fills count="3">
    <fill>
      <patternFill patternType="none"/>
    </fill>
    <fill>
      <patternFill patternType="gray125"/>
    </fill>
    <fill>
      <patternFill patternType="darkTrellis">
        <fgColor rgb="FFD9D9D9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wrapText="1"/>
    </xf>
    <xf numFmtId="164" fontId="0" fillId="0" borderId="0" xfId="0" applyNumberFormat="1"/>
    <xf numFmtId="165" fontId="0" fillId="0" borderId="0" xfId="0" applyNumberFormat="1"/>
    <xf numFmtId="46" fontId="0" fillId="0" borderId="0" xfId="0" applyNumberFormat="1"/>
    <xf numFmtId="0" fontId="0" fillId="2" borderId="2" xfId="0" applyFill="1" applyBorder="1"/>
    <xf numFmtId="165" fontId="0" fillId="2" borderId="2" xfId="0" applyNumberFormat="1" applyFill="1" applyBorder="1"/>
    <xf numFmtId="46" fontId="0" fillId="2" borderId="2" xfId="0" applyNumberFormat="1" applyFill="1" applyBorder="1"/>
    <xf numFmtId="0" fontId="3" fillId="0" borderId="0" xfId="0" applyFont="1"/>
    <xf numFmtId="0" fontId="4" fillId="0" borderId="0" xfId="0" applyFont="1"/>
    <xf numFmtId="0" fontId="1" fillId="0" borderId="0" xfId="0" applyFont="1"/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M1213"/>
  <sheetViews>
    <sheetView tabSelected="1" workbookViewId="0">
      <selection sqref="A1:J1"/>
    </sheetView>
  </sheetViews>
  <sheetFormatPr baseColWidth="10" defaultColWidth="9.140625" defaultRowHeight="15" x14ac:dyDescent="0.25"/>
  <cols>
    <col min="1" max="30" width="19" customWidth="1"/>
  </cols>
  <sheetData>
    <row r="1" spans="1:13" ht="24" customHeight="1" x14ac:dyDescent="0.3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</row>
    <row r="2" spans="1:13" x14ac:dyDescent="0.25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</row>
    <row r="3" spans="1:13" x14ac:dyDescent="0.25">
      <c r="A3" s="12" t="s">
        <v>2</v>
      </c>
      <c r="B3" s="12"/>
      <c r="C3" s="12"/>
      <c r="D3" s="12"/>
      <c r="E3" s="12"/>
      <c r="F3" s="12"/>
      <c r="G3" s="12"/>
      <c r="H3" s="12"/>
      <c r="I3" s="12"/>
      <c r="J3" s="12"/>
    </row>
    <row r="4" spans="1:13" x14ac:dyDescent="0.25">
      <c r="A4" s="12" t="s">
        <v>3</v>
      </c>
      <c r="B4" s="12"/>
      <c r="C4" s="12"/>
      <c r="D4" s="12"/>
      <c r="E4" s="12"/>
      <c r="F4" s="12"/>
      <c r="G4" s="12"/>
      <c r="H4" s="12"/>
      <c r="I4" s="12"/>
      <c r="J4" s="12"/>
    </row>
    <row r="5" spans="1:13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</row>
    <row r="6" spans="1:13" s="1" customFormat="1" x14ac:dyDescent="0.25">
      <c r="A6" s="13" t="s">
        <v>4</v>
      </c>
      <c r="B6" s="13"/>
      <c r="C6" s="13"/>
      <c r="D6" s="13"/>
      <c r="E6" s="13"/>
      <c r="F6" s="13"/>
      <c r="G6" s="13"/>
      <c r="H6" s="13"/>
      <c r="I6" s="13"/>
      <c r="J6" s="13"/>
    </row>
    <row r="7" spans="1:13" ht="30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  <c r="K7" s="2" t="s">
        <v>15</v>
      </c>
      <c r="L7" s="2" t="s">
        <v>16</v>
      </c>
      <c r="M7" s="2" t="s">
        <v>17</v>
      </c>
    </row>
    <row r="8" spans="1:13" x14ac:dyDescent="0.25">
      <c r="A8" t="s">
        <v>391</v>
      </c>
      <c r="B8" s="3">
        <v>45713.182476851856</v>
      </c>
      <c r="C8" t="s">
        <v>18</v>
      </c>
      <c r="D8" s="3">
        <v>45713.912974537037</v>
      </c>
      <c r="E8" t="s">
        <v>18</v>
      </c>
      <c r="F8" s="4">
        <v>230.05599999999998</v>
      </c>
      <c r="G8" s="4">
        <v>516332.31400000001</v>
      </c>
      <c r="H8" s="4">
        <v>516562.37</v>
      </c>
      <c r="I8" s="5">
        <f>15956 / 86400</f>
        <v>0.18467592592592594</v>
      </c>
      <c r="J8" t="s">
        <v>19</v>
      </c>
      <c r="K8" t="s">
        <v>20</v>
      </c>
      <c r="L8" s="5">
        <f>48495 / 86400</f>
        <v>0.56128472222222225</v>
      </c>
      <c r="M8" s="5">
        <f>37901 / 86400</f>
        <v>0.43866898148148148</v>
      </c>
    </row>
    <row r="9" spans="1:13" x14ac:dyDescent="0.25">
      <c r="A9" t="s">
        <v>392</v>
      </c>
      <c r="B9" s="3">
        <v>45713.098715277782</v>
      </c>
      <c r="C9" t="s">
        <v>21</v>
      </c>
      <c r="D9" s="3">
        <v>45713.901817129634</v>
      </c>
      <c r="E9" t="s">
        <v>21</v>
      </c>
      <c r="F9" s="4">
        <v>0</v>
      </c>
      <c r="G9" s="4">
        <v>20850.677</v>
      </c>
      <c r="H9" s="4">
        <v>20850.677</v>
      </c>
      <c r="I9" s="5">
        <f>61542 / 86400</f>
        <v>0.71229166666666666</v>
      </c>
      <c r="J9" t="s">
        <v>22</v>
      </c>
      <c r="K9" t="s">
        <v>22</v>
      </c>
      <c r="L9" s="5">
        <f>61614 / 86400</f>
        <v>0.71312500000000001</v>
      </c>
      <c r="M9" s="5">
        <f>24781 / 86400</f>
        <v>0.28681712962962963</v>
      </c>
    </row>
    <row r="10" spans="1:13" x14ac:dyDescent="0.25">
      <c r="A10" t="s">
        <v>393</v>
      </c>
      <c r="B10" s="3">
        <v>45713.235972222217</v>
      </c>
      <c r="C10" t="s">
        <v>23</v>
      </c>
      <c r="D10" s="3">
        <v>45713.88762731482</v>
      </c>
      <c r="E10" t="s">
        <v>24</v>
      </c>
      <c r="F10" s="4">
        <v>176.91400000000002</v>
      </c>
      <c r="G10" s="4">
        <v>330416.886</v>
      </c>
      <c r="H10" s="4">
        <v>330593.8</v>
      </c>
      <c r="I10" s="5">
        <f>12567 / 86400</f>
        <v>0.14545138888888889</v>
      </c>
      <c r="J10" t="s">
        <v>25</v>
      </c>
      <c r="K10" t="s">
        <v>26</v>
      </c>
      <c r="L10" s="5">
        <f>34582 / 86400</f>
        <v>0.40025462962962965</v>
      </c>
      <c r="M10" s="5">
        <f>51811 / 86400</f>
        <v>0.59966435185185185</v>
      </c>
    </row>
    <row r="11" spans="1:13" x14ac:dyDescent="0.25">
      <c r="A11" t="s">
        <v>394</v>
      </c>
      <c r="B11" s="3">
        <v>45713.285405092596</v>
      </c>
      <c r="C11" t="s">
        <v>27</v>
      </c>
      <c r="D11" s="3">
        <v>45713.943136574075</v>
      </c>
      <c r="E11" t="s">
        <v>27</v>
      </c>
      <c r="F11" s="4">
        <v>163.059</v>
      </c>
      <c r="G11" s="4">
        <v>21964.32</v>
      </c>
      <c r="H11" s="4">
        <v>22127.379000000001</v>
      </c>
      <c r="I11" s="5">
        <f>14648 / 86400</f>
        <v>0.16953703703703704</v>
      </c>
      <c r="J11" t="s">
        <v>28</v>
      </c>
      <c r="K11" t="s">
        <v>29</v>
      </c>
      <c r="L11" s="5">
        <f>41242 / 86400</f>
        <v>0.47733796296296294</v>
      </c>
      <c r="M11" s="5">
        <f>45152 / 86400</f>
        <v>0.52259259259259261</v>
      </c>
    </row>
    <row r="12" spans="1:13" x14ac:dyDescent="0.25">
      <c r="A12" t="s">
        <v>395</v>
      </c>
      <c r="B12" s="3">
        <v>45713.246365740742</v>
      </c>
      <c r="C12" t="s">
        <v>30</v>
      </c>
      <c r="D12" s="3">
        <v>45713.913923611108</v>
      </c>
      <c r="E12" t="s">
        <v>30</v>
      </c>
      <c r="F12" s="4">
        <v>206.381</v>
      </c>
      <c r="G12" s="4">
        <v>515573.22100000002</v>
      </c>
      <c r="H12" s="4">
        <v>515779.60200000001</v>
      </c>
      <c r="I12" s="5">
        <f>18140 / 86400</f>
        <v>0.2099537037037037</v>
      </c>
      <c r="J12" t="s">
        <v>31</v>
      </c>
      <c r="K12" t="s">
        <v>32</v>
      </c>
      <c r="L12" s="5">
        <f>47800 / 86400</f>
        <v>0.5532407407407407</v>
      </c>
      <c r="M12" s="5">
        <f>38596 / 86400</f>
        <v>0.44671296296296298</v>
      </c>
    </row>
    <row r="13" spans="1:13" x14ac:dyDescent="0.25">
      <c r="A13" t="s">
        <v>396</v>
      </c>
      <c r="B13" s="3">
        <v>45713.348425925928</v>
      </c>
      <c r="C13" t="s">
        <v>27</v>
      </c>
      <c r="D13" s="3">
        <v>45713.605613425927</v>
      </c>
      <c r="E13" t="s">
        <v>27</v>
      </c>
      <c r="F13" s="4">
        <v>3.3200000000000003</v>
      </c>
      <c r="G13" s="4">
        <v>93381.631999999998</v>
      </c>
      <c r="H13" s="4">
        <v>93384.952000000005</v>
      </c>
      <c r="I13" s="5">
        <f>655 / 86400</f>
        <v>7.5810185185185182E-3</v>
      </c>
      <c r="J13" t="s">
        <v>33</v>
      </c>
      <c r="K13" t="s">
        <v>34</v>
      </c>
      <c r="L13" s="5">
        <f>1750 / 86400</f>
        <v>2.0254629629629629E-2</v>
      </c>
      <c r="M13" s="5">
        <f>84641 / 86400</f>
        <v>0.97964120370370367</v>
      </c>
    </row>
    <row r="14" spans="1:13" x14ac:dyDescent="0.25">
      <c r="A14" t="s">
        <v>397</v>
      </c>
      <c r="B14" s="3">
        <v>45713.172777777778</v>
      </c>
      <c r="C14" t="s">
        <v>18</v>
      </c>
      <c r="D14" s="3">
        <v>45713.818148148144</v>
      </c>
      <c r="E14" t="s">
        <v>18</v>
      </c>
      <c r="F14" s="4">
        <v>249.95</v>
      </c>
      <c r="G14" s="4">
        <v>140509.554</v>
      </c>
      <c r="H14" s="4">
        <v>140759.50399999999</v>
      </c>
      <c r="I14" s="5">
        <f>16963 / 86400</f>
        <v>0.19633101851851853</v>
      </c>
      <c r="J14" t="s">
        <v>35</v>
      </c>
      <c r="K14" t="s">
        <v>26</v>
      </c>
      <c r="L14" s="5">
        <f>50702 / 86400</f>
        <v>0.58682870370370366</v>
      </c>
      <c r="M14" s="5">
        <f>35693 / 86400</f>
        <v>0.41311342592592593</v>
      </c>
    </row>
    <row r="15" spans="1:13" x14ac:dyDescent="0.25">
      <c r="A15" t="s">
        <v>398</v>
      </c>
      <c r="B15" s="3">
        <v>45713.348900462966</v>
      </c>
      <c r="C15" t="s">
        <v>27</v>
      </c>
      <c r="D15" s="3">
        <v>45713.997106481482</v>
      </c>
      <c r="E15" t="s">
        <v>36</v>
      </c>
      <c r="F15" s="4">
        <v>129.01802049034833</v>
      </c>
      <c r="G15" s="4">
        <v>350570.11307178187</v>
      </c>
      <c r="H15" s="4">
        <v>350707.15441842761</v>
      </c>
      <c r="I15" s="5">
        <f>0 / 86400</f>
        <v>0</v>
      </c>
      <c r="J15" t="s">
        <v>37</v>
      </c>
      <c r="K15" t="s">
        <v>38</v>
      </c>
      <c r="L15" s="5">
        <f>20474 / 86400</f>
        <v>0.23696759259259259</v>
      </c>
      <c r="M15" s="5">
        <f>65925 / 86400</f>
        <v>0.76302083333333337</v>
      </c>
    </row>
    <row r="16" spans="1:13" x14ac:dyDescent="0.25">
      <c r="A16" t="s">
        <v>399</v>
      </c>
      <c r="B16" s="3">
        <v>45713.169108796297</v>
      </c>
      <c r="C16" t="s">
        <v>39</v>
      </c>
      <c r="D16" s="3">
        <v>45713.662673611107</v>
      </c>
      <c r="E16" t="s">
        <v>39</v>
      </c>
      <c r="F16" s="4">
        <v>176.79399999999998</v>
      </c>
      <c r="G16" s="4">
        <v>485713.54700000002</v>
      </c>
      <c r="H16" s="4">
        <v>485890.34100000001</v>
      </c>
      <c r="I16" s="5">
        <f>12045 / 86400</f>
        <v>0.13940972222222223</v>
      </c>
      <c r="J16" t="s">
        <v>40</v>
      </c>
      <c r="K16" t="s">
        <v>32</v>
      </c>
      <c r="L16" s="5">
        <f>38747 / 86400</f>
        <v>0.44846064814814812</v>
      </c>
      <c r="M16" s="5">
        <f>47650 / 86400</f>
        <v>0.55150462962962965</v>
      </c>
    </row>
    <row r="17" spans="1:13" x14ac:dyDescent="0.25">
      <c r="A17" t="s">
        <v>400</v>
      </c>
      <c r="B17" s="3">
        <v>45713.129849537036</v>
      </c>
      <c r="C17" t="s">
        <v>41</v>
      </c>
      <c r="D17" s="3">
        <v>45713.884421296301</v>
      </c>
      <c r="E17" t="s">
        <v>42</v>
      </c>
      <c r="F17" s="4">
        <v>300.64500000000004</v>
      </c>
      <c r="G17" s="4">
        <v>510180.92</v>
      </c>
      <c r="H17" s="4">
        <v>510481.565</v>
      </c>
      <c r="I17" s="5">
        <f>20449 / 86400</f>
        <v>0.23667824074074073</v>
      </c>
      <c r="J17" t="s">
        <v>43</v>
      </c>
      <c r="K17" t="s">
        <v>20</v>
      </c>
      <c r="L17" s="5">
        <f>64125 / 86400</f>
        <v>0.7421875</v>
      </c>
      <c r="M17" s="5">
        <f>22270 / 86400</f>
        <v>0.25775462962962964</v>
      </c>
    </row>
    <row r="18" spans="1:13" x14ac:dyDescent="0.25">
      <c r="A18" t="s">
        <v>401</v>
      </c>
      <c r="B18" s="3">
        <v>45713.238298611112</v>
      </c>
      <c r="C18" t="s">
        <v>44</v>
      </c>
      <c r="D18" s="3">
        <v>45713.760717592595</v>
      </c>
      <c r="E18" t="s">
        <v>44</v>
      </c>
      <c r="F18" s="4">
        <v>105.907</v>
      </c>
      <c r="G18" s="4">
        <v>409275.33500000002</v>
      </c>
      <c r="H18" s="4">
        <v>409381.29599999997</v>
      </c>
      <c r="I18" s="5">
        <f>12125 / 86400</f>
        <v>0.14033564814814814</v>
      </c>
      <c r="J18" t="s">
        <v>40</v>
      </c>
      <c r="K18" t="s">
        <v>45</v>
      </c>
      <c r="L18" s="5">
        <f>30055 / 86400</f>
        <v>0.34785879629629629</v>
      </c>
      <c r="M18" s="5">
        <f>56343 / 86400</f>
        <v>0.65211805555555558</v>
      </c>
    </row>
    <row r="19" spans="1:13" x14ac:dyDescent="0.25">
      <c r="A19" t="s">
        <v>402</v>
      </c>
      <c r="B19" s="3">
        <v>45713.27065972222</v>
      </c>
      <c r="C19" t="s">
        <v>46</v>
      </c>
      <c r="D19" s="3">
        <v>45713.948599537034</v>
      </c>
      <c r="E19" t="s">
        <v>46</v>
      </c>
      <c r="F19" s="4">
        <v>204.59700000000001</v>
      </c>
      <c r="G19" s="4">
        <v>439104.91800000001</v>
      </c>
      <c r="H19" s="4">
        <v>439309.51500000001</v>
      </c>
      <c r="I19" s="5">
        <f>20775 / 86400</f>
        <v>0.2404513888888889</v>
      </c>
      <c r="J19" t="s">
        <v>47</v>
      </c>
      <c r="K19" t="s">
        <v>29</v>
      </c>
      <c r="L19" s="5">
        <f>51426 / 86400</f>
        <v>0.59520833333333334</v>
      </c>
      <c r="M19" s="5">
        <f>34967 / 86400</f>
        <v>0.40471064814814817</v>
      </c>
    </row>
    <row r="20" spans="1:13" x14ac:dyDescent="0.25">
      <c r="A20" t="s">
        <v>403</v>
      </c>
      <c r="B20" s="3">
        <v>45713.202141203699</v>
      </c>
      <c r="C20" t="s">
        <v>48</v>
      </c>
      <c r="D20" s="3">
        <v>45713.965081018519</v>
      </c>
      <c r="E20" t="s">
        <v>49</v>
      </c>
      <c r="F20" s="4">
        <v>187.97</v>
      </c>
      <c r="G20" s="4">
        <v>56661.148999999998</v>
      </c>
      <c r="H20" s="4">
        <v>56849.118999999999</v>
      </c>
      <c r="I20" s="5">
        <f>18390 / 86400</f>
        <v>0.21284722222222222</v>
      </c>
      <c r="J20" t="s">
        <v>25</v>
      </c>
      <c r="K20" t="s">
        <v>29</v>
      </c>
      <c r="L20" s="5">
        <f>46861 / 86400</f>
        <v>0.54237268518518522</v>
      </c>
      <c r="M20" s="5">
        <f>39532 / 86400</f>
        <v>0.45754629629629628</v>
      </c>
    </row>
    <row r="21" spans="1:13" x14ac:dyDescent="0.25">
      <c r="A21" t="s">
        <v>404</v>
      </c>
      <c r="B21" s="3">
        <v>45713.350428240738</v>
      </c>
      <c r="C21" t="s">
        <v>50</v>
      </c>
      <c r="D21" s="3">
        <v>45713.978668981479</v>
      </c>
      <c r="E21" t="s">
        <v>51</v>
      </c>
      <c r="F21" s="4">
        <v>63.017999999999994</v>
      </c>
      <c r="G21" s="4">
        <v>217388.54800000001</v>
      </c>
      <c r="H21" s="4">
        <v>217451.56599999999</v>
      </c>
      <c r="I21" s="5">
        <f>10097 / 86400</f>
        <v>0.11686342592592593</v>
      </c>
      <c r="J21" t="s">
        <v>52</v>
      </c>
      <c r="K21" t="s">
        <v>53</v>
      </c>
      <c r="L21" s="5">
        <f>20450 / 86400</f>
        <v>0.23668981481481483</v>
      </c>
      <c r="M21" s="5">
        <f>65944 / 86400</f>
        <v>0.76324074074074078</v>
      </c>
    </row>
    <row r="22" spans="1:13" x14ac:dyDescent="0.25">
      <c r="A22" t="s">
        <v>405</v>
      </c>
      <c r="B22" s="3">
        <v>45713.230543981481</v>
      </c>
      <c r="C22" t="s">
        <v>54</v>
      </c>
      <c r="D22" s="3">
        <v>45713.918854166666</v>
      </c>
      <c r="E22" t="s">
        <v>55</v>
      </c>
      <c r="F22" s="4">
        <v>183.07899999988081</v>
      </c>
      <c r="G22" s="4">
        <v>527237.26800000004</v>
      </c>
      <c r="H22" s="4">
        <v>527420.34699999995</v>
      </c>
      <c r="I22" s="5">
        <f>20195 / 86400</f>
        <v>0.23373842592592592</v>
      </c>
      <c r="J22" t="s">
        <v>28</v>
      </c>
      <c r="K22" t="s">
        <v>45</v>
      </c>
      <c r="L22" s="5">
        <f>50766 / 86400</f>
        <v>0.58756944444444448</v>
      </c>
      <c r="M22" s="5">
        <f>35626 / 86400</f>
        <v>0.41233796296296299</v>
      </c>
    </row>
    <row r="23" spans="1:13" x14ac:dyDescent="0.25">
      <c r="A23" t="s">
        <v>406</v>
      </c>
      <c r="B23" s="3">
        <v>45713.21125</v>
      </c>
      <c r="C23" t="s">
        <v>56</v>
      </c>
      <c r="D23" s="3">
        <v>45713.881979166668</v>
      </c>
      <c r="E23" t="s">
        <v>57</v>
      </c>
      <c r="F23" s="4">
        <v>213.45099999999999</v>
      </c>
      <c r="G23" s="4">
        <v>346644.90399999998</v>
      </c>
      <c r="H23" s="4">
        <v>346858.35499999998</v>
      </c>
      <c r="I23" s="5">
        <f>18349 / 86400</f>
        <v>0.21237268518518518</v>
      </c>
      <c r="J23" t="s">
        <v>58</v>
      </c>
      <c r="K23" t="s">
        <v>32</v>
      </c>
      <c r="L23" s="5">
        <f>48203 / 86400</f>
        <v>0.55790509259259258</v>
      </c>
      <c r="M23" s="5">
        <f>38188 / 86400</f>
        <v>0.44199074074074074</v>
      </c>
    </row>
    <row r="24" spans="1:13" x14ac:dyDescent="0.25">
      <c r="A24" t="s">
        <v>407</v>
      </c>
      <c r="B24" s="3">
        <v>45713.197187500002</v>
      </c>
      <c r="C24" t="s">
        <v>59</v>
      </c>
      <c r="D24" s="3">
        <v>45713.835682870369</v>
      </c>
      <c r="E24" t="s">
        <v>59</v>
      </c>
      <c r="F24" s="4">
        <v>180.49800000000002</v>
      </c>
      <c r="G24" s="4">
        <v>427334.84</v>
      </c>
      <c r="H24" s="4">
        <v>427515.33799999999</v>
      </c>
      <c r="I24" s="5">
        <f>12182 / 86400</f>
        <v>0.14099537037037038</v>
      </c>
      <c r="J24" t="s">
        <v>60</v>
      </c>
      <c r="K24" t="s">
        <v>20</v>
      </c>
      <c r="L24" s="5">
        <f>38398 / 86400</f>
        <v>0.44442129629629629</v>
      </c>
      <c r="M24" s="5">
        <f>48000 / 86400</f>
        <v>0.55555555555555558</v>
      </c>
    </row>
    <row r="25" spans="1:13" x14ac:dyDescent="0.25">
      <c r="A25" t="s">
        <v>408</v>
      </c>
      <c r="B25" s="3">
        <v>45713.23337962963</v>
      </c>
      <c r="C25" t="s">
        <v>27</v>
      </c>
      <c r="D25" s="3">
        <v>45713.775821759264</v>
      </c>
      <c r="E25" t="s">
        <v>27</v>
      </c>
      <c r="F25" s="4">
        <v>176.173</v>
      </c>
      <c r="G25" s="4">
        <v>14672.184999999999</v>
      </c>
      <c r="H25" s="4">
        <v>14848.36</v>
      </c>
      <c r="I25" s="5">
        <f>15414 / 86400</f>
        <v>0.17840277777777777</v>
      </c>
      <c r="J25" t="s">
        <v>40</v>
      </c>
      <c r="K25" t="s">
        <v>32</v>
      </c>
      <c r="L25" s="5">
        <f>40384 / 86400</f>
        <v>0.46740740740740738</v>
      </c>
      <c r="M25" s="5">
        <f>46010 / 86400</f>
        <v>0.53252314814814816</v>
      </c>
    </row>
    <row r="26" spans="1:13" x14ac:dyDescent="0.25">
      <c r="A26" t="s">
        <v>409</v>
      </c>
      <c r="B26" s="3">
        <v>45713.260405092587</v>
      </c>
      <c r="C26" t="s">
        <v>61</v>
      </c>
      <c r="D26" s="3">
        <v>45713.671122685184</v>
      </c>
      <c r="E26" t="s">
        <v>61</v>
      </c>
      <c r="F26" s="4">
        <v>51.241999999999997</v>
      </c>
      <c r="G26" s="4">
        <v>140003.72</v>
      </c>
      <c r="H26" s="4">
        <v>140054.962</v>
      </c>
      <c r="I26" s="5">
        <f>6691 / 86400</f>
        <v>7.7442129629629625E-2</v>
      </c>
      <c r="J26" t="s">
        <v>62</v>
      </c>
      <c r="K26" t="s">
        <v>53</v>
      </c>
      <c r="L26" s="5">
        <f>16701 / 86400</f>
        <v>0.1932986111111111</v>
      </c>
      <c r="M26" s="5">
        <f>69693 / 86400</f>
        <v>0.80663194444444442</v>
      </c>
    </row>
    <row r="27" spans="1:13" x14ac:dyDescent="0.25">
      <c r="A27" t="s">
        <v>410</v>
      </c>
      <c r="B27" s="3">
        <v>45713.233518518522</v>
      </c>
      <c r="C27" t="s">
        <v>27</v>
      </c>
      <c r="D27" s="3">
        <v>45713.775254629625</v>
      </c>
      <c r="E27" t="s">
        <v>27</v>
      </c>
      <c r="F27" s="4">
        <v>7.9470000000000001</v>
      </c>
      <c r="G27" s="4">
        <v>6959.7250000000004</v>
      </c>
      <c r="H27" s="4">
        <v>6967.6719999999996</v>
      </c>
      <c r="I27" s="5">
        <f>1256 / 86400</f>
        <v>1.4537037037037038E-2</v>
      </c>
      <c r="J27" t="s">
        <v>63</v>
      </c>
      <c r="K27" t="s">
        <v>64</v>
      </c>
      <c r="L27" s="5">
        <f>3141 / 86400</f>
        <v>3.6354166666666667E-2</v>
      </c>
      <c r="M27" s="5">
        <f>83252 / 86400</f>
        <v>0.96356481481481482</v>
      </c>
    </row>
    <row r="28" spans="1:13" x14ac:dyDescent="0.25">
      <c r="A28" t="s">
        <v>411</v>
      </c>
      <c r="B28" s="3">
        <v>45713.213437500002</v>
      </c>
      <c r="C28" t="s">
        <v>39</v>
      </c>
      <c r="D28" s="3">
        <v>45713.758726851855</v>
      </c>
      <c r="E28" t="s">
        <v>39</v>
      </c>
      <c r="F28" s="4">
        <v>201.53</v>
      </c>
      <c r="G28" s="4">
        <v>388734.99599999998</v>
      </c>
      <c r="H28" s="4">
        <v>388936.52600000001</v>
      </c>
      <c r="I28" s="5">
        <f>13064 / 86400</f>
        <v>0.1512037037037037</v>
      </c>
      <c r="J28" t="s">
        <v>65</v>
      </c>
      <c r="K28" t="s">
        <v>20</v>
      </c>
      <c r="L28" s="5">
        <f>42236 / 86400</f>
        <v>0.48884259259259261</v>
      </c>
      <c r="M28" s="5">
        <f>44162 / 86400</f>
        <v>0.51113425925925926</v>
      </c>
    </row>
    <row r="29" spans="1:13" x14ac:dyDescent="0.25">
      <c r="A29" t="s">
        <v>412</v>
      </c>
      <c r="B29" s="3">
        <v>45713.229189814811</v>
      </c>
      <c r="C29" t="s">
        <v>39</v>
      </c>
      <c r="D29" s="3">
        <v>45713.845868055556</v>
      </c>
      <c r="E29" t="s">
        <v>39</v>
      </c>
      <c r="F29" s="4">
        <v>221.08500000000001</v>
      </c>
      <c r="G29" s="4">
        <v>392511.02500000002</v>
      </c>
      <c r="H29" s="4">
        <v>392732.11</v>
      </c>
      <c r="I29" s="5">
        <f>15667 / 86400</f>
        <v>0.18133101851851852</v>
      </c>
      <c r="J29" t="s">
        <v>60</v>
      </c>
      <c r="K29" t="s">
        <v>32</v>
      </c>
      <c r="L29" s="5">
        <f>48801 / 86400</f>
        <v>0.56482638888888892</v>
      </c>
      <c r="M29" s="5">
        <f>37596 / 86400</f>
        <v>0.43513888888888891</v>
      </c>
    </row>
    <row r="30" spans="1:13" x14ac:dyDescent="0.25">
      <c r="A30" t="s">
        <v>413</v>
      </c>
      <c r="B30" s="3">
        <v>45713.147106481483</v>
      </c>
      <c r="C30" t="s">
        <v>66</v>
      </c>
      <c r="D30" s="3">
        <v>45713.783645833333</v>
      </c>
      <c r="E30" t="s">
        <v>66</v>
      </c>
      <c r="F30" s="4">
        <v>162.64299999988077</v>
      </c>
      <c r="G30" s="4">
        <v>525917.89300000004</v>
      </c>
      <c r="H30" s="4">
        <v>526080.53599999996</v>
      </c>
      <c r="I30" s="5">
        <f>12608 / 86400</f>
        <v>0.14592592592592593</v>
      </c>
      <c r="J30" t="s">
        <v>19</v>
      </c>
      <c r="K30" t="s">
        <v>32</v>
      </c>
      <c r="L30" s="5">
        <f>35632 / 86400</f>
        <v>0.41240740740740739</v>
      </c>
      <c r="M30" s="5">
        <f>50765 / 86400</f>
        <v>0.58755787037037033</v>
      </c>
    </row>
    <row r="31" spans="1:13" x14ac:dyDescent="0.25">
      <c r="A31" t="s">
        <v>414</v>
      </c>
      <c r="B31" s="3">
        <v>45713</v>
      </c>
      <c r="C31" t="s">
        <v>67</v>
      </c>
      <c r="D31" s="3">
        <v>45713.99998842593</v>
      </c>
      <c r="E31" t="s">
        <v>68</v>
      </c>
      <c r="F31" s="4">
        <v>180.11699999999999</v>
      </c>
      <c r="G31" s="4">
        <v>413505.32299999997</v>
      </c>
      <c r="H31" s="4">
        <v>413685.44</v>
      </c>
      <c r="I31" s="5">
        <f>10098 / 86400</f>
        <v>0.11687500000000001</v>
      </c>
      <c r="J31" t="s">
        <v>69</v>
      </c>
      <c r="K31" t="s">
        <v>20</v>
      </c>
      <c r="L31" s="5">
        <f>37689 / 86400</f>
        <v>0.4362152777777778</v>
      </c>
      <c r="M31" s="5">
        <f>48708 / 86400</f>
        <v>0.56374999999999997</v>
      </c>
    </row>
    <row r="32" spans="1:13" x14ac:dyDescent="0.25">
      <c r="A32" t="s">
        <v>415</v>
      </c>
      <c r="B32" s="3">
        <v>45713.238865740743</v>
      </c>
      <c r="C32" t="s">
        <v>70</v>
      </c>
      <c r="D32" s="3">
        <v>45713.734652777777</v>
      </c>
      <c r="E32" t="s">
        <v>70</v>
      </c>
      <c r="F32" s="4">
        <v>103.908</v>
      </c>
      <c r="G32" s="4">
        <v>404754.82500000001</v>
      </c>
      <c r="H32" s="4">
        <v>404858.73300000001</v>
      </c>
      <c r="I32" s="5">
        <f>9614 / 86400</f>
        <v>0.11127314814814815</v>
      </c>
      <c r="J32" t="s">
        <v>71</v>
      </c>
      <c r="K32" t="s">
        <v>29</v>
      </c>
      <c r="L32" s="5">
        <f>26379 / 86400</f>
        <v>0.30531249999999999</v>
      </c>
      <c r="M32" s="5">
        <f>60019 / 86400</f>
        <v>0.69466435185185182</v>
      </c>
    </row>
    <row r="33" spans="1:13" x14ac:dyDescent="0.25">
      <c r="A33" t="s">
        <v>416</v>
      </c>
      <c r="B33" s="3">
        <v>45713.265023148153</v>
      </c>
      <c r="C33" t="s">
        <v>72</v>
      </c>
      <c r="D33" s="3">
        <v>45713.715011574073</v>
      </c>
      <c r="E33" t="s">
        <v>72</v>
      </c>
      <c r="F33" s="4">
        <v>171.84700000000001</v>
      </c>
      <c r="G33" s="4">
        <v>408500.55800000002</v>
      </c>
      <c r="H33" s="4">
        <v>408672.40500000003</v>
      </c>
      <c r="I33" s="5">
        <f>11478 / 86400</f>
        <v>0.13284722222222223</v>
      </c>
      <c r="J33" t="s">
        <v>73</v>
      </c>
      <c r="K33" t="s">
        <v>26</v>
      </c>
      <c r="L33" s="5">
        <f>34615 / 86400</f>
        <v>0.40063657407407405</v>
      </c>
      <c r="M33" s="5">
        <f>51780 / 86400</f>
        <v>0.59930555555555554</v>
      </c>
    </row>
    <row r="34" spans="1:13" x14ac:dyDescent="0.25">
      <c r="A34" t="s">
        <v>417</v>
      </c>
      <c r="B34" s="3">
        <v>45713.296006944445</v>
      </c>
      <c r="C34" t="s">
        <v>74</v>
      </c>
      <c r="D34" s="3">
        <v>45713.772789351853</v>
      </c>
      <c r="E34" t="s">
        <v>74</v>
      </c>
      <c r="F34" s="4">
        <v>119.824</v>
      </c>
      <c r="G34" s="4">
        <v>349073.86700000003</v>
      </c>
      <c r="H34" s="4">
        <v>349193.69199999998</v>
      </c>
      <c r="I34" s="5">
        <f>10092 / 86400</f>
        <v>0.11680555555555555</v>
      </c>
      <c r="J34" t="s">
        <v>75</v>
      </c>
      <c r="K34" t="s">
        <v>76</v>
      </c>
      <c r="L34" s="5">
        <f>28956 / 86400</f>
        <v>0.33513888888888888</v>
      </c>
      <c r="M34" s="5">
        <f>57441 / 86400</f>
        <v>0.6648263888888889</v>
      </c>
    </row>
    <row r="35" spans="1:13" x14ac:dyDescent="0.25">
      <c r="A35" t="s">
        <v>418</v>
      </c>
      <c r="B35" s="3">
        <v>45713</v>
      </c>
      <c r="C35" t="s">
        <v>77</v>
      </c>
      <c r="D35" s="3">
        <v>45713.727094907408</v>
      </c>
      <c r="E35" t="s">
        <v>78</v>
      </c>
      <c r="F35" s="4">
        <v>221.99299999999999</v>
      </c>
      <c r="G35" s="4">
        <v>43166.218999999997</v>
      </c>
      <c r="H35" s="4">
        <v>43388.212</v>
      </c>
      <c r="I35" s="5">
        <f>14698 / 86400</f>
        <v>0.17011574074074073</v>
      </c>
      <c r="J35" t="s">
        <v>35</v>
      </c>
      <c r="K35" t="s">
        <v>26</v>
      </c>
      <c r="L35" s="5">
        <f>45563 / 86400</f>
        <v>0.52734953703703702</v>
      </c>
      <c r="M35" s="5">
        <f>40834 / 86400</f>
        <v>0.47261574074074075</v>
      </c>
    </row>
    <row r="36" spans="1:13" x14ac:dyDescent="0.25">
      <c r="A36" t="s">
        <v>419</v>
      </c>
      <c r="B36" s="3">
        <v>45713</v>
      </c>
      <c r="C36" t="s">
        <v>67</v>
      </c>
      <c r="D36" s="3">
        <v>45713.938449074078</v>
      </c>
      <c r="E36" t="s">
        <v>39</v>
      </c>
      <c r="F36" s="4">
        <v>215.62200000000001</v>
      </c>
      <c r="G36" s="4">
        <v>49272.438999999998</v>
      </c>
      <c r="H36" s="4">
        <v>49488.061000000002</v>
      </c>
      <c r="I36" s="5">
        <f>19216 / 86400</f>
        <v>0.22240740740740741</v>
      </c>
      <c r="J36" t="s">
        <v>47</v>
      </c>
      <c r="K36" t="s">
        <v>76</v>
      </c>
      <c r="L36" s="5">
        <f>50506 / 86400</f>
        <v>0.58456018518518515</v>
      </c>
      <c r="M36" s="5">
        <f>35887 / 86400</f>
        <v>0.4153587962962963</v>
      </c>
    </row>
    <row r="37" spans="1:13" x14ac:dyDescent="0.25">
      <c r="A37" t="s">
        <v>420</v>
      </c>
      <c r="B37" s="3">
        <v>45713</v>
      </c>
      <c r="C37" t="s">
        <v>79</v>
      </c>
      <c r="D37" s="3">
        <v>45713.99998842593</v>
      </c>
      <c r="E37" t="s">
        <v>80</v>
      </c>
      <c r="F37" s="4">
        <v>311.94499999999999</v>
      </c>
      <c r="G37" s="4">
        <v>531151.52500000002</v>
      </c>
      <c r="H37" s="4">
        <v>531463.47</v>
      </c>
      <c r="I37" s="5">
        <f>24158 / 86400</f>
        <v>0.27960648148148148</v>
      </c>
      <c r="J37" t="s">
        <v>81</v>
      </c>
      <c r="K37" t="s">
        <v>26</v>
      </c>
      <c r="L37" s="5">
        <f>63357 / 86400</f>
        <v>0.73329861111111116</v>
      </c>
      <c r="M37" s="5">
        <f>23039 / 86400</f>
        <v>0.26665509259259257</v>
      </c>
    </row>
    <row r="38" spans="1:13" x14ac:dyDescent="0.25">
      <c r="A38" t="s">
        <v>421</v>
      </c>
      <c r="B38" s="3">
        <v>45713.212013888886</v>
      </c>
      <c r="C38" t="s">
        <v>39</v>
      </c>
      <c r="D38" s="3">
        <v>45713.883356481485</v>
      </c>
      <c r="E38" t="s">
        <v>27</v>
      </c>
      <c r="F38" s="4">
        <v>166.01500000000001</v>
      </c>
      <c r="G38" s="4">
        <v>570151.85900000005</v>
      </c>
      <c r="H38" s="4">
        <v>570317.87399999995</v>
      </c>
      <c r="I38" s="5">
        <f>16442 / 86400</f>
        <v>0.19030092592592593</v>
      </c>
      <c r="J38" t="s">
        <v>65</v>
      </c>
      <c r="K38" t="s">
        <v>29</v>
      </c>
      <c r="L38" s="5">
        <f>43261 / 86400</f>
        <v>0.50070601851851848</v>
      </c>
      <c r="M38" s="5">
        <f>43134 / 86400</f>
        <v>0.4992361111111111</v>
      </c>
    </row>
    <row r="39" spans="1:13" x14ac:dyDescent="0.25">
      <c r="A39" t="s">
        <v>422</v>
      </c>
      <c r="B39" s="3">
        <v>45713.215636574074</v>
      </c>
      <c r="C39" t="s">
        <v>82</v>
      </c>
      <c r="D39" s="3">
        <v>45713.973703703705</v>
      </c>
      <c r="E39" t="s">
        <v>83</v>
      </c>
      <c r="F39" s="4">
        <v>175.809</v>
      </c>
      <c r="G39" s="4">
        <v>436854.43400000001</v>
      </c>
      <c r="H39" s="4">
        <v>437030.24300000002</v>
      </c>
      <c r="I39" s="5">
        <f>18071 / 86400</f>
        <v>0.2091550925925926</v>
      </c>
      <c r="J39" t="s">
        <v>75</v>
      </c>
      <c r="K39" t="s">
        <v>29</v>
      </c>
      <c r="L39" s="5">
        <f>46133 / 86400</f>
        <v>0.53394675925925927</v>
      </c>
      <c r="M39" s="5">
        <f>40261 / 86400</f>
        <v>0.46598379629629627</v>
      </c>
    </row>
    <row r="40" spans="1:13" x14ac:dyDescent="0.25">
      <c r="A40" t="s">
        <v>423</v>
      </c>
      <c r="B40" s="3">
        <v>45713.241111111114</v>
      </c>
      <c r="C40" t="s">
        <v>51</v>
      </c>
      <c r="D40" s="3">
        <v>45713.823344907403</v>
      </c>
      <c r="E40" t="s">
        <v>51</v>
      </c>
      <c r="F40" s="4">
        <v>204.43699999999998</v>
      </c>
      <c r="G40" s="4">
        <v>517865.891</v>
      </c>
      <c r="H40" s="4">
        <v>518070.56699999998</v>
      </c>
      <c r="I40" s="5">
        <f>15913 / 86400</f>
        <v>0.18417824074074074</v>
      </c>
      <c r="J40" t="s">
        <v>19</v>
      </c>
      <c r="K40" t="s">
        <v>32</v>
      </c>
      <c r="L40" s="5">
        <f>45620 / 86400</f>
        <v>0.52800925925925923</v>
      </c>
      <c r="M40" s="5">
        <f>40779 / 86400</f>
        <v>0.47197916666666667</v>
      </c>
    </row>
    <row r="41" spans="1:13" x14ac:dyDescent="0.25">
      <c r="A41" t="s">
        <v>424</v>
      </c>
      <c r="B41" s="3">
        <v>45713.230925925927</v>
      </c>
      <c r="C41" t="s">
        <v>84</v>
      </c>
      <c r="D41" s="3">
        <v>45713.82402777778</v>
      </c>
      <c r="E41" t="s">
        <v>85</v>
      </c>
      <c r="F41" s="4">
        <v>205.30699999999999</v>
      </c>
      <c r="G41" s="4">
        <v>507092.78899999999</v>
      </c>
      <c r="H41" s="4">
        <v>507298.09600000002</v>
      </c>
      <c r="I41" s="5">
        <f>20722 / 86400</f>
        <v>0.23983796296296298</v>
      </c>
      <c r="J41" t="s">
        <v>65</v>
      </c>
      <c r="K41" t="s">
        <v>29</v>
      </c>
      <c r="L41" s="5">
        <f>51244 / 86400</f>
        <v>0.59310185185185182</v>
      </c>
      <c r="M41" s="5">
        <f>35155 / 86400</f>
        <v>0.40688657407407408</v>
      </c>
    </row>
    <row r="42" spans="1:13" x14ac:dyDescent="0.25">
      <c r="A42" t="s">
        <v>425</v>
      </c>
      <c r="B42" s="3">
        <v>45713.21366898148</v>
      </c>
      <c r="C42" t="s">
        <v>86</v>
      </c>
      <c r="D42" s="3">
        <v>45713.785694444443</v>
      </c>
      <c r="E42" t="s">
        <v>86</v>
      </c>
      <c r="F42" s="4">
        <v>210.36199999999999</v>
      </c>
      <c r="G42" s="4">
        <v>412715.00799999997</v>
      </c>
      <c r="H42" s="4">
        <v>412925.37</v>
      </c>
      <c r="I42" s="5">
        <f>14316 / 86400</f>
        <v>0.16569444444444445</v>
      </c>
      <c r="J42" t="s">
        <v>87</v>
      </c>
      <c r="K42" t="s">
        <v>20</v>
      </c>
      <c r="L42" s="5">
        <f>44237 / 86400</f>
        <v>0.51200231481481484</v>
      </c>
      <c r="M42" s="5">
        <f>42160 / 86400</f>
        <v>0.48796296296296299</v>
      </c>
    </row>
    <row r="43" spans="1:13" x14ac:dyDescent="0.25">
      <c r="A43" t="s">
        <v>426</v>
      </c>
      <c r="B43" s="3">
        <v>45713.149652777778</v>
      </c>
      <c r="C43" t="s">
        <v>27</v>
      </c>
      <c r="D43" s="3">
        <v>45713.724502314813</v>
      </c>
      <c r="E43" t="s">
        <v>27</v>
      </c>
      <c r="F43" s="4">
        <v>206.83799999999999</v>
      </c>
      <c r="G43" s="4">
        <v>443528.37</v>
      </c>
      <c r="H43" s="4">
        <v>443735.20799999998</v>
      </c>
      <c r="I43" s="5">
        <f>13620 / 86400</f>
        <v>0.15763888888888888</v>
      </c>
      <c r="J43" t="s">
        <v>87</v>
      </c>
      <c r="K43" t="s">
        <v>20</v>
      </c>
      <c r="L43" s="5">
        <f>42831 / 86400</f>
        <v>0.49572916666666667</v>
      </c>
      <c r="M43" s="5">
        <f>43563 / 86400</f>
        <v>0.50420138888888888</v>
      </c>
    </row>
    <row r="44" spans="1:13" x14ac:dyDescent="0.25">
      <c r="A44" t="s">
        <v>427</v>
      </c>
      <c r="B44" s="3">
        <v>45713.247430555552</v>
      </c>
      <c r="C44" t="s">
        <v>88</v>
      </c>
      <c r="D44" s="3">
        <v>45713.831759259258</v>
      </c>
      <c r="E44" t="s">
        <v>89</v>
      </c>
      <c r="F44" s="4">
        <v>191.38</v>
      </c>
      <c r="G44" s="4">
        <v>475866.10100000002</v>
      </c>
      <c r="H44" s="4">
        <v>476057.48100000003</v>
      </c>
      <c r="I44" s="5">
        <f>16858 / 86400</f>
        <v>0.19511574074074073</v>
      </c>
      <c r="J44" t="s">
        <v>90</v>
      </c>
      <c r="K44" t="s">
        <v>76</v>
      </c>
      <c r="L44" s="5">
        <f>45841 / 86400</f>
        <v>0.5305671296296296</v>
      </c>
      <c r="M44" s="5">
        <f>40554 / 86400</f>
        <v>0.46937499999999999</v>
      </c>
    </row>
    <row r="45" spans="1:13" x14ac:dyDescent="0.25">
      <c r="A45" t="s">
        <v>428</v>
      </c>
      <c r="B45" s="3">
        <v>45713.002476851849</v>
      </c>
      <c r="C45" t="s">
        <v>84</v>
      </c>
      <c r="D45" s="3">
        <v>45713.99998842593</v>
      </c>
      <c r="E45" t="s">
        <v>91</v>
      </c>
      <c r="F45" s="4">
        <v>159.41300000000001</v>
      </c>
      <c r="G45" s="4">
        <v>416309.93900000001</v>
      </c>
      <c r="H45" s="4">
        <v>416469.35200000001</v>
      </c>
      <c r="I45" s="5">
        <f>10151 / 86400</f>
        <v>0.11748842592592593</v>
      </c>
      <c r="J45" t="s">
        <v>47</v>
      </c>
      <c r="K45" t="s">
        <v>92</v>
      </c>
      <c r="L45" s="5">
        <f>29738 / 86400</f>
        <v>0.34418981481481481</v>
      </c>
      <c r="M45" s="5">
        <f>56659 / 86400</f>
        <v>0.65577546296296296</v>
      </c>
    </row>
    <row r="46" spans="1:13" x14ac:dyDescent="0.25">
      <c r="A46" t="s">
        <v>429</v>
      </c>
      <c r="B46" s="3">
        <v>45713.172858796301</v>
      </c>
      <c r="C46" t="s">
        <v>27</v>
      </c>
      <c r="D46" s="3">
        <v>45713.99998842593</v>
      </c>
      <c r="E46" t="s">
        <v>27</v>
      </c>
      <c r="F46" s="4">
        <v>287.05</v>
      </c>
      <c r="G46" s="4">
        <v>330931.56</v>
      </c>
      <c r="H46" s="4">
        <v>331218.61</v>
      </c>
      <c r="I46" s="5">
        <f>21506 / 86400</f>
        <v>0.24891203703703704</v>
      </c>
      <c r="J46" t="s">
        <v>93</v>
      </c>
      <c r="K46" t="s">
        <v>32</v>
      </c>
      <c r="L46" s="5">
        <f>63067 / 86400</f>
        <v>0.72994212962962968</v>
      </c>
      <c r="M46" s="5">
        <f>23327 / 86400</f>
        <v>0.26998842592592592</v>
      </c>
    </row>
    <row r="47" spans="1:13" x14ac:dyDescent="0.25">
      <c r="A47" t="s">
        <v>430</v>
      </c>
      <c r="B47" s="3">
        <v>45713.294652777782</v>
      </c>
      <c r="C47" t="s">
        <v>27</v>
      </c>
      <c r="D47" s="3">
        <v>45713.926319444443</v>
      </c>
      <c r="E47" t="s">
        <v>27</v>
      </c>
      <c r="F47" s="4">
        <v>193.00099999999998</v>
      </c>
      <c r="G47" s="4">
        <v>361718.73499999999</v>
      </c>
      <c r="H47" s="4">
        <v>361911.73599999998</v>
      </c>
      <c r="I47" s="5">
        <f>18199 / 86400</f>
        <v>0.21063657407407407</v>
      </c>
      <c r="J47" t="s">
        <v>94</v>
      </c>
      <c r="K47" t="s">
        <v>76</v>
      </c>
      <c r="L47" s="5">
        <f>47166 / 86400</f>
        <v>0.54590277777777774</v>
      </c>
      <c r="M47" s="5">
        <f>39232 / 86400</f>
        <v>0.45407407407407407</v>
      </c>
    </row>
    <row r="48" spans="1:13" x14ac:dyDescent="0.25">
      <c r="A48" t="s">
        <v>431</v>
      </c>
      <c r="B48" s="3">
        <v>45713.366574074069</v>
      </c>
      <c r="C48" t="s">
        <v>18</v>
      </c>
      <c r="D48" s="3">
        <v>45713.869259259256</v>
      </c>
      <c r="E48" t="s">
        <v>95</v>
      </c>
      <c r="F48" s="4">
        <v>38.518999999999998</v>
      </c>
      <c r="G48" s="4">
        <v>82854.596000000005</v>
      </c>
      <c r="H48" s="4">
        <v>82893.115000000005</v>
      </c>
      <c r="I48" s="5">
        <f>13190 / 86400</f>
        <v>0.15266203703703704</v>
      </c>
      <c r="J48" t="s">
        <v>96</v>
      </c>
      <c r="K48" t="s">
        <v>97</v>
      </c>
      <c r="L48" s="5">
        <f>18130 / 86400</f>
        <v>0.20983796296296298</v>
      </c>
      <c r="M48" s="5">
        <f>68264 / 86400</f>
        <v>0.79009259259259257</v>
      </c>
    </row>
    <row r="49" spans="1:13" x14ac:dyDescent="0.25">
      <c r="A49" t="s">
        <v>432</v>
      </c>
      <c r="B49" s="3">
        <v>45713.206226851849</v>
      </c>
      <c r="C49" t="s">
        <v>98</v>
      </c>
      <c r="D49" s="3">
        <v>45713.984027777777</v>
      </c>
      <c r="E49" t="s">
        <v>98</v>
      </c>
      <c r="F49" s="4">
        <v>200.327</v>
      </c>
      <c r="G49" s="4">
        <v>472177.29399999999</v>
      </c>
      <c r="H49" s="4">
        <v>472377.62099999998</v>
      </c>
      <c r="I49" s="5">
        <f>15894 / 86400</f>
        <v>0.18395833333333333</v>
      </c>
      <c r="J49" t="s">
        <v>71</v>
      </c>
      <c r="K49" t="s">
        <v>32</v>
      </c>
      <c r="L49" s="5">
        <f>44615 / 86400</f>
        <v>0.51637731481481486</v>
      </c>
      <c r="M49" s="5">
        <f>41777 / 86400</f>
        <v>0.48353009259259261</v>
      </c>
    </row>
    <row r="50" spans="1:13" x14ac:dyDescent="0.25">
      <c r="A50" t="s">
        <v>433</v>
      </c>
      <c r="B50" s="3">
        <v>45713</v>
      </c>
      <c r="C50" t="s">
        <v>99</v>
      </c>
      <c r="D50" s="3">
        <v>45713.99998842593</v>
      </c>
      <c r="E50" t="s">
        <v>99</v>
      </c>
      <c r="F50" s="4">
        <v>0</v>
      </c>
      <c r="G50" s="4">
        <v>428213.33600000001</v>
      </c>
      <c r="H50" s="4">
        <v>428213.33600000001</v>
      </c>
      <c r="I50" s="5">
        <f>56388 / 86400</f>
        <v>0.65263888888888888</v>
      </c>
      <c r="J50" t="s">
        <v>22</v>
      </c>
      <c r="K50" t="s">
        <v>22</v>
      </c>
      <c r="L50" s="5">
        <f>56548 / 86400</f>
        <v>0.65449074074074076</v>
      </c>
      <c r="M50" s="5">
        <f>29846 / 86400</f>
        <v>0.34543981481481484</v>
      </c>
    </row>
    <row r="51" spans="1:13" x14ac:dyDescent="0.25">
      <c r="A51" t="s">
        <v>434</v>
      </c>
      <c r="B51" s="3">
        <v>45713.262430555551</v>
      </c>
      <c r="C51" t="s">
        <v>27</v>
      </c>
      <c r="D51" s="3">
        <v>45713.998657407406</v>
      </c>
      <c r="E51" t="s">
        <v>27</v>
      </c>
      <c r="F51" s="4">
        <v>178.06100000000001</v>
      </c>
      <c r="G51" s="4">
        <v>577563.21600000001</v>
      </c>
      <c r="H51" s="4">
        <v>577741.277</v>
      </c>
      <c r="I51" s="5">
        <f>21357 / 86400</f>
        <v>0.2471875</v>
      </c>
      <c r="J51" t="s">
        <v>35</v>
      </c>
      <c r="K51" t="s">
        <v>45</v>
      </c>
      <c r="L51" s="5">
        <f>48731 / 86400</f>
        <v>0.56401620370370376</v>
      </c>
      <c r="M51" s="5">
        <f>37666 / 86400</f>
        <v>0.43594907407407407</v>
      </c>
    </row>
    <row r="52" spans="1:13" x14ac:dyDescent="0.25">
      <c r="A52" t="s">
        <v>435</v>
      </c>
      <c r="B52" s="3">
        <v>45713.233495370368</v>
      </c>
      <c r="C52" t="s">
        <v>100</v>
      </c>
      <c r="D52" s="3">
        <v>45713.874513888892</v>
      </c>
      <c r="E52" t="s">
        <v>100</v>
      </c>
      <c r="F52" s="4">
        <v>209.33599999999998</v>
      </c>
      <c r="G52" s="4">
        <v>418169.08</v>
      </c>
      <c r="H52" s="4">
        <v>418378.41600000003</v>
      </c>
      <c r="I52" s="5">
        <f>19466 / 86400</f>
        <v>0.22530092592592593</v>
      </c>
      <c r="J52" t="s">
        <v>52</v>
      </c>
      <c r="K52" t="s">
        <v>29</v>
      </c>
      <c r="L52" s="5">
        <f>52012 / 86400</f>
        <v>0.60199074074074077</v>
      </c>
      <c r="M52" s="5">
        <f>34383 / 86400</f>
        <v>0.39795138888888887</v>
      </c>
    </row>
    <row r="53" spans="1:13" x14ac:dyDescent="0.25">
      <c r="A53" t="s">
        <v>436</v>
      </c>
      <c r="B53" s="3">
        <v>45713.292673611111</v>
      </c>
      <c r="C53" t="s">
        <v>101</v>
      </c>
      <c r="D53" s="3">
        <v>45713.99998842593</v>
      </c>
      <c r="E53" t="s">
        <v>102</v>
      </c>
      <c r="F53" s="4">
        <v>206.26599999999999</v>
      </c>
      <c r="G53" s="4">
        <v>401775.33299999998</v>
      </c>
      <c r="H53" s="4">
        <v>401981.59899999999</v>
      </c>
      <c r="I53" s="5">
        <f>19780 / 86400</f>
        <v>0.22893518518518519</v>
      </c>
      <c r="J53" t="s">
        <v>94</v>
      </c>
      <c r="K53" t="s">
        <v>29</v>
      </c>
      <c r="L53" s="5">
        <f>51857 / 86400</f>
        <v>0.6001967592592593</v>
      </c>
      <c r="M53" s="5">
        <f>34540 / 86400</f>
        <v>0.39976851851851852</v>
      </c>
    </row>
    <row r="54" spans="1:13" x14ac:dyDescent="0.25">
      <c r="A54" t="s">
        <v>437</v>
      </c>
      <c r="B54" s="3">
        <v>45713.206087962964</v>
      </c>
      <c r="C54" t="s">
        <v>27</v>
      </c>
      <c r="D54" s="3">
        <v>45713.89880787037</v>
      </c>
      <c r="E54" t="s">
        <v>27</v>
      </c>
      <c r="F54" s="4">
        <v>196.505</v>
      </c>
      <c r="G54" s="4">
        <v>384090.174</v>
      </c>
      <c r="H54" s="4">
        <v>384286.679</v>
      </c>
      <c r="I54" s="5">
        <f>14025 / 86400</f>
        <v>0.1623263888888889</v>
      </c>
      <c r="J54" t="s">
        <v>71</v>
      </c>
      <c r="K54" t="s">
        <v>32</v>
      </c>
      <c r="L54" s="5">
        <f>43131 / 86400</f>
        <v>0.49920138888888888</v>
      </c>
      <c r="M54" s="5">
        <f>43264 / 86400</f>
        <v>0.50074074074074071</v>
      </c>
    </row>
    <row r="55" spans="1:13" x14ac:dyDescent="0.25">
      <c r="A55" t="s">
        <v>438</v>
      </c>
      <c r="B55" s="3">
        <v>45713.341203703705</v>
      </c>
      <c r="C55" t="s">
        <v>103</v>
      </c>
      <c r="D55" s="3">
        <v>45713.836840277778</v>
      </c>
      <c r="E55" t="s">
        <v>104</v>
      </c>
      <c r="F55" s="4">
        <v>2.4340000000000002</v>
      </c>
      <c r="G55" s="4">
        <v>548380.06099999999</v>
      </c>
      <c r="H55" s="4">
        <v>548382.495</v>
      </c>
      <c r="I55" s="5">
        <f>1693 / 86400</f>
        <v>1.9594907407407408E-2</v>
      </c>
      <c r="J55" t="s">
        <v>105</v>
      </c>
      <c r="K55" t="s">
        <v>106</v>
      </c>
      <c r="L55" s="5">
        <f>2901 / 86400</f>
        <v>3.3576388888888892E-2</v>
      </c>
      <c r="M55" s="5">
        <f>83491 / 86400</f>
        <v>0.96633101851851855</v>
      </c>
    </row>
    <row r="56" spans="1:13" x14ac:dyDescent="0.25">
      <c r="A56" t="s">
        <v>439</v>
      </c>
      <c r="B56" s="3">
        <v>45713</v>
      </c>
      <c r="C56" t="s">
        <v>107</v>
      </c>
      <c r="D56" s="3">
        <v>45713.996851851851</v>
      </c>
      <c r="E56" t="s">
        <v>108</v>
      </c>
      <c r="F56" s="4">
        <v>351.19200000000001</v>
      </c>
      <c r="G56" s="4">
        <v>106726.01300000001</v>
      </c>
      <c r="H56" s="4">
        <v>107077.205</v>
      </c>
      <c r="I56" s="5">
        <f>24570 / 86400</f>
        <v>0.28437499999999999</v>
      </c>
      <c r="J56" t="s">
        <v>90</v>
      </c>
      <c r="K56" t="s">
        <v>92</v>
      </c>
      <c r="L56" s="5">
        <f>66878 / 86400</f>
        <v>0.77405092592592595</v>
      </c>
      <c r="M56" s="5">
        <f>19521 / 86400</f>
        <v>0.22593750000000001</v>
      </c>
    </row>
    <row r="57" spans="1:13" x14ac:dyDescent="0.25">
      <c r="A57" t="s">
        <v>440</v>
      </c>
      <c r="B57" s="3">
        <v>45713.722222222219</v>
      </c>
      <c r="C57" t="s">
        <v>56</v>
      </c>
      <c r="D57" s="3">
        <v>45713.72592592593</v>
      </c>
      <c r="E57" t="s">
        <v>56</v>
      </c>
      <c r="F57" s="4">
        <v>0</v>
      </c>
      <c r="G57" s="4">
        <v>54578.572999999997</v>
      </c>
      <c r="H57" s="4">
        <v>54578.572999999997</v>
      </c>
      <c r="I57" s="5">
        <f>300 / 86400</f>
        <v>3.472222222222222E-3</v>
      </c>
      <c r="J57" t="s">
        <v>22</v>
      </c>
      <c r="K57" t="s">
        <v>22</v>
      </c>
      <c r="L57" s="5">
        <f>320 / 86400</f>
        <v>3.7037037037037038E-3</v>
      </c>
      <c r="M57" s="5">
        <f>86079 / 86400</f>
        <v>0.9962847222222222</v>
      </c>
    </row>
    <row r="58" spans="1:13" x14ac:dyDescent="0.25">
      <c r="A58" t="s">
        <v>441</v>
      </c>
      <c r="B58" s="3">
        <v>45713.252199074079</v>
      </c>
      <c r="C58" t="s">
        <v>109</v>
      </c>
      <c r="D58" s="3">
        <v>45713.877916666665</v>
      </c>
      <c r="E58" t="s">
        <v>110</v>
      </c>
      <c r="F58" s="4">
        <v>132.39400000000001</v>
      </c>
      <c r="G58" s="4">
        <v>47631.031000000003</v>
      </c>
      <c r="H58" s="4">
        <v>47763.425000000003</v>
      </c>
      <c r="I58" s="5">
        <f>8013 / 86400</f>
        <v>9.2743055555555551E-2</v>
      </c>
      <c r="J58" t="s">
        <v>87</v>
      </c>
      <c r="K58" t="s">
        <v>111</v>
      </c>
      <c r="L58" s="5">
        <f>24330 / 86400</f>
        <v>0.28159722222222222</v>
      </c>
      <c r="M58" s="5">
        <f>62069 / 86400</f>
        <v>0.71839120370370368</v>
      </c>
    </row>
    <row r="59" spans="1:13" x14ac:dyDescent="0.25">
      <c r="A59" t="s">
        <v>442</v>
      </c>
      <c r="B59" s="3">
        <v>45713</v>
      </c>
      <c r="C59" t="s">
        <v>112</v>
      </c>
      <c r="D59" s="3">
        <v>45713.99998842593</v>
      </c>
      <c r="E59" t="s">
        <v>113</v>
      </c>
      <c r="F59" s="4">
        <v>363.31900000000002</v>
      </c>
      <c r="G59" s="4">
        <v>43842.288999999997</v>
      </c>
      <c r="H59" s="4">
        <v>44205.608</v>
      </c>
      <c r="I59" s="5">
        <f>20760 / 86400</f>
        <v>0.24027777777777778</v>
      </c>
      <c r="J59" t="s">
        <v>47</v>
      </c>
      <c r="K59" t="s">
        <v>111</v>
      </c>
      <c r="L59" s="5">
        <f>66814 / 86400</f>
        <v>0.77331018518518524</v>
      </c>
      <c r="M59" s="5">
        <f>19585 / 86400</f>
        <v>0.22667824074074075</v>
      </c>
    </row>
    <row r="60" spans="1:13" x14ac:dyDescent="0.25">
      <c r="A60" t="s">
        <v>443</v>
      </c>
      <c r="B60" s="3">
        <v>45713.25881944444</v>
      </c>
      <c r="C60" t="s">
        <v>114</v>
      </c>
      <c r="D60" s="3">
        <v>45713.863750000004</v>
      </c>
      <c r="E60" t="s">
        <v>114</v>
      </c>
      <c r="F60" s="4">
        <v>106.724</v>
      </c>
      <c r="G60" s="4">
        <v>193784.122</v>
      </c>
      <c r="H60" s="4">
        <v>193890.84599999999</v>
      </c>
      <c r="I60" s="5">
        <f>7778 / 86400</f>
        <v>9.0023148148148144E-2</v>
      </c>
      <c r="J60" t="s">
        <v>19</v>
      </c>
      <c r="K60" t="s">
        <v>32</v>
      </c>
      <c r="L60" s="5">
        <f>24668 / 86400</f>
        <v>0.28550925925925924</v>
      </c>
      <c r="M60" s="5">
        <f>61726 / 86400</f>
        <v>0.71442129629629625</v>
      </c>
    </row>
    <row r="61" spans="1:13" x14ac:dyDescent="0.25">
      <c r="A61" t="s">
        <v>444</v>
      </c>
      <c r="B61" s="3">
        <v>45713</v>
      </c>
      <c r="C61" t="s">
        <v>115</v>
      </c>
      <c r="D61" s="3">
        <v>45713.99998842593</v>
      </c>
      <c r="E61" t="s">
        <v>115</v>
      </c>
      <c r="F61" s="4">
        <v>300.30199999988076</v>
      </c>
      <c r="G61" s="4">
        <v>525450.32700000005</v>
      </c>
      <c r="H61" s="4">
        <v>525750.62899999996</v>
      </c>
      <c r="I61" s="5">
        <f>22041 / 86400</f>
        <v>0.25510416666666669</v>
      </c>
      <c r="J61" t="s">
        <v>81</v>
      </c>
      <c r="K61" t="s">
        <v>20</v>
      </c>
      <c r="L61" s="5">
        <f>63509 / 86400</f>
        <v>0.7350578703703704</v>
      </c>
      <c r="M61" s="5">
        <f>22889 / 86400</f>
        <v>0.26491898148148146</v>
      </c>
    </row>
    <row r="62" spans="1:13" x14ac:dyDescent="0.25">
      <c r="A62" t="s">
        <v>445</v>
      </c>
      <c r="B62" s="3">
        <v>45713.274467592593</v>
      </c>
      <c r="C62" t="s">
        <v>116</v>
      </c>
      <c r="D62" s="3">
        <v>45713.872592592597</v>
      </c>
      <c r="E62" t="s">
        <v>116</v>
      </c>
      <c r="F62" s="4">
        <v>185.36600000000001</v>
      </c>
      <c r="G62" s="4">
        <v>25157.163</v>
      </c>
      <c r="H62" s="4">
        <v>25342.528999999999</v>
      </c>
      <c r="I62" s="5">
        <f>16015 / 86400</f>
        <v>0.18535879629629629</v>
      </c>
      <c r="J62" t="s">
        <v>60</v>
      </c>
      <c r="K62" t="s">
        <v>29</v>
      </c>
      <c r="L62" s="5">
        <f>47049 / 86400</f>
        <v>0.54454861111111108</v>
      </c>
      <c r="M62" s="5">
        <f>39345 / 86400</f>
        <v>0.45538194444444446</v>
      </c>
    </row>
    <row r="63" spans="1:13" x14ac:dyDescent="0.25">
      <c r="A63" t="s">
        <v>446</v>
      </c>
      <c r="B63" s="3">
        <v>45713.210902777777</v>
      </c>
      <c r="C63" t="s">
        <v>39</v>
      </c>
      <c r="D63" s="3">
        <v>45713.741770833338</v>
      </c>
      <c r="E63" t="s">
        <v>39</v>
      </c>
      <c r="F63" s="4">
        <v>187.25599999999255</v>
      </c>
      <c r="G63" s="4">
        <v>66241.370999999999</v>
      </c>
      <c r="H63" s="4">
        <v>66428.626999999993</v>
      </c>
      <c r="I63" s="5">
        <f>14113 / 86400</f>
        <v>0.1633449074074074</v>
      </c>
      <c r="J63" t="s">
        <v>87</v>
      </c>
      <c r="K63" t="s">
        <v>20</v>
      </c>
      <c r="L63" s="5">
        <f>40151 / 86400</f>
        <v>0.46471064814814816</v>
      </c>
      <c r="M63" s="5">
        <f>46243 / 86400</f>
        <v>0.53521990740740744</v>
      </c>
    </row>
    <row r="64" spans="1:13" x14ac:dyDescent="0.25">
      <c r="A64" t="s">
        <v>447</v>
      </c>
      <c r="B64" s="3">
        <v>45713.265717592592</v>
      </c>
      <c r="C64" t="s">
        <v>72</v>
      </c>
      <c r="D64" s="3">
        <v>45713.745312500003</v>
      </c>
      <c r="E64" t="s">
        <v>72</v>
      </c>
      <c r="F64" s="4">
        <v>114.19800000000001</v>
      </c>
      <c r="G64" s="4">
        <v>6211.0230000000001</v>
      </c>
      <c r="H64" s="4">
        <v>6325.2209999999995</v>
      </c>
      <c r="I64" s="5">
        <f>10405 / 86400</f>
        <v>0.12042824074074074</v>
      </c>
      <c r="J64" t="s">
        <v>117</v>
      </c>
      <c r="K64" t="s">
        <v>76</v>
      </c>
      <c r="L64" s="5">
        <f>28075 / 86400</f>
        <v>0.32494212962962965</v>
      </c>
      <c r="M64" s="5">
        <f>58320 / 86400</f>
        <v>0.67500000000000004</v>
      </c>
    </row>
    <row r="65" spans="1:13" x14ac:dyDescent="0.25">
      <c r="A65" t="s">
        <v>448</v>
      </c>
      <c r="B65" s="3">
        <v>45713.009942129633</v>
      </c>
      <c r="C65" t="s">
        <v>118</v>
      </c>
      <c r="D65" s="3">
        <v>45713.920925925922</v>
      </c>
      <c r="E65" t="s">
        <v>27</v>
      </c>
      <c r="F65" s="4">
        <v>80.284999999999997</v>
      </c>
      <c r="G65" s="4">
        <v>410501.21</v>
      </c>
      <c r="H65" s="4">
        <v>410581.495</v>
      </c>
      <c r="I65" s="5">
        <f>2574 / 86400</f>
        <v>2.9791666666666668E-2</v>
      </c>
      <c r="J65" t="s">
        <v>87</v>
      </c>
      <c r="K65" t="s">
        <v>119</v>
      </c>
      <c r="L65" s="5">
        <f>12148 / 86400</f>
        <v>0.14060185185185184</v>
      </c>
      <c r="M65" s="5">
        <f>74247 / 86400</f>
        <v>0.85934027777777777</v>
      </c>
    </row>
    <row r="66" spans="1:13" x14ac:dyDescent="0.25">
      <c r="A66" t="s">
        <v>449</v>
      </c>
      <c r="B66" s="3">
        <v>45713</v>
      </c>
      <c r="C66" t="s">
        <v>120</v>
      </c>
      <c r="D66" s="3">
        <v>45713.99013888889</v>
      </c>
      <c r="E66" t="s">
        <v>121</v>
      </c>
      <c r="F66" s="4">
        <v>232.59899999999999</v>
      </c>
      <c r="G66" s="4">
        <v>552987.13800000004</v>
      </c>
      <c r="H66" s="4">
        <v>553219.73699999996</v>
      </c>
      <c r="I66" s="5">
        <f>23018 / 86400</f>
        <v>0.26641203703703703</v>
      </c>
      <c r="J66" t="s">
        <v>93</v>
      </c>
      <c r="K66" t="s">
        <v>29</v>
      </c>
      <c r="L66" s="5">
        <f>58930 / 86400</f>
        <v>0.68206018518518519</v>
      </c>
      <c r="M66" s="5">
        <f>27466 / 86400</f>
        <v>0.31789351851851849</v>
      </c>
    </row>
    <row r="67" spans="1:13" x14ac:dyDescent="0.25">
      <c r="A67" t="s">
        <v>450</v>
      </c>
      <c r="B67" s="3">
        <v>45713.269212962958</v>
      </c>
      <c r="C67" t="s">
        <v>36</v>
      </c>
      <c r="D67" s="3">
        <v>45713.974826388891</v>
      </c>
      <c r="E67" t="s">
        <v>36</v>
      </c>
      <c r="F67" s="4">
        <v>1222.0249999999996</v>
      </c>
      <c r="G67" s="4">
        <v>3651.3050000000003</v>
      </c>
      <c r="H67" s="4">
        <v>4873.33</v>
      </c>
      <c r="I67" s="5">
        <f>22093 / 86400</f>
        <v>0.25570601851851854</v>
      </c>
      <c r="J67" t="s">
        <v>37</v>
      </c>
      <c r="K67" t="s">
        <v>87</v>
      </c>
      <c r="L67" s="5">
        <f>55351 / 86400</f>
        <v>0.64063657407407404</v>
      </c>
      <c r="M67" s="5">
        <f>31042 / 86400</f>
        <v>0.35928240740740741</v>
      </c>
    </row>
    <row r="68" spans="1:13" x14ac:dyDescent="0.25">
      <c r="A68" t="s">
        <v>451</v>
      </c>
      <c r="B68" s="3">
        <v>45713</v>
      </c>
      <c r="C68" t="s">
        <v>79</v>
      </c>
      <c r="D68" s="3">
        <v>45713.807858796295</v>
      </c>
      <c r="E68" t="s">
        <v>122</v>
      </c>
      <c r="F68" s="4">
        <v>234.19200000000001</v>
      </c>
      <c r="G68" s="4">
        <v>62743.654000000002</v>
      </c>
      <c r="H68" s="4">
        <v>62977.845999999998</v>
      </c>
      <c r="I68" s="5">
        <f>12375 / 86400</f>
        <v>0.14322916666666666</v>
      </c>
      <c r="J68" t="s">
        <v>123</v>
      </c>
      <c r="K68" t="s">
        <v>92</v>
      </c>
      <c r="L68" s="5">
        <f>43713 / 86400</f>
        <v>0.50593750000000004</v>
      </c>
      <c r="M68" s="5">
        <f>42681 / 86400</f>
        <v>0.49399305555555556</v>
      </c>
    </row>
    <row r="69" spans="1:13" x14ac:dyDescent="0.25">
      <c r="A69" t="s">
        <v>452</v>
      </c>
      <c r="B69" s="3">
        <v>45713</v>
      </c>
      <c r="C69" t="s">
        <v>98</v>
      </c>
      <c r="D69" s="3">
        <v>45713.99998842593</v>
      </c>
      <c r="E69" t="s">
        <v>124</v>
      </c>
      <c r="F69" s="4">
        <v>362.54999999998512</v>
      </c>
      <c r="G69" s="4">
        <v>66324.327000000005</v>
      </c>
      <c r="H69" s="4">
        <v>66686.876999999993</v>
      </c>
      <c r="I69" s="5">
        <f>19464 / 86400</f>
        <v>0.22527777777777777</v>
      </c>
      <c r="J69" t="s">
        <v>81</v>
      </c>
      <c r="K69" t="s">
        <v>125</v>
      </c>
      <c r="L69" s="5">
        <f>63545 / 86400</f>
        <v>0.73547453703703702</v>
      </c>
      <c r="M69" s="5">
        <f>22848 / 86400</f>
        <v>0.26444444444444443</v>
      </c>
    </row>
    <row r="70" spans="1:13" x14ac:dyDescent="0.25">
      <c r="A70" t="s">
        <v>453</v>
      </c>
      <c r="B70" s="3">
        <v>45713.035266203704</v>
      </c>
      <c r="C70" t="s">
        <v>126</v>
      </c>
      <c r="D70" s="3">
        <v>45713.899039351847</v>
      </c>
      <c r="E70" t="s">
        <v>126</v>
      </c>
      <c r="F70" s="4">
        <v>205.39699999999999</v>
      </c>
      <c r="G70" s="4">
        <v>293910.59999999998</v>
      </c>
      <c r="H70" s="4">
        <v>294115.99699999997</v>
      </c>
      <c r="I70" s="5">
        <f>20362 / 86400</f>
        <v>0.2356712962962963</v>
      </c>
      <c r="J70" t="s">
        <v>73</v>
      </c>
      <c r="K70" t="s">
        <v>76</v>
      </c>
      <c r="L70" s="5">
        <f>50703 / 86400</f>
        <v>0.58684027777777781</v>
      </c>
      <c r="M70" s="5">
        <f>35696 / 86400</f>
        <v>0.41314814814814815</v>
      </c>
    </row>
    <row r="71" spans="1:13" x14ac:dyDescent="0.25">
      <c r="A71" s="6" t="s">
        <v>127</v>
      </c>
      <c r="B71" s="6" t="s">
        <v>128</v>
      </c>
      <c r="C71" s="6" t="s">
        <v>128</v>
      </c>
      <c r="D71" s="6" t="s">
        <v>128</v>
      </c>
      <c r="E71" s="6" t="s">
        <v>128</v>
      </c>
      <c r="F71" s="7">
        <v>12029.392020489968</v>
      </c>
      <c r="G71" s="6" t="s">
        <v>128</v>
      </c>
      <c r="H71" s="6" t="s">
        <v>128</v>
      </c>
      <c r="I71" s="8">
        <f>1000604 / 86400</f>
        <v>11.581064814814814</v>
      </c>
      <c r="J71" s="6" t="s">
        <v>128</v>
      </c>
      <c r="K71" s="6" t="s">
        <v>128</v>
      </c>
      <c r="L71" s="8">
        <f>2592897 / 86400</f>
        <v>30.010381944444443</v>
      </c>
      <c r="M71" s="8">
        <f>2850018 / 86400</f>
        <v>32.986319444444447</v>
      </c>
    </row>
    <row r="72" spans="1:13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</row>
    <row r="73" spans="1:13" s="9" customFormat="1" x14ac:dyDescent="0.25">
      <c r="A73" s="14" t="s">
        <v>129</v>
      </c>
      <c r="B73" s="14"/>
      <c r="C73" s="14"/>
      <c r="D73" s="14"/>
      <c r="E73" s="14"/>
      <c r="F73" s="14"/>
      <c r="G73" s="14"/>
      <c r="H73" s="14"/>
      <c r="I73" s="14"/>
      <c r="J73" s="14"/>
    </row>
    <row r="74" spans="1:13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</row>
    <row r="75" spans="1:13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</row>
    <row r="76" spans="1:13" s="10" customFormat="1" ht="20.100000000000001" customHeight="1" x14ac:dyDescent="0.35">
      <c r="A76" s="15" t="s">
        <v>391</v>
      </c>
      <c r="B76" s="15"/>
      <c r="C76" s="15"/>
      <c r="D76" s="15"/>
      <c r="E76" s="15"/>
      <c r="F76" s="15"/>
      <c r="G76" s="15"/>
      <c r="H76" s="15"/>
      <c r="I76" s="15"/>
      <c r="J76" s="15"/>
    </row>
    <row r="77" spans="1:13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</row>
    <row r="78" spans="1:13" ht="30" x14ac:dyDescent="0.25">
      <c r="A78" s="2" t="s">
        <v>6</v>
      </c>
      <c r="B78" s="2" t="s">
        <v>7</v>
      </c>
      <c r="C78" s="2" t="s">
        <v>8</v>
      </c>
      <c r="D78" s="2" t="s">
        <v>9</v>
      </c>
      <c r="E78" s="2" t="s">
        <v>10</v>
      </c>
      <c r="F78" s="2" t="s">
        <v>11</v>
      </c>
      <c r="G78" s="2" t="s">
        <v>12</v>
      </c>
      <c r="H78" s="2" t="s">
        <v>13</v>
      </c>
      <c r="I78" s="2" t="s">
        <v>14</v>
      </c>
      <c r="J78" s="2" t="s">
        <v>15</v>
      </c>
      <c r="K78" s="2" t="s">
        <v>16</v>
      </c>
      <c r="L78" s="2" t="s">
        <v>17</v>
      </c>
    </row>
    <row r="79" spans="1:13" x14ac:dyDescent="0.25">
      <c r="A79" s="3">
        <v>45713.182476851856</v>
      </c>
      <c r="B79" t="s">
        <v>18</v>
      </c>
      <c r="C79" s="3">
        <v>45713.184999999998</v>
      </c>
      <c r="D79" t="s">
        <v>18</v>
      </c>
      <c r="E79" s="4">
        <v>0</v>
      </c>
      <c r="F79" s="4">
        <v>516332.31400000001</v>
      </c>
      <c r="G79" s="4">
        <v>516332.31400000001</v>
      </c>
      <c r="H79" s="5">
        <f>199 / 86400</f>
        <v>2.3032407407407407E-3</v>
      </c>
      <c r="I79" t="s">
        <v>22</v>
      </c>
      <c r="J79" t="s">
        <v>22</v>
      </c>
      <c r="K79" s="5">
        <f>217 / 86400</f>
        <v>2.5115740740740741E-3</v>
      </c>
      <c r="L79" s="5">
        <f>20813 / 86400</f>
        <v>0.2408912037037037</v>
      </c>
    </row>
    <row r="80" spans="1:13" x14ac:dyDescent="0.25">
      <c r="A80" s="3">
        <v>45713.243414351848</v>
      </c>
      <c r="B80" t="s">
        <v>18</v>
      </c>
      <c r="C80" s="3">
        <v>45713.326331018514</v>
      </c>
      <c r="D80" t="s">
        <v>82</v>
      </c>
      <c r="E80" s="4">
        <v>48.484000000000002</v>
      </c>
      <c r="F80" s="4">
        <v>516332.31400000001</v>
      </c>
      <c r="G80" s="4">
        <v>516380.79800000001</v>
      </c>
      <c r="H80" s="5">
        <f>1340 / 86400</f>
        <v>1.5509259259259259E-2</v>
      </c>
      <c r="I80" t="s">
        <v>87</v>
      </c>
      <c r="J80" t="s">
        <v>119</v>
      </c>
      <c r="K80" s="5">
        <f>7164 / 86400</f>
        <v>8.2916666666666666E-2</v>
      </c>
      <c r="L80" s="5">
        <f>296 / 86400</f>
        <v>3.425925925925926E-3</v>
      </c>
    </row>
    <row r="81" spans="1:12" x14ac:dyDescent="0.25">
      <c r="A81" s="3">
        <v>45713.32975694444</v>
      </c>
      <c r="B81" t="s">
        <v>82</v>
      </c>
      <c r="C81" s="3">
        <v>45713.332430555558</v>
      </c>
      <c r="D81" t="s">
        <v>130</v>
      </c>
      <c r="E81" s="4">
        <v>0.89500000000000002</v>
      </c>
      <c r="F81" s="4">
        <v>516380.79800000001</v>
      </c>
      <c r="G81" s="4">
        <v>516381.69300000003</v>
      </c>
      <c r="H81" s="5">
        <f>40 / 86400</f>
        <v>4.6296296296296298E-4</v>
      </c>
      <c r="I81" t="s">
        <v>131</v>
      </c>
      <c r="J81" t="s">
        <v>29</v>
      </c>
      <c r="K81" s="5">
        <f>231 / 86400</f>
        <v>2.673611111111111E-3</v>
      </c>
      <c r="L81" s="5">
        <f>589 / 86400</f>
        <v>6.8171296296296296E-3</v>
      </c>
    </row>
    <row r="82" spans="1:12" x14ac:dyDescent="0.25">
      <c r="A82" s="3">
        <v>45713.339247685188</v>
      </c>
      <c r="B82" t="s">
        <v>130</v>
      </c>
      <c r="C82" s="3">
        <v>45713.341342592597</v>
      </c>
      <c r="D82" t="s">
        <v>132</v>
      </c>
      <c r="E82" s="4">
        <v>0.40899999999999997</v>
      </c>
      <c r="F82" s="4">
        <v>516381.69300000003</v>
      </c>
      <c r="G82" s="4">
        <v>516382.10200000001</v>
      </c>
      <c r="H82" s="5">
        <f>19 / 86400</f>
        <v>2.199074074074074E-4</v>
      </c>
      <c r="I82" t="s">
        <v>76</v>
      </c>
      <c r="J82" t="s">
        <v>97</v>
      </c>
      <c r="K82" s="5">
        <f>181 / 86400</f>
        <v>2.0949074074074073E-3</v>
      </c>
      <c r="L82" s="5">
        <f>1261 / 86400</f>
        <v>1.4594907407407407E-2</v>
      </c>
    </row>
    <row r="83" spans="1:12" x14ac:dyDescent="0.25">
      <c r="A83" s="3">
        <v>45713.355937500004</v>
      </c>
      <c r="B83" t="s">
        <v>132</v>
      </c>
      <c r="C83" s="3">
        <v>45713.361990740741</v>
      </c>
      <c r="D83" t="s">
        <v>126</v>
      </c>
      <c r="E83" s="4">
        <v>1.359</v>
      </c>
      <c r="F83" s="4">
        <v>516382.10200000001</v>
      </c>
      <c r="G83" s="4">
        <v>516383.46100000001</v>
      </c>
      <c r="H83" s="5">
        <f>79 / 86400</f>
        <v>9.1435185185185185E-4</v>
      </c>
      <c r="I83" t="s">
        <v>111</v>
      </c>
      <c r="J83" t="s">
        <v>64</v>
      </c>
      <c r="K83" s="5">
        <f>522 / 86400</f>
        <v>6.0416666666666665E-3</v>
      </c>
      <c r="L83" s="5">
        <f>797 / 86400</f>
        <v>9.2245370370370363E-3</v>
      </c>
    </row>
    <row r="84" spans="1:12" x14ac:dyDescent="0.25">
      <c r="A84" s="3">
        <v>45713.371215277773</v>
      </c>
      <c r="B84" t="s">
        <v>126</v>
      </c>
      <c r="C84" s="3">
        <v>45713.375057870369</v>
      </c>
      <c r="D84" t="s">
        <v>133</v>
      </c>
      <c r="E84" s="4">
        <v>0.90500000000000003</v>
      </c>
      <c r="F84" s="4">
        <v>516383.46100000001</v>
      </c>
      <c r="G84" s="4">
        <v>516384.36599999998</v>
      </c>
      <c r="H84" s="5">
        <f>40 / 86400</f>
        <v>4.6296296296296298E-4</v>
      </c>
      <c r="I84" t="s">
        <v>20</v>
      </c>
      <c r="J84" t="s">
        <v>134</v>
      </c>
      <c r="K84" s="5">
        <f>332 / 86400</f>
        <v>3.8425925925925928E-3</v>
      </c>
      <c r="L84" s="5">
        <f>121 / 86400</f>
        <v>1.4004629629629629E-3</v>
      </c>
    </row>
    <row r="85" spans="1:12" x14ac:dyDescent="0.25">
      <c r="A85" s="3">
        <v>45713.376458333332</v>
      </c>
      <c r="B85" t="s">
        <v>133</v>
      </c>
      <c r="C85" s="3">
        <v>45713.571979166663</v>
      </c>
      <c r="D85" t="s">
        <v>135</v>
      </c>
      <c r="E85" s="4">
        <v>71.085999999999999</v>
      </c>
      <c r="F85" s="4">
        <v>516384.36599999998</v>
      </c>
      <c r="G85" s="4">
        <v>516455.45199999999</v>
      </c>
      <c r="H85" s="5">
        <f>5999 / 86400</f>
        <v>6.9432870370370367E-2</v>
      </c>
      <c r="I85" t="s">
        <v>19</v>
      </c>
      <c r="J85" t="s">
        <v>76</v>
      </c>
      <c r="K85" s="5">
        <f>16893 / 86400</f>
        <v>0.19552083333333334</v>
      </c>
      <c r="L85" s="5">
        <f>5246 / 86400</f>
        <v>6.0717592592592594E-2</v>
      </c>
    </row>
    <row r="86" spans="1:12" x14ac:dyDescent="0.25">
      <c r="A86" s="3">
        <v>45713.632696759261</v>
      </c>
      <c r="B86" t="s">
        <v>135</v>
      </c>
      <c r="C86" s="3">
        <v>45713.69939814815</v>
      </c>
      <c r="D86" t="s">
        <v>115</v>
      </c>
      <c r="E86" s="4">
        <v>34.707000000000001</v>
      </c>
      <c r="F86" s="4">
        <v>516455.45199999999</v>
      </c>
      <c r="G86" s="4">
        <v>516490.15899999999</v>
      </c>
      <c r="H86" s="5">
        <f>1659 / 86400</f>
        <v>1.9201388888888889E-2</v>
      </c>
      <c r="I86" t="s">
        <v>65</v>
      </c>
      <c r="J86" t="s">
        <v>136</v>
      </c>
      <c r="K86" s="5">
        <f>5762 / 86400</f>
        <v>6.6689814814814813E-2</v>
      </c>
      <c r="L86" s="5">
        <f>113 / 86400</f>
        <v>1.3078703703703703E-3</v>
      </c>
    </row>
    <row r="87" spans="1:12" x14ac:dyDescent="0.25">
      <c r="A87" s="3">
        <v>45713.700706018513</v>
      </c>
      <c r="B87" t="s">
        <v>115</v>
      </c>
      <c r="C87" s="3">
        <v>45713.700960648144</v>
      </c>
      <c r="D87" t="s">
        <v>115</v>
      </c>
      <c r="E87" s="4">
        <v>0</v>
      </c>
      <c r="F87" s="4">
        <v>516490.15899999999</v>
      </c>
      <c r="G87" s="4">
        <v>516490.15899999999</v>
      </c>
      <c r="H87" s="5">
        <f>19 / 86400</f>
        <v>2.199074074074074E-4</v>
      </c>
      <c r="I87" t="s">
        <v>22</v>
      </c>
      <c r="J87" t="s">
        <v>22</v>
      </c>
      <c r="K87" s="5">
        <f>22 / 86400</f>
        <v>2.5462962962962961E-4</v>
      </c>
      <c r="L87" s="5">
        <f>444 / 86400</f>
        <v>5.138888888888889E-3</v>
      </c>
    </row>
    <row r="88" spans="1:12" x14ac:dyDescent="0.25">
      <c r="A88" s="3">
        <v>45713.706099537041</v>
      </c>
      <c r="B88" t="s">
        <v>115</v>
      </c>
      <c r="C88" s="3">
        <v>45713.707395833335</v>
      </c>
      <c r="D88" t="s">
        <v>137</v>
      </c>
      <c r="E88" s="4">
        <v>0.56799999999999995</v>
      </c>
      <c r="F88" s="4">
        <v>516490.15899999999</v>
      </c>
      <c r="G88" s="4">
        <v>516490.72700000001</v>
      </c>
      <c r="H88" s="5">
        <f>0 / 86400</f>
        <v>0</v>
      </c>
      <c r="I88" t="s">
        <v>138</v>
      </c>
      <c r="J88" t="s">
        <v>26</v>
      </c>
      <c r="K88" s="5">
        <f>112 / 86400</f>
        <v>1.2962962962962963E-3</v>
      </c>
      <c r="L88" s="5">
        <f>206 / 86400</f>
        <v>2.3842592592592591E-3</v>
      </c>
    </row>
    <row r="89" spans="1:12" x14ac:dyDescent="0.25">
      <c r="A89" s="3">
        <v>45713.709780092591</v>
      </c>
      <c r="B89" t="s">
        <v>137</v>
      </c>
      <c r="C89" s="3">
        <v>45713.902037037042</v>
      </c>
      <c r="D89" t="s">
        <v>139</v>
      </c>
      <c r="E89" s="4">
        <v>71.087999999999994</v>
      </c>
      <c r="F89" s="4">
        <v>516490.72700000001</v>
      </c>
      <c r="G89" s="4">
        <v>516561.815</v>
      </c>
      <c r="H89" s="5">
        <f>6262 / 86400</f>
        <v>7.2476851851851848E-2</v>
      </c>
      <c r="I89" t="s">
        <v>75</v>
      </c>
      <c r="J89" t="s">
        <v>76</v>
      </c>
      <c r="K89" s="5">
        <f>16611 / 86400</f>
        <v>0.19225694444444444</v>
      </c>
      <c r="L89" s="5">
        <f>497 / 86400</f>
        <v>5.7523148148148151E-3</v>
      </c>
    </row>
    <row r="90" spans="1:12" x14ac:dyDescent="0.25">
      <c r="A90" s="3">
        <v>45713.907789351855</v>
      </c>
      <c r="B90" t="s">
        <v>139</v>
      </c>
      <c r="C90" s="3">
        <v>45713.912974537037</v>
      </c>
      <c r="D90" t="s">
        <v>18</v>
      </c>
      <c r="E90" s="4">
        <v>0.55500000000000005</v>
      </c>
      <c r="F90" s="4">
        <v>516561.815</v>
      </c>
      <c r="G90" s="4">
        <v>516562.37</v>
      </c>
      <c r="H90" s="5">
        <f>300 / 86400</f>
        <v>3.472222222222222E-3</v>
      </c>
      <c r="I90" t="s">
        <v>140</v>
      </c>
      <c r="J90" t="s">
        <v>141</v>
      </c>
      <c r="K90" s="5">
        <f>448 / 86400</f>
        <v>5.185185185185185E-3</v>
      </c>
      <c r="L90" s="5">
        <f>7518 / 86400</f>
        <v>8.7013888888888891E-2</v>
      </c>
    </row>
    <row r="91" spans="1:12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</row>
    <row r="92" spans="1:12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</row>
    <row r="93" spans="1:12" s="10" customFormat="1" ht="20.100000000000001" customHeight="1" x14ac:dyDescent="0.35">
      <c r="A93" s="15" t="s">
        <v>392</v>
      </c>
      <c r="B93" s="15"/>
      <c r="C93" s="15"/>
      <c r="D93" s="15"/>
      <c r="E93" s="15"/>
      <c r="F93" s="15"/>
      <c r="G93" s="15"/>
      <c r="H93" s="15"/>
      <c r="I93" s="15"/>
      <c r="J93" s="15"/>
    </row>
    <row r="94" spans="1:12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</row>
    <row r="95" spans="1:12" ht="30" x14ac:dyDescent="0.25">
      <c r="A95" s="2" t="s">
        <v>6</v>
      </c>
      <c r="B95" s="2" t="s">
        <v>7</v>
      </c>
      <c r="C95" s="2" t="s">
        <v>8</v>
      </c>
      <c r="D95" s="2" t="s">
        <v>9</v>
      </c>
      <c r="E95" s="2" t="s">
        <v>10</v>
      </c>
      <c r="F95" s="2" t="s">
        <v>11</v>
      </c>
      <c r="G95" s="2" t="s">
        <v>12</v>
      </c>
      <c r="H95" s="2" t="s">
        <v>13</v>
      </c>
      <c r="I95" s="2" t="s">
        <v>14</v>
      </c>
      <c r="J95" s="2" t="s">
        <v>15</v>
      </c>
      <c r="K95" s="2" t="s">
        <v>16</v>
      </c>
      <c r="L95" s="2" t="s">
        <v>17</v>
      </c>
    </row>
    <row r="96" spans="1:12" x14ac:dyDescent="0.25">
      <c r="A96" s="3">
        <v>45713.098715277782</v>
      </c>
      <c r="B96" t="s">
        <v>21</v>
      </c>
      <c r="C96" s="3">
        <v>45713.291296296295</v>
      </c>
      <c r="D96" t="s">
        <v>21</v>
      </c>
      <c r="E96" s="4">
        <v>0</v>
      </c>
      <c r="F96" s="4">
        <v>20850.677</v>
      </c>
      <c r="G96" s="4">
        <v>20850.677</v>
      </c>
      <c r="H96" s="5">
        <f>16629 / 86400</f>
        <v>0.19246527777777778</v>
      </c>
      <c r="I96" t="s">
        <v>22</v>
      </c>
      <c r="J96" t="s">
        <v>22</v>
      </c>
      <c r="K96" s="5">
        <f>16638 / 86400</f>
        <v>0.19256944444444443</v>
      </c>
      <c r="L96" s="5">
        <f>10166 / 86400</f>
        <v>0.11766203703703704</v>
      </c>
    </row>
    <row r="97" spans="1:12" x14ac:dyDescent="0.25">
      <c r="A97" s="3">
        <v>45713.310243055559</v>
      </c>
      <c r="B97" t="s">
        <v>21</v>
      </c>
      <c r="C97" s="3">
        <v>45713.453460648147</v>
      </c>
      <c r="D97" t="s">
        <v>21</v>
      </c>
      <c r="E97" s="4">
        <v>0</v>
      </c>
      <c r="F97" s="4">
        <v>20850.677</v>
      </c>
      <c r="G97" s="4">
        <v>20850.677</v>
      </c>
      <c r="H97" s="5">
        <f>12369 / 86400</f>
        <v>0.14315972222222223</v>
      </c>
      <c r="I97" t="s">
        <v>22</v>
      </c>
      <c r="J97" t="s">
        <v>22</v>
      </c>
      <c r="K97" s="5">
        <f>12373 / 86400</f>
        <v>0.14320601851851852</v>
      </c>
      <c r="L97" s="5">
        <f>3673 / 86400</f>
        <v>4.2511574074074077E-2</v>
      </c>
    </row>
    <row r="98" spans="1:12" x14ac:dyDescent="0.25">
      <c r="A98" s="3">
        <v>45713.495972222227</v>
      </c>
      <c r="B98" t="s">
        <v>21</v>
      </c>
      <c r="C98" s="3">
        <v>45713.624918981484</v>
      </c>
      <c r="D98" t="s">
        <v>21</v>
      </c>
      <c r="E98" s="4">
        <v>0</v>
      </c>
      <c r="F98" s="4">
        <v>20850.677</v>
      </c>
      <c r="G98" s="4">
        <v>20850.677</v>
      </c>
      <c r="H98" s="5">
        <f>11128 / 86400</f>
        <v>0.1287962962962963</v>
      </c>
      <c r="I98" t="s">
        <v>22</v>
      </c>
      <c r="J98" t="s">
        <v>22</v>
      </c>
      <c r="K98" s="5">
        <f>11140 / 86400</f>
        <v>0.12893518518518518</v>
      </c>
      <c r="L98" s="5">
        <f>255 / 86400</f>
        <v>2.9513888888888888E-3</v>
      </c>
    </row>
    <row r="99" spans="1:12" x14ac:dyDescent="0.25">
      <c r="A99" s="3">
        <v>45713.627870370372</v>
      </c>
      <c r="B99" t="s">
        <v>21</v>
      </c>
      <c r="C99" s="3">
        <v>45713.629386574074</v>
      </c>
      <c r="D99" t="s">
        <v>21</v>
      </c>
      <c r="E99" s="4">
        <v>0</v>
      </c>
      <c r="F99" s="4">
        <v>20850.677</v>
      </c>
      <c r="G99" s="4">
        <v>20850.677</v>
      </c>
      <c r="H99" s="5">
        <f>119 / 86400</f>
        <v>1.3773148148148147E-3</v>
      </c>
      <c r="I99" t="s">
        <v>22</v>
      </c>
      <c r="J99" t="s">
        <v>22</v>
      </c>
      <c r="K99" s="5">
        <f>131 / 86400</f>
        <v>1.5162037037037036E-3</v>
      </c>
      <c r="L99" s="5">
        <f>512 / 86400</f>
        <v>5.9259259259259256E-3</v>
      </c>
    </row>
    <row r="100" spans="1:12" x14ac:dyDescent="0.25">
      <c r="A100" s="3">
        <v>45713.635312500002</v>
      </c>
      <c r="B100" t="s">
        <v>21</v>
      </c>
      <c r="C100" s="3">
        <v>45713.635428240741</v>
      </c>
      <c r="D100" t="s">
        <v>21</v>
      </c>
      <c r="E100" s="4">
        <v>0</v>
      </c>
      <c r="F100" s="4">
        <v>20850.677</v>
      </c>
      <c r="G100" s="4">
        <v>20850.677</v>
      </c>
      <c r="H100" s="5">
        <f>0 / 86400</f>
        <v>0</v>
      </c>
      <c r="I100" t="s">
        <v>22</v>
      </c>
      <c r="J100" t="s">
        <v>22</v>
      </c>
      <c r="K100" s="5">
        <f>10 / 86400</f>
        <v>1.1574074074074075E-4</v>
      </c>
      <c r="L100" s="5">
        <f>879 / 86400</f>
        <v>1.0173611111111111E-2</v>
      </c>
    </row>
    <row r="101" spans="1:12" x14ac:dyDescent="0.25">
      <c r="A101" s="3">
        <v>45713.645601851851</v>
      </c>
      <c r="B101" t="s">
        <v>21</v>
      </c>
      <c r="C101" s="3">
        <v>45713.647812499999</v>
      </c>
      <c r="D101" t="s">
        <v>21</v>
      </c>
      <c r="E101" s="4">
        <v>0</v>
      </c>
      <c r="F101" s="4">
        <v>20850.677</v>
      </c>
      <c r="G101" s="4">
        <v>20850.677</v>
      </c>
      <c r="H101" s="5">
        <f>179 / 86400</f>
        <v>2.0717592592592593E-3</v>
      </c>
      <c r="I101" t="s">
        <v>22</v>
      </c>
      <c r="J101" t="s">
        <v>22</v>
      </c>
      <c r="K101" s="5">
        <f>191 / 86400</f>
        <v>2.2106481481481482E-3</v>
      </c>
      <c r="L101" s="5">
        <f>303 / 86400</f>
        <v>3.5069444444444445E-3</v>
      </c>
    </row>
    <row r="102" spans="1:12" x14ac:dyDescent="0.25">
      <c r="A102" s="3">
        <v>45713.651319444441</v>
      </c>
      <c r="B102" t="s">
        <v>21</v>
      </c>
      <c r="C102" s="3">
        <v>45713.892777777779</v>
      </c>
      <c r="D102" t="s">
        <v>21</v>
      </c>
      <c r="E102" s="4">
        <v>0</v>
      </c>
      <c r="F102" s="4">
        <v>20850.677</v>
      </c>
      <c r="G102" s="4">
        <v>20850.677</v>
      </c>
      <c r="H102" s="5">
        <f>20859 / 86400</f>
        <v>0.2414236111111111</v>
      </c>
      <c r="I102" t="s">
        <v>22</v>
      </c>
      <c r="J102" t="s">
        <v>22</v>
      </c>
      <c r="K102" s="5">
        <f>20862 / 86400</f>
        <v>0.24145833333333333</v>
      </c>
      <c r="L102" s="5">
        <f>511 / 86400</f>
        <v>5.9143518518518521E-3</v>
      </c>
    </row>
    <row r="103" spans="1:12" x14ac:dyDescent="0.25">
      <c r="A103" s="3">
        <v>45713.898692129631</v>
      </c>
      <c r="B103" t="s">
        <v>21</v>
      </c>
      <c r="C103" s="3">
        <v>45713.901817129634</v>
      </c>
      <c r="D103" t="s">
        <v>21</v>
      </c>
      <c r="E103" s="4">
        <v>0</v>
      </c>
      <c r="F103" s="4">
        <v>20850.677</v>
      </c>
      <c r="G103" s="4">
        <v>20850.677</v>
      </c>
      <c r="H103" s="5">
        <f>259 / 86400</f>
        <v>2.9976851851851853E-3</v>
      </c>
      <c r="I103" t="s">
        <v>22</v>
      </c>
      <c r="J103" t="s">
        <v>22</v>
      </c>
      <c r="K103" s="5">
        <f>269 / 86400</f>
        <v>3.1134259259259257E-3</v>
      </c>
      <c r="L103" s="5">
        <f>8482 / 86400</f>
        <v>9.8171296296296298E-2</v>
      </c>
    </row>
    <row r="104" spans="1:12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</row>
    <row r="105" spans="1:12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</row>
    <row r="106" spans="1:12" s="10" customFormat="1" ht="20.100000000000001" customHeight="1" x14ac:dyDescent="0.35">
      <c r="A106" s="15" t="s">
        <v>393</v>
      </c>
      <c r="B106" s="15"/>
      <c r="C106" s="15"/>
      <c r="D106" s="15"/>
      <c r="E106" s="15"/>
      <c r="F106" s="15"/>
      <c r="G106" s="15"/>
      <c r="H106" s="15"/>
      <c r="I106" s="15"/>
      <c r="J106" s="15"/>
    </row>
    <row r="107" spans="1:12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</row>
    <row r="108" spans="1:12" ht="30" x14ac:dyDescent="0.25">
      <c r="A108" s="2" t="s">
        <v>6</v>
      </c>
      <c r="B108" s="2" t="s">
        <v>7</v>
      </c>
      <c r="C108" s="2" t="s">
        <v>8</v>
      </c>
      <c r="D108" s="2" t="s">
        <v>9</v>
      </c>
      <c r="E108" s="2" t="s">
        <v>10</v>
      </c>
      <c r="F108" s="2" t="s">
        <v>11</v>
      </c>
      <c r="G108" s="2" t="s">
        <v>12</v>
      </c>
      <c r="H108" s="2" t="s">
        <v>13</v>
      </c>
      <c r="I108" s="2" t="s">
        <v>14</v>
      </c>
      <c r="J108" s="2" t="s">
        <v>15</v>
      </c>
      <c r="K108" s="2" t="s">
        <v>16</v>
      </c>
      <c r="L108" s="2" t="s">
        <v>17</v>
      </c>
    </row>
    <row r="109" spans="1:12" x14ac:dyDescent="0.25">
      <c r="A109" s="3">
        <v>45713.235972222217</v>
      </c>
      <c r="B109" t="s">
        <v>23</v>
      </c>
      <c r="C109" s="3">
        <v>45713.243055555555</v>
      </c>
      <c r="D109" t="s">
        <v>67</v>
      </c>
      <c r="E109" s="4">
        <v>3.6669999999999998</v>
      </c>
      <c r="F109" s="4">
        <v>330416.886</v>
      </c>
      <c r="G109" s="4">
        <v>330420.55300000001</v>
      </c>
      <c r="H109" s="5">
        <f>199 / 86400</f>
        <v>2.3032407407407407E-3</v>
      </c>
      <c r="I109" t="s">
        <v>142</v>
      </c>
      <c r="J109" t="s">
        <v>136</v>
      </c>
      <c r="K109" s="5">
        <f>611 / 86400</f>
        <v>7.0717592592592594E-3</v>
      </c>
      <c r="L109" s="5">
        <f>21410 / 86400</f>
        <v>0.24780092592592592</v>
      </c>
    </row>
    <row r="110" spans="1:12" x14ac:dyDescent="0.25">
      <c r="A110" s="3">
        <v>45713.254884259259</v>
      </c>
      <c r="B110" t="s">
        <v>67</v>
      </c>
      <c r="C110" s="3">
        <v>45713.327326388884</v>
      </c>
      <c r="D110" t="s">
        <v>143</v>
      </c>
      <c r="E110" s="4">
        <v>32.511000000000003</v>
      </c>
      <c r="F110" s="4">
        <v>330420.55300000001</v>
      </c>
      <c r="G110" s="4">
        <v>330453.06400000001</v>
      </c>
      <c r="H110" s="5">
        <f>2259 / 86400</f>
        <v>2.6145833333333333E-2</v>
      </c>
      <c r="I110" t="s">
        <v>94</v>
      </c>
      <c r="J110" t="s">
        <v>92</v>
      </c>
      <c r="K110" s="5">
        <f>6259 / 86400</f>
        <v>7.2442129629629634E-2</v>
      </c>
      <c r="L110" s="5">
        <f>11 / 86400</f>
        <v>1.273148148148148E-4</v>
      </c>
    </row>
    <row r="111" spans="1:12" x14ac:dyDescent="0.25">
      <c r="A111" s="3">
        <v>45713.327453703707</v>
      </c>
      <c r="B111" t="s">
        <v>143</v>
      </c>
      <c r="C111" s="3">
        <v>45713.327627314815</v>
      </c>
      <c r="D111" t="s">
        <v>143</v>
      </c>
      <c r="E111" s="4">
        <v>4.0000000000000001E-3</v>
      </c>
      <c r="F111" s="4">
        <v>330453.06400000001</v>
      </c>
      <c r="G111" s="4">
        <v>330453.06800000003</v>
      </c>
      <c r="H111" s="5">
        <f>0 / 86400</f>
        <v>0</v>
      </c>
      <c r="I111" t="s">
        <v>22</v>
      </c>
      <c r="J111" t="s">
        <v>144</v>
      </c>
      <c r="K111" s="5">
        <f>14 / 86400</f>
        <v>1.6203703703703703E-4</v>
      </c>
      <c r="L111" s="5">
        <f>729 / 86400</f>
        <v>8.4375000000000006E-3</v>
      </c>
    </row>
    <row r="112" spans="1:12" x14ac:dyDescent="0.25">
      <c r="A112" s="3">
        <v>45713.336064814815</v>
      </c>
      <c r="B112" t="s">
        <v>143</v>
      </c>
      <c r="C112" s="3">
        <v>45713.336562500001</v>
      </c>
      <c r="D112" t="s">
        <v>143</v>
      </c>
      <c r="E112" s="4">
        <v>3.3000000000000002E-2</v>
      </c>
      <c r="F112" s="4">
        <v>330453.06800000003</v>
      </c>
      <c r="G112" s="4">
        <v>330453.10100000002</v>
      </c>
      <c r="H112" s="5">
        <f>0 / 86400</f>
        <v>0</v>
      </c>
      <c r="I112" t="s">
        <v>145</v>
      </c>
      <c r="J112" t="s">
        <v>106</v>
      </c>
      <c r="K112" s="5">
        <f>43 / 86400</f>
        <v>4.9768518518518521E-4</v>
      </c>
      <c r="L112" s="5">
        <f>3 / 86400</f>
        <v>3.4722222222222222E-5</v>
      </c>
    </row>
    <row r="113" spans="1:12" x14ac:dyDescent="0.25">
      <c r="A113" s="3">
        <v>45713.336597222224</v>
      </c>
      <c r="B113" t="s">
        <v>143</v>
      </c>
      <c r="C113" s="3">
        <v>45713.35229166667</v>
      </c>
      <c r="D113" t="s">
        <v>143</v>
      </c>
      <c r="E113" s="4">
        <v>1.0999999999999999E-2</v>
      </c>
      <c r="F113" s="4">
        <v>330453.10100000002</v>
      </c>
      <c r="G113" s="4">
        <v>330453.11200000002</v>
      </c>
      <c r="H113" s="5">
        <f>1339 / 86400</f>
        <v>1.5497685185185186E-2</v>
      </c>
      <c r="I113" t="s">
        <v>146</v>
      </c>
      <c r="J113" t="s">
        <v>22</v>
      </c>
      <c r="K113" s="5">
        <f>1356 / 86400</f>
        <v>1.5694444444444445E-2</v>
      </c>
      <c r="L113" s="5">
        <f>15 / 86400</f>
        <v>1.7361111111111112E-4</v>
      </c>
    </row>
    <row r="114" spans="1:12" x14ac:dyDescent="0.25">
      <c r="A114" s="3">
        <v>45713.352465277778</v>
      </c>
      <c r="B114" t="s">
        <v>143</v>
      </c>
      <c r="C114" s="3">
        <v>45713.439687499995</v>
      </c>
      <c r="D114" t="s">
        <v>82</v>
      </c>
      <c r="E114" s="4">
        <v>39.529000000000003</v>
      </c>
      <c r="F114" s="4">
        <v>330453.11200000002</v>
      </c>
      <c r="G114" s="4">
        <v>330492.641</v>
      </c>
      <c r="H114" s="5">
        <f>2779 / 86400</f>
        <v>3.2164351851851854E-2</v>
      </c>
      <c r="I114" t="s">
        <v>25</v>
      </c>
      <c r="J114" t="s">
        <v>92</v>
      </c>
      <c r="K114" s="5">
        <f>7536 / 86400</f>
        <v>8.7222222222222229E-2</v>
      </c>
      <c r="L114" s="5">
        <f>184 / 86400</f>
        <v>2.1296296296296298E-3</v>
      </c>
    </row>
    <row r="115" spans="1:12" x14ac:dyDescent="0.25">
      <c r="A115" s="3">
        <v>45713.441817129627</v>
      </c>
      <c r="B115" t="s">
        <v>82</v>
      </c>
      <c r="C115" s="3">
        <v>45713.442557870367</v>
      </c>
      <c r="D115" t="s">
        <v>82</v>
      </c>
      <c r="E115" s="4">
        <v>3.1E-2</v>
      </c>
      <c r="F115" s="4">
        <v>330492.641</v>
      </c>
      <c r="G115" s="4">
        <v>330492.67200000002</v>
      </c>
      <c r="H115" s="5">
        <f>19 / 86400</f>
        <v>2.199074074074074E-4</v>
      </c>
      <c r="I115" t="s">
        <v>145</v>
      </c>
      <c r="J115" t="s">
        <v>147</v>
      </c>
      <c r="K115" s="5">
        <f>63 / 86400</f>
        <v>7.291666666666667E-4</v>
      </c>
      <c r="L115" s="5">
        <f>509 / 86400</f>
        <v>5.8912037037037041E-3</v>
      </c>
    </row>
    <row r="116" spans="1:12" x14ac:dyDescent="0.25">
      <c r="A116" s="3">
        <v>45713.448449074072</v>
      </c>
      <c r="B116" t="s">
        <v>82</v>
      </c>
      <c r="C116" s="3">
        <v>45713.452939814815</v>
      </c>
      <c r="D116" t="s">
        <v>126</v>
      </c>
      <c r="E116" s="4">
        <v>0.997</v>
      </c>
      <c r="F116" s="4">
        <v>330492.67200000002</v>
      </c>
      <c r="G116" s="4">
        <v>330493.66899999999</v>
      </c>
      <c r="H116" s="5">
        <f>80 / 86400</f>
        <v>9.2592592592592596E-4</v>
      </c>
      <c r="I116" t="s">
        <v>33</v>
      </c>
      <c r="J116" t="s">
        <v>64</v>
      </c>
      <c r="K116" s="5">
        <f>388 / 86400</f>
        <v>4.4907407407407405E-3</v>
      </c>
      <c r="L116" s="5">
        <f>477 / 86400</f>
        <v>5.5208333333333333E-3</v>
      </c>
    </row>
    <row r="117" spans="1:12" x14ac:dyDescent="0.25">
      <c r="A117" s="3">
        <v>45713.458460648151</v>
      </c>
      <c r="B117" t="s">
        <v>126</v>
      </c>
      <c r="C117" s="3">
        <v>45713.461099537039</v>
      </c>
      <c r="D117" t="s">
        <v>126</v>
      </c>
      <c r="E117" s="4">
        <v>7.9000000000000001E-2</v>
      </c>
      <c r="F117" s="4">
        <v>330493.66899999999</v>
      </c>
      <c r="G117" s="4">
        <v>330493.74800000002</v>
      </c>
      <c r="H117" s="5">
        <f>179 / 86400</f>
        <v>2.0717592592592593E-3</v>
      </c>
      <c r="I117" t="s">
        <v>76</v>
      </c>
      <c r="J117" t="s">
        <v>144</v>
      </c>
      <c r="K117" s="5">
        <f>227 / 86400</f>
        <v>2.627314814814815E-3</v>
      </c>
      <c r="L117" s="5">
        <f>174 / 86400</f>
        <v>2.0138888888888888E-3</v>
      </c>
    </row>
    <row r="118" spans="1:12" x14ac:dyDescent="0.25">
      <c r="A118" s="3">
        <v>45713.463113425925</v>
      </c>
      <c r="B118" t="s">
        <v>126</v>
      </c>
      <c r="C118" s="3">
        <v>45713.562951388885</v>
      </c>
      <c r="D118" t="s">
        <v>148</v>
      </c>
      <c r="E118" s="4">
        <v>43.540999999999997</v>
      </c>
      <c r="F118" s="4">
        <v>330493.74800000002</v>
      </c>
      <c r="G118" s="4">
        <v>330537.28899999999</v>
      </c>
      <c r="H118" s="5">
        <f>2923 / 86400</f>
        <v>3.3831018518518517E-2</v>
      </c>
      <c r="I118" t="s">
        <v>71</v>
      </c>
      <c r="J118" t="s">
        <v>26</v>
      </c>
      <c r="K118" s="5">
        <f>8626 / 86400</f>
        <v>9.9837962962962962E-2</v>
      </c>
      <c r="L118" s="5">
        <f>30 / 86400</f>
        <v>3.4722222222222224E-4</v>
      </c>
    </row>
    <row r="119" spans="1:12" x14ac:dyDescent="0.25">
      <c r="A119" s="3">
        <v>45713.563298611116</v>
      </c>
      <c r="B119" t="s">
        <v>80</v>
      </c>
      <c r="C119" s="3">
        <v>45713.636620370366</v>
      </c>
      <c r="D119" t="s">
        <v>149</v>
      </c>
      <c r="E119" s="4">
        <v>36.677999999999997</v>
      </c>
      <c r="F119" s="4">
        <v>330537.28899999999</v>
      </c>
      <c r="G119" s="4">
        <v>330573.967</v>
      </c>
      <c r="H119" s="5">
        <f>1742 / 86400</f>
        <v>2.0162037037037037E-2</v>
      </c>
      <c r="I119" t="s">
        <v>75</v>
      </c>
      <c r="J119" t="s">
        <v>125</v>
      </c>
      <c r="K119" s="5">
        <f>6335 / 86400</f>
        <v>7.3321759259259253E-2</v>
      </c>
      <c r="L119" s="5">
        <f>302 / 86400</f>
        <v>3.4953703703703705E-3</v>
      </c>
    </row>
    <row r="120" spans="1:12" x14ac:dyDescent="0.25">
      <c r="A120" s="3">
        <v>45713.640115740738</v>
      </c>
      <c r="B120" t="s">
        <v>149</v>
      </c>
      <c r="C120" s="3">
        <v>45713.668495370366</v>
      </c>
      <c r="D120" t="s">
        <v>84</v>
      </c>
      <c r="E120" s="4">
        <v>17.667000000000002</v>
      </c>
      <c r="F120" s="4">
        <v>330573.967</v>
      </c>
      <c r="G120" s="4">
        <v>330591.63400000002</v>
      </c>
      <c r="H120" s="5">
        <f>840 / 86400</f>
        <v>9.7222222222222224E-3</v>
      </c>
      <c r="I120" t="s">
        <v>94</v>
      </c>
      <c r="J120" t="s">
        <v>150</v>
      </c>
      <c r="K120" s="5">
        <f>2452 / 86400</f>
        <v>2.837962962962963E-2</v>
      </c>
      <c r="L120" s="5">
        <f>349 / 86400</f>
        <v>4.0393518518518521E-3</v>
      </c>
    </row>
    <row r="121" spans="1:12" x14ac:dyDescent="0.25">
      <c r="A121" s="3">
        <v>45713.672534722224</v>
      </c>
      <c r="B121" t="s">
        <v>84</v>
      </c>
      <c r="C121" s="3">
        <v>45713.672731481478</v>
      </c>
      <c r="D121" t="s">
        <v>91</v>
      </c>
      <c r="E121" s="4">
        <v>1.4E-2</v>
      </c>
      <c r="F121" s="4">
        <v>330591.63400000002</v>
      </c>
      <c r="G121" s="4">
        <v>330591.64799999999</v>
      </c>
      <c r="H121" s="5">
        <f>0 / 86400</f>
        <v>0</v>
      </c>
      <c r="I121" t="s">
        <v>34</v>
      </c>
      <c r="J121" t="s">
        <v>106</v>
      </c>
      <c r="K121" s="5">
        <f>16 / 86400</f>
        <v>1.8518518518518518E-4</v>
      </c>
      <c r="L121" s="5">
        <f>1032 / 86400</f>
        <v>1.1944444444444445E-2</v>
      </c>
    </row>
    <row r="122" spans="1:12" x14ac:dyDescent="0.25">
      <c r="A122" s="3">
        <v>45713.684675925921</v>
      </c>
      <c r="B122" t="s">
        <v>91</v>
      </c>
      <c r="C122" s="3">
        <v>45713.688287037032</v>
      </c>
      <c r="D122" t="s">
        <v>85</v>
      </c>
      <c r="E122" s="4">
        <v>1.3140000000000001</v>
      </c>
      <c r="F122" s="4">
        <v>330591.64799999999</v>
      </c>
      <c r="G122" s="4">
        <v>330592.962</v>
      </c>
      <c r="H122" s="5">
        <f>99 / 86400</f>
        <v>1.1458333333333333E-3</v>
      </c>
      <c r="I122" t="s">
        <v>151</v>
      </c>
      <c r="J122" t="s">
        <v>76</v>
      </c>
      <c r="K122" s="5">
        <f>311 / 86400</f>
        <v>3.5995370370370369E-3</v>
      </c>
      <c r="L122" s="5">
        <f>16024 / 86400</f>
        <v>0.18546296296296297</v>
      </c>
    </row>
    <row r="123" spans="1:12" x14ac:dyDescent="0.25">
      <c r="A123" s="3">
        <v>45713.873749999999</v>
      </c>
      <c r="B123" t="s">
        <v>85</v>
      </c>
      <c r="C123" s="3">
        <v>45713.876643518517</v>
      </c>
      <c r="D123" t="s">
        <v>85</v>
      </c>
      <c r="E123" s="4">
        <v>0.41899999999999998</v>
      </c>
      <c r="F123" s="4">
        <v>330592.962</v>
      </c>
      <c r="G123" s="4">
        <v>330593.38099999999</v>
      </c>
      <c r="H123" s="5">
        <f>90 / 86400</f>
        <v>1.0416666666666667E-3</v>
      </c>
      <c r="I123" t="s">
        <v>136</v>
      </c>
      <c r="J123" t="s">
        <v>145</v>
      </c>
      <c r="K123" s="5">
        <f>250 / 86400</f>
        <v>2.8935185185185184E-3</v>
      </c>
      <c r="L123" s="5">
        <f>854 / 86400</f>
        <v>9.8842592592592593E-3</v>
      </c>
    </row>
    <row r="124" spans="1:12" x14ac:dyDescent="0.25">
      <c r="A124" s="3">
        <v>45713.88652777778</v>
      </c>
      <c r="B124" t="s">
        <v>152</v>
      </c>
      <c r="C124" s="3">
        <v>45713.88762731482</v>
      </c>
      <c r="D124" t="s">
        <v>24</v>
      </c>
      <c r="E124" s="4">
        <v>0.41899999999999998</v>
      </c>
      <c r="F124" s="4">
        <v>330593.38099999999</v>
      </c>
      <c r="G124" s="4">
        <v>330593.8</v>
      </c>
      <c r="H124" s="5">
        <f>19 / 86400</f>
        <v>2.199074074074074E-4</v>
      </c>
      <c r="I124" t="s">
        <v>153</v>
      </c>
      <c r="J124" t="s">
        <v>32</v>
      </c>
      <c r="K124" s="5">
        <f>95 / 86400</f>
        <v>1.0995370370370371E-3</v>
      </c>
      <c r="L124" s="5">
        <f>9708 / 86400</f>
        <v>0.11236111111111111</v>
      </c>
    </row>
    <row r="125" spans="1:12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</row>
    <row r="126" spans="1:12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</row>
    <row r="127" spans="1:12" s="10" customFormat="1" ht="20.100000000000001" customHeight="1" x14ac:dyDescent="0.35">
      <c r="A127" s="15" t="s">
        <v>394</v>
      </c>
      <c r="B127" s="15"/>
      <c r="C127" s="15"/>
      <c r="D127" s="15"/>
      <c r="E127" s="15"/>
      <c r="F127" s="15"/>
      <c r="G127" s="15"/>
      <c r="H127" s="15"/>
      <c r="I127" s="15"/>
      <c r="J127" s="15"/>
    </row>
    <row r="128" spans="1:12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</row>
    <row r="129" spans="1:12" ht="30" x14ac:dyDescent="0.25">
      <c r="A129" s="2" t="s">
        <v>6</v>
      </c>
      <c r="B129" s="2" t="s">
        <v>7</v>
      </c>
      <c r="C129" s="2" t="s">
        <v>8</v>
      </c>
      <c r="D129" s="2" t="s">
        <v>9</v>
      </c>
      <c r="E129" s="2" t="s">
        <v>10</v>
      </c>
      <c r="F129" s="2" t="s">
        <v>11</v>
      </c>
      <c r="G129" s="2" t="s">
        <v>12</v>
      </c>
      <c r="H129" s="2" t="s">
        <v>13</v>
      </c>
      <c r="I129" s="2" t="s">
        <v>14</v>
      </c>
      <c r="J129" s="2" t="s">
        <v>15</v>
      </c>
      <c r="K129" s="2" t="s">
        <v>16</v>
      </c>
      <c r="L129" s="2" t="s">
        <v>17</v>
      </c>
    </row>
    <row r="130" spans="1:12" x14ac:dyDescent="0.25">
      <c r="A130" s="3">
        <v>45713.285405092596</v>
      </c>
      <c r="B130" t="s">
        <v>27</v>
      </c>
      <c r="C130" s="3">
        <v>45713.357928240745</v>
      </c>
      <c r="D130" t="s">
        <v>137</v>
      </c>
      <c r="E130" s="4">
        <v>28.071000000000002</v>
      </c>
      <c r="F130" s="4">
        <v>21964.32</v>
      </c>
      <c r="G130" s="4">
        <v>21992.391</v>
      </c>
      <c r="H130" s="5">
        <f>2299 / 86400</f>
        <v>2.6608796296296297E-2</v>
      </c>
      <c r="I130" t="s">
        <v>154</v>
      </c>
      <c r="J130" t="s">
        <v>32</v>
      </c>
      <c r="K130" s="5">
        <f>6265 / 86400</f>
        <v>7.2511574074074076E-2</v>
      </c>
      <c r="L130" s="5">
        <f>25088 / 86400</f>
        <v>0.29037037037037039</v>
      </c>
    </row>
    <row r="131" spans="1:12" x14ac:dyDescent="0.25">
      <c r="A131" s="3">
        <v>45713.362893518519</v>
      </c>
      <c r="B131" t="s">
        <v>137</v>
      </c>
      <c r="C131" s="3">
        <v>45713.364236111112</v>
      </c>
      <c r="D131" t="s">
        <v>133</v>
      </c>
      <c r="E131" s="4">
        <v>5.2999999999999999E-2</v>
      </c>
      <c r="F131" s="4">
        <v>21992.391</v>
      </c>
      <c r="G131" s="4">
        <v>21992.444</v>
      </c>
      <c r="H131" s="5">
        <f>80 / 86400</f>
        <v>9.2592592592592596E-4</v>
      </c>
      <c r="I131" t="s">
        <v>146</v>
      </c>
      <c r="J131" t="s">
        <v>147</v>
      </c>
      <c r="K131" s="5">
        <f>115 / 86400</f>
        <v>1.3310185185185185E-3</v>
      </c>
      <c r="L131" s="5">
        <f>168 / 86400</f>
        <v>1.9444444444444444E-3</v>
      </c>
    </row>
    <row r="132" spans="1:12" x14ac:dyDescent="0.25">
      <c r="A132" s="3">
        <v>45713.36618055556</v>
      </c>
      <c r="B132" t="s">
        <v>133</v>
      </c>
      <c r="C132" s="3">
        <v>45713.366631944446</v>
      </c>
      <c r="D132" t="s">
        <v>133</v>
      </c>
      <c r="E132" s="4">
        <v>8.9999999999999993E-3</v>
      </c>
      <c r="F132" s="4">
        <v>21992.444</v>
      </c>
      <c r="G132" s="4">
        <v>21992.453000000001</v>
      </c>
      <c r="H132" s="5">
        <f>19 / 86400</f>
        <v>2.199074074074074E-4</v>
      </c>
      <c r="I132" t="s">
        <v>22</v>
      </c>
      <c r="J132" t="s">
        <v>144</v>
      </c>
      <c r="K132" s="5">
        <f>39 / 86400</f>
        <v>4.5138888888888887E-4</v>
      </c>
      <c r="L132" s="5">
        <f>660 / 86400</f>
        <v>7.6388888888888886E-3</v>
      </c>
    </row>
    <row r="133" spans="1:12" x14ac:dyDescent="0.25">
      <c r="A133" s="3">
        <v>45713.37427083333</v>
      </c>
      <c r="B133" t="s">
        <v>133</v>
      </c>
      <c r="C133" s="3">
        <v>45713.374837962961</v>
      </c>
      <c r="D133" t="s">
        <v>133</v>
      </c>
      <c r="E133" s="4">
        <v>7.0000000000000001E-3</v>
      </c>
      <c r="F133" s="4">
        <v>21992.453000000001</v>
      </c>
      <c r="G133" s="4">
        <v>21992.46</v>
      </c>
      <c r="H133" s="5">
        <f>0 / 86400</f>
        <v>0</v>
      </c>
      <c r="I133" t="s">
        <v>141</v>
      </c>
      <c r="J133" t="s">
        <v>144</v>
      </c>
      <c r="K133" s="5">
        <f>49 / 86400</f>
        <v>5.6712962962962967E-4</v>
      </c>
      <c r="L133" s="5">
        <f>267 / 86400</f>
        <v>3.0902777777777777E-3</v>
      </c>
    </row>
    <row r="134" spans="1:12" x14ac:dyDescent="0.25">
      <c r="A134" s="3">
        <v>45713.377928240741</v>
      </c>
      <c r="B134" t="s">
        <v>133</v>
      </c>
      <c r="C134" s="3">
        <v>45713.433576388888</v>
      </c>
      <c r="D134" t="s">
        <v>27</v>
      </c>
      <c r="E134" s="4">
        <v>27.992999999999999</v>
      </c>
      <c r="F134" s="4">
        <v>21992.46</v>
      </c>
      <c r="G134" s="4">
        <v>22020.453000000001</v>
      </c>
      <c r="H134" s="5">
        <f>1059 / 86400</f>
        <v>1.2256944444444445E-2</v>
      </c>
      <c r="I134" t="s">
        <v>28</v>
      </c>
      <c r="J134" t="s">
        <v>125</v>
      </c>
      <c r="K134" s="5">
        <f>4807 / 86400</f>
        <v>5.5636574074074074E-2</v>
      </c>
      <c r="L134" s="5">
        <f>1151 / 86400</f>
        <v>1.3321759259259259E-2</v>
      </c>
    </row>
    <row r="135" spans="1:12" x14ac:dyDescent="0.25">
      <c r="A135" s="3">
        <v>45713.446898148148</v>
      </c>
      <c r="B135" t="s">
        <v>27</v>
      </c>
      <c r="C135" s="3">
        <v>45713.451365740737</v>
      </c>
      <c r="D135" t="s">
        <v>155</v>
      </c>
      <c r="E135" s="4">
        <v>1.385</v>
      </c>
      <c r="F135" s="4">
        <v>22020.453000000001</v>
      </c>
      <c r="G135" s="4">
        <v>22021.838</v>
      </c>
      <c r="H135" s="5">
        <f>60 / 86400</f>
        <v>6.9444444444444447E-4</v>
      </c>
      <c r="I135" t="s">
        <v>156</v>
      </c>
      <c r="J135" t="s">
        <v>45</v>
      </c>
      <c r="K135" s="5">
        <f>386 / 86400</f>
        <v>4.4675925925925924E-3</v>
      </c>
      <c r="L135" s="5">
        <f>1474 / 86400</f>
        <v>1.7060185185185185E-2</v>
      </c>
    </row>
    <row r="136" spans="1:12" x14ac:dyDescent="0.25">
      <c r="A136" s="3">
        <v>45713.468425925923</v>
      </c>
      <c r="B136" t="s">
        <v>155</v>
      </c>
      <c r="C136" s="3">
        <v>45713.472048611111</v>
      </c>
      <c r="D136" t="s">
        <v>27</v>
      </c>
      <c r="E136" s="4">
        <v>1.141</v>
      </c>
      <c r="F136" s="4">
        <v>22021.838</v>
      </c>
      <c r="G136" s="4">
        <v>22022.978999999999</v>
      </c>
      <c r="H136" s="5">
        <f>140 / 86400</f>
        <v>1.6203703703703703E-3</v>
      </c>
      <c r="I136" t="s">
        <v>156</v>
      </c>
      <c r="J136" t="s">
        <v>45</v>
      </c>
      <c r="K136" s="5">
        <f>313 / 86400</f>
        <v>3.6226851851851854E-3</v>
      </c>
      <c r="L136" s="5">
        <f>150 / 86400</f>
        <v>1.736111111111111E-3</v>
      </c>
    </row>
    <row r="137" spans="1:12" x14ac:dyDescent="0.25">
      <c r="A137" s="3">
        <v>45713.47378472222</v>
      </c>
      <c r="B137" t="s">
        <v>27</v>
      </c>
      <c r="C137" s="3">
        <v>45713.474710648152</v>
      </c>
      <c r="D137" t="s">
        <v>157</v>
      </c>
      <c r="E137" s="4">
        <v>0.16400000000000001</v>
      </c>
      <c r="F137" s="4">
        <v>22022.978999999999</v>
      </c>
      <c r="G137" s="4">
        <v>22023.143</v>
      </c>
      <c r="H137" s="5">
        <f>19 / 86400</f>
        <v>2.199074074074074E-4</v>
      </c>
      <c r="I137" t="s">
        <v>158</v>
      </c>
      <c r="J137" t="s">
        <v>34</v>
      </c>
      <c r="K137" s="5">
        <f>80 / 86400</f>
        <v>9.2592592592592596E-4</v>
      </c>
      <c r="L137" s="5">
        <f>50 / 86400</f>
        <v>5.7870370370370367E-4</v>
      </c>
    </row>
    <row r="138" spans="1:12" x14ac:dyDescent="0.25">
      <c r="A138" s="3">
        <v>45713.475289351853</v>
      </c>
      <c r="B138" t="s">
        <v>157</v>
      </c>
      <c r="C138" s="3">
        <v>45713.475624999999</v>
      </c>
      <c r="D138" t="s">
        <v>157</v>
      </c>
      <c r="E138" s="4">
        <v>0.01</v>
      </c>
      <c r="F138" s="4">
        <v>22023.143</v>
      </c>
      <c r="G138" s="4">
        <v>22023.152999999998</v>
      </c>
      <c r="H138" s="5">
        <f>19 / 86400</f>
        <v>2.199074074074074E-4</v>
      </c>
      <c r="I138" t="s">
        <v>22</v>
      </c>
      <c r="J138" t="s">
        <v>144</v>
      </c>
      <c r="K138" s="5">
        <f>28 / 86400</f>
        <v>3.2407407407407406E-4</v>
      </c>
      <c r="L138" s="5">
        <f>322 / 86400</f>
        <v>3.7268518518518519E-3</v>
      </c>
    </row>
    <row r="139" spans="1:12" x14ac:dyDescent="0.25">
      <c r="A139" s="3">
        <v>45713.479351851856</v>
      </c>
      <c r="B139" t="s">
        <v>27</v>
      </c>
      <c r="C139" s="3">
        <v>45713.479456018518</v>
      </c>
      <c r="D139" t="s">
        <v>27</v>
      </c>
      <c r="E139" s="4">
        <v>0</v>
      </c>
      <c r="F139" s="4">
        <v>22023.152999999998</v>
      </c>
      <c r="G139" s="4">
        <v>22023.152999999998</v>
      </c>
      <c r="H139" s="5">
        <f>0 / 86400</f>
        <v>0</v>
      </c>
      <c r="I139" t="s">
        <v>22</v>
      </c>
      <c r="J139" t="s">
        <v>22</v>
      </c>
      <c r="K139" s="5">
        <f>9 / 86400</f>
        <v>1.0416666666666667E-4</v>
      </c>
      <c r="L139" s="5">
        <f>2438 / 86400</f>
        <v>2.8217592592592593E-2</v>
      </c>
    </row>
    <row r="140" spans="1:12" x14ac:dyDescent="0.25">
      <c r="A140" s="3">
        <v>45713.507673611108</v>
      </c>
      <c r="B140" t="s">
        <v>27</v>
      </c>
      <c r="C140" s="3">
        <v>45713.509131944447</v>
      </c>
      <c r="D140" t="s">
        <v>157</v>
      </c>
      <c r="E140" s="4">
        <v>0.24399999999999999</v>
      </c>
      <c r="F140" s="4">
        <v>22023.152999999998</v>
      </c>
      <c r="G140" s="4">
        <v>22023.397000000001</v>
      </c>
      <c r="H140" s="5">
        <f>19 / 86400</f>
        <v>2.199074074074074E-4</v>
      </c>
      <c r="I140" t="s">
        <v>20</v>
      </c>
      <c r="J140" t="s">
        <v>34</v>
      </c>
      <c r="K140" s="5">
        <f>125 / 86400</f>
        <v>1.4467592592592592E-3</v>
      </c>
      <c r="L140" s="5">
        <f>91 / 86400</f>
        <v>1.0532407407407407E-3</v>
      </c>
    </row>
    <row r="141" spans="1:12" x14ac:dyDescent="0.25">
      <c r="A141" s="3">
        <v>45713.510185185187</v>
      </c>
      <c r="B141" t="s">
        <v>157</v>
      </c>
      <c r="C141" s="3">
        <v>45713.587754629625</v>
      </c>
      <c r="D141" t="s">
        <v>159</v>
      </c>
      <c r="E141" s="4">
        <v>24.704999999999998</v>
      </c>
      <c r="F141" s="4">
        <v>22023.397000000001</v>
      </c>
      <c r="G141" s="4">
        <v>22048.101999999999</v>
      </c>
      <c r="H141" s="5">
        <f>2321 / 86400</f>
        <v>2.6863425925925926E-2</v>
      </c>
      <c r="I141" t="s">
        <v>160</v>
      </c>
      <c r="J141" t="s">
        <v>45</v>
      </c>
      <c r="K141" s="5">
        <f>6702 / 86400</f>
        <v>7.7569444444444441E-2</v>
      </c>
      <c r="L141" s="5">
        <f>500 / 86400</f>
        <v>5.7870370370370367E-3</v>
      </c>
    </row>
    <row r="142" spans="1:12" x14ac:dyDescent="0.25">
      <c r="A142" s="3">
        <v>45713.593541666662</v>
      </c>
      <c r="B142" t="s">
        <v>159</v>
      </c>
      <c r="C142" s="3">
        <v>45713.632384259261</v>
      </c>
      <c r="D142" t="s">
        <v>161</v>
      </c>
      <c r="E142" s="4">
        <v>6.59</v>
      </c>
      <c r="F142" s="4">
        <v>22048.101999999999</v>
      </c>
      <c r="G142" s="4">
        <v>22054.691999999999</v>
      </c>
      <c r="H142" s="5">
        <f>1899 / 86400</f>
        <v>2.1979166666666668E-2</v>
      </c>
      <c r="I142" t="s">
        <v>162</v>
      </c>
      <c r="J142" t="s">
        <v>34</v>
      </c>
      <c r="K142" s="5">
        <f>3356 / 86400</f>
        <v>3.8842592592592595E-2</v>
      </c>
      <c r="L142" s="5">
        <f>429 / 86400</f>
        <v>4.9652777777777777E-3</v>
      </c>
    </row>
    <row r="143" spans="1:12" x14ac:dyDescent="0.25">
      <c r="A143" s="3">
        <v>45713.637349537035</v>
      </c>
      <c r="B143" t="s">
        <v>161</v>
      </c>
      <c r="C143" s="3">
        <v>45713.638506944444</v>
      </c>
      <c r="D143" t="s">
        <v>163</v>
      </c>
      <c r="E143" s="4">
        <v>0.33900000000000002</v>
      </c>
      <c r="F143" s="4">
        <v>22054.691999999999</v>
      </c>
      <c r="G143" s="4">
        <v>22055.030999999999</v>
      </c>
      <c r="H143" s="5">
        <f>0 / 86400</f>
        <v>0</v>
      </c>
      <c r="I143" t="s">
        <v>20</v>
      </c>
      <c r="J143" t="s">
        <v>158</v>
      </c>
      <c r="K143" s="5">
        <f>100 / 86400</f>
        <v>1.1574074074074073E-3</v>
      </c>
      <c r="L143" s="5">
        <f>5036 / 86400</f>
        <v>5.828703703703704E-2</v>
      </c>
    </row>
    <row r="144" spans="1:12" x14ac:dyDescent="0.25">
      <c r="A144" s="3">
        <v>45713.696793981479</v>
      </c>
      <c r="B144" t="s">
        <v>163</v>
      </c>
      <c r="C144" s="3">
        <v>45713.892106481479</v>
      </c>
      <c r="D144" t="s">
        <v>157</v>
      </c>
      <c r="E144" s="4">
        <v>67.97</v>
      </c>
      <c r="F144" s="4">
        <v>22055.030999999999</v>
      </c>
      <c r="G144" s="4">
        <v>22123.001</v>
      </c>
      <c r="H144" s="5">
        <f>5978 / 86400</f>
        <v>6.9189814814814815E-2</v>
      </c>
      <c r="I144" t="s">
        <v>69</v>
      </c>
      <c r="J144" t="s">
        <v>76</v>
      </c>
      <c r="K144" s="5">
        <f>16875 / 86400</f>
        <v>0.1953125</v>
      </c>
      <c r="L144" s="5">
        <f>334 / 86400</f>
        <v>3.8657407407407408E-3</v>
      </c>
    </row>
    <row r="145" spans="1:12" x14ac:dyDescent="0.25">
      <c r="A145" s="3">
        <v>45713.895972222221</v>
      </c>
      <c r="B145" t="s">
        <v>157</v>
      </c>
      <c r="C145" s="3">
        <v>45713.900358796294</v>
      </c>
      <c r="D145" t="s">
        <v>155</v>
      </c>
      <c r="E145" s="4">
        <v>1.2230000000000001</v>
      </c>
      <c r="F145" s="4">
        <v>22123.001</v>
      </c>
      <c r="G145" s="4">
        <v>22124.223999999998</v>
      </c>
      <c r="H145" s="5">
        <f>117 / 86400</f>
        <v>1.3541666666666667E-3</v>
      </c>
      <c r="I145" t="s">
        <v>164</v>
      </c>
      <c r="J145" t="s">
        <v>158</v>
      </c>
      <c r="K145" s="5">
        <f>379 / 86400</f>
        <v>4.386574074074074E-3</v>
      </c>
      <c r="L145" s="5">
        <f>2082 / 86400</f>
        <v>2.4097222222222221E-2</v>
      </c>
    </row>
    <row r="146" spans="1:12" x14ac:dyDescent="0.25">
      <c r="A146" s="3">
        <v>45713.924456018518</v>
      </c>
      <c r="B146" t="s">
        <v>155</v>
      </c>
      <c r="C146" s="3">
        <v>45713.943136574075</v>
      </c>
      <c r="D146" t="s">
        <v>27</v>
      </c>
      <c r="E146" s="4">
        <v>3.1549999999999998</v>
      </c>
      <c r="F146" s="4">
        <v>22124.223999999998</v>
      </c>
      <c r="G146" s="4">
        <v>22127.379000000001</v>
      </c>
      <c r="H146" s="5">
        <f>619 / 86400</f>
        <v>7.1643518518518514E-3</v>
      </c>
      <c r="I146" t="s">
        <v>92</v>
      </c>
      <c r="J146" t="s">
        <v>34</v>
      </c>
      <c r="K146" s="5">
        <f>1614 / 86400</f>
        <v>1.8680555555555554E-2</v>
      </c>
      <c r="L146" s="5">
        <f>4912 / 86400</f>
        <v>5.6851851851851855E-2</v>
      </c>
    </row>
    <row r="147" spans="1:12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2"/>
    </row>
    <row r="148" spans="1:12" x14ac:dyDescent="0.25">
      <c r="A148" s="12"/>
      <c r="B148" s="12"/>
      <c r="C148" s="12"/>
      <c r="D148" s="12"/>
      <c r="E148" s="12"/>
      <c r="F148" s="12"/>
      <c r="G148" s="12"/>
      <c r="H148" s="12"/>
      <c r="I148" s="12"/>
      <c r="J148" s="12"/>
    </row>
    <row r="149" spans="1:12" s="10" customFormat="1" ht="20.100000000000001" customHeight="1" x14ac:dyDescent="0.35">
      <c r="A149" s="15" t="s">
        <v>395</v>
      </c>
      <c r="B149" s="15"/>
      <c r="C149" s="15"/>
      <c r="D149" s="15"/>
      <c r="E149" s="15"/>
      <c r="F149" s="15"/>
      <c r="G149" s="15"/>
      <c r="H149" s="15"/>
      <c r="I149" s="15"/>
      <c r="J149" s="15"/>
    </row>
    <row r="150" spans="1:12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12"/>
    </row>
    <row r="151" spans="1:12" ht="30" x14ac:dyDescent="0.25">
      <c r="A151" s="2" t="s">
        <v>6</v>
      </c>
      <c r="B151" s="2" t="s">
        <v>7</v>
      </c>
      <c r="C151" s="2" t="s">
        <v>8</v>
      </c>
      <c r="D151" s="2" t="s">
        <v>9</v>
      </c>
      <c r="E151" s="2" t="s">
        <v>10</v>
      </c>
      <c r="F151" s="2" t="s">
        <v>11</v>
      </c>
      <c r="G151" s="2" t="s">
        <v>12</v>
      </c>
      <c r="H151" s="2" t="s">
        <v>13</v>
      </c>
      <c r="I151" s="2" t="s">
        <v>14</v>
      </c>
      <c r="J151" s="2" t="s">
        <v>15</v>
      </c>
      <c r="K151" s="2" t="s">
        <v>16</v>
      </c>
      <c r="L151" s="2" t="s">
        <v>17</v>
      </c>
    </row>
    <row r="152" spans="1:12" x14ac:dyDescent="0.25">
      <c r="A152" s="3">
        <v>45713.246365740742</v>
      </c>
      <c r="B152" t="s">
        <v>30</v>
      </c>
      <c r="C152" s="3">
        <v>45713.32203703704</v>
      </c>
      <c r="D152" t="s">
        <v>165</v>
      </c>
      <c r="E152" s="4">
        <v>33.847000000000001</v>
      </c>
      <c r="F152" s="4">
        <v>515573.22100000002</v>
      </c>
      <c r="G152" s="4">
        <v>515607.06800000003</v>
      </c>
      <c r="H152" s="5">
        <f>2440 / 86400</f>
        <v>2.824074074074074E-2</v>
      </c>
      <c r="I152" t="s">
        <v>154</v>
      </c>
      <c r="J152" t="s">
        <v>92</v>
      </c>
      <c r="K152" s="5">
        <f>6537 / 86400</f>
        <v>7.5659722222222225E-2</v>
      </c>
      <c r="L152" s="5">
        <f>23937 / 86400</f>
        <v>0.27704861111111112</v>
      </c>
    </row>
    <row r="153" spans="1:12" x14ac:dyDescent="0.25">
      <c r="A153" s="3">
        <v>45713.352719907409</v>
      </c>
      <c r="B153" t="s">
        <v>165</v>
      </c>
      <c r="C153" s="3">
        <v>45713.356099537035</v>
      </c>
      <c r="D153" t="s">
        <v>132</v>
      </c>
      <c r="E153" s="4">
        <v>0.89600000000000002</v>
      </c>
      <c r="F153" s="4">
        <v>515607.06800000003</v>
      </c>
      <c r="G153" s="4">
        <v>515607.96399999998</v>
      </c>
      <c r="H153" s="5">
        <f>20 / 86400</f>
        <v>2.3148148148148149E-4</v>
      </c>
      <c r="I153" t="s">
        <v>111</v>
      </c>
      <c r="J153" t="s">
        <v>53</v>
      </c>
      <c r="K153" s="5">
        <f>292 / 86400</f>
        <v>3.3796296296296296E-3</v>
      </c>
      <c r="L153" s="5">
        <f>1242 / 86400</f>
        <v>1.4375000000000001E-2</v>
      </c>
    </row>
    <row r="154" spans="1:12" x14ac:dyDescent="0.25">
      <c r="A154" s="3">
        <v>45713.370474537034</v>
      </c>
      <c r="B154" t="s">
        <v>132</v>
      </c>
      <c r="C154" s="3">
        <v>45713.377858796295</v>
      </c>
      <c r="D154" t="s">
        <v>82</v>
      </c>
      <c r="E154" s="4">
        <v>1.359</v>
      </c>
      <c r="F154" s="4">
        <v>515607.96399999998</v>
      </c>
      <c r="G154" s="4">
        <v>515609.32299999997</v>
      </c>
      <c r="H154" s="5">
        <f>320 / 86400</f>
        <v>3.7037037037037038E-3</v>
      </c>
      <c r="I154" t="s">
        <v>166</v>
      </c>
      <c r="J154" t="s">
        <v>97</v>
      </c>
      <c r="K154" s="5">
        <f>638 / 86400</f>
        <v>7.3842592592592597E-3</v>
      </c>
      <c r="L154" s="5">
        <f>719 / 86400</f>
        <v>8.3217592592592596E-3</v>
      </c>
    </row>
    <row r="155" spans="1:12" x14ac:dyDescent="0.25">
      <c r="A155" s="3">
        <v>45713.386180555557</v>
      </c>
      <c r="B155" t="s">
        <v>82</v>
      </c>
      <c r="C155" s="3">
        <v>45713.531493055554</v>
      </c>
      <c r="D155" t="s">
        <v>167</v>
      </c>
      <c r="E155" s="4">
        <v>49.850999999999999</v>
      </c>
      <c r="F155" s="4">
        <v>515609.32299999997</v>
      </c>
      <c r="G155" s="4">
        <v>515659.174</v>
      </c>
      <c r="H155" s="5">
        <f>5424 / 86400</f>
        <v>6.277777777777778E-2</v>
      </c>
      <c r="I155" t="s">
        <v>25</v>
      </c>
      <c r="J155" t="s">
        <v>29</v>
      </c>
      <c r="K155" s="5">
        <f>12555 / 86400</f>
        <v>0.14531250000000001</v>
      </c>
      <c r="L155" s="5">
        <f>1411 / 86400</f>
        <v>1.6331018518518519E-2</v>
      </c>
    </row>
    <row r="156" spans="1:12" x14ac:dyDescent="0.25">
      <c r="A156" s="3">
        <v>45713.547824074078</v>
      </c>
      <c r="B156" t="s">
        <v>167</v>
      </c>
      <c r="C156" s="3">
        <v>45713.712256944447</v>
      </c>
      <c r="D156" t="s">
        <v>165</v>
      </c>
      <c r="E156" s="4">
        <v>50.65</v>
      </c>
      <c r="F156" s="4">
        <v>515659.174</v>
      </c>
      <c r="G156" s="4">
        <v>515709.82400000002</v>
      </c>
      <c r="H156" s="5">
        <f>5860 / 86400</f>
        <v>6.7824074074074078E-2</v>
      </c>
      <c r="I156" t="s">
        <v>117</v>
      </c>
      <c r="J156" t="s">
        <v>45</v>
      </c>
      <c r="K156" s="5">
        <f>14206 / 86400</f>
        <v>0.16442129629629629</v>
      </c>
      <c r="L156" s="5">
        <f>3148 / 86400</f>
        <v>3.6435185185185189E-2</v>
      </c>
    </row>
    <row r="157" spans="1:12" x14ac:dyDescent="0.25">
      <c r="A157" s="3">
        <v>45713.748692129629</v>
      </c>
      <c r="B157" t="s">
        <v>165</v>
      </c>
      <c r="C157" s="3">
        <v>45713.888738425929</v>
      </c>
      <c r="D157" t="s">
        <v>84</v>
      </c>
      <c r="E157" s="4">
        <v>65.635000000000005</v>
      </c>
      <c r="F157" s="4">
        <v>515709.82400000002</v>
      </c>
      <c r="G157" s="4">
        <v>515775.45899999997</v>
      </c>
      <c r="H157" s="5">
        <f>3258 / 86400</f>
        <v>3.7708333333333337E-2</v>
      </c>
      <c r="I157" t="s">
        <v>31</v>
      </c>
      <c r="J157" t="s">
        <v>111</v>
      </c>
      <c r="K157" s="5">
        <f>12099 / 86400</f>
        <v>0.14003472222222221</v>
      </c>
      <c r="L157" s="5">
        <f>220 / 86400</f>
        <v>2.5462962962962965E-3</v>
      </c>
    </row>
    <row r="158" spans="1:12" x14ac:dyDescent="0.25">
      <c r="A158" s="3">
        <v>45713.891284722224</v>
      </c>
      <c r="B158" t="s">
        <v>84</v>
      </c>
      <c r="C158" s="3">
        <v>45713.891793981486</v>
      </c>
      <c r="D158" t="s">
        <v>84</v>
      </c>
      <c r="E158" s="4">
        <v>0</v>
      </c>
      <c r="F158" s="4">
        <v>515775.45899999997</v>
      </c>
      <c r="G158" s="4">
        <v>515775.45899999997</v>
      </c>
      <c r="H158" s="5">
        <f>39 / 86400</f>
        <v>4.5138888888888887E-4</v>
      </c>
      <c r="I158" t="s">
        <v>22</v>
      </c>
      <c r="J158" t="s">
        <v>22</v>
      </c>
      <c r="K158" s="5">
        <f>44 / 86400</f>
        <v>5.0925925925925921E-4</v>
      </c>
      <c r="L158" s="5">
        <f>483 / 86400</f>
        <v>5.5902777777777773E-3</v>
      </c>
    </row>
    <row r="159" spans="1:12" x14ac:dyDescent="0.25">
      <c r="A159" s="3">
        <v>45713.89738425926</v>
      </c>
      <c r="B159" t="s">
        <v>84</v>
      </c>
      <c r="C159" s="3">
        <v>45713.913923611108</v>
      </c>
      <c r="D159" t="s">
        <v>30</v>
      </c>
      <c r="E159" s="4">
        <v>4.1429999999999998</v>
      </c>
      <c r="F159" s="4">
        <v>515775.45899999997</v>
      </c>
      <c r="G159" s="4">
        <v>515779.60200000001</v>
      </c>
      <c r="H159" s="5">
        <f>779 / 86400</f>
        <v>9.0162037037037034E-3</v>
      </c>
      <c r="I159" t="s">
        <v>168</v>
      </c>
      <c r="J159" t="s">
        <v>134</v>
      </c>
      <c r="K159" s="5">
        <f>1429 / 86400</f>
        <v>1.653935185185185E-2</v>
      </c>
      <c r="L159" s="5">
        <f>7436 / 86400</f>
        <v>8.6064814814814816E-2</v>
      </c>
    </row>
    <row r="160" spans="1:12" x14ac:dyDescent="0.25">
      <c r="A160" s="12"/>
      <c r="B160" s="12"/>
      <c r="C160" s="12"/>
      <c r="D160" s="12"/>
      <c r="E160" s="12"/>
      <c r="F160" s="12"/>
      <c r="G160" s="12"/>
      <c r="H160" s="12"/>
      <c r="I160" s="12"/>
      <c r="J160" s="12"/>
    </row>
    <row r="161" spans="1:12" x14ac:dyDescent="0.25">
      <c r="A161" s="12"/>
      <c r="B161" s="12"/>
      <c r="C161" s="12"/>
      <c r="D161" s="12"/>
      <c r="E161" s="12"/>
      <c r="F161" s="12"/>
      <c r="G161" s="12"/>
      <c r="H161" s="12"/>
      <c r="I161" s="12"/>
      <c r="J161" s="12"/>
    </row>
    <row r="162" spans="1:12" s="10" customFormat="1" ht="20.100000000000001" customHeight="1" x14ac:dyDescent="0.35">
      <c r="A162" s="15" t="s">
        <v>396</v>
      </c>
      <c r="B162" s="15"/>
      <c r="C162" s="15"/>
      <c r="D162" s="15"/>
      <c r="E162" s="15"/>
      <c r="F162" s="15"/>
      <c r="G162" s="15"/>
      <c r="H162" s="15"/>
      <c r="I162" s="15"/>
      <c r="J162" s="15"/>
    </row>
    <row r="163" spans="1:12" x14ac:dyDescent="0.25">
      <c r="A163" s="12"/>
      <c r="B163" s="12"/>
      <c r="C163" s="12"/>
      <c r="D163" s="12"/>
      <c r="E163" s="12"/>
      <c r="F163" s="12"/>
      <c r="G163" s="12"/>
      <c r="H163" s="12"/>
      <c r="I163" s="12"/>
      <c r="J163" s="12"/>
    </row>
    <row r="164" spans="1:12" ht="30" x14ac:dyDescent="0.25">
      <c r="A164" s="2" t="s">
        <v>6</v>
      </c>
      <c r="B164" s="2" t="s">
        <v>7</v>
      </c>
      <c r="C164" s="2" t="s">
        <v>8</v>
      </c>
      <c r="D164" s="2" t="s">
        <v>9</v>
      </c>
      <c r="E164" s="2" t="s">
        <v>10</v>
      </c>
      <c r="F164" s="2" t="s">
        <v>11</v>
      </c>
      <c r="G164" s="2" t="s">
        <v>12</v>
      </c>
      <c r="H164" s="2" t="s">
        <v>13</v>
      </c>
      <c r="I164" s="2" t="s">
        <v>14</v>
      </c>
      <c r="J164" s="2" t="s">
        <v>15</v>
      </c>
      <c r="K164" s="2" t="s">
        <v>16</v>
      </c>
      <c r="L164" s="2" t="s">
        <v>17</v>
      </c>
    </row>
    <row r="165" spans="1:12" x14ac:dyDescent="0.25">
      <c r="A165" s="3">
        <v>45713.348425925928</v>
      </c>
      <c r="B165" t="s">
        <v>27</v>
      </c>
      <c r="C165" s="3">
        <v>45713.350451388891</v>
      </c>
      <c r="D165" t="s">
        <v>27</v>
      </c>
      <c r="E165" s="4">
        <v>6.4000000000000001E-2</v>
      </c>
      <c r="F165" s="4">
        <v>93381.631999999998</v>
      </c>
      <c r="G165" s="4">
        <v>93381.695999999996</v>
      </c>
      <c r="H165" s="5">
        <f>99 / 86400</f>
        <v>1.1458333333333333E-3</v>
      </c>
      <c r="I165" t="s">
        <v>146</v>
      </c>
      <c r="J165" t="s">
        <v>144</v>
      </c>
      <c r="K165" s="5">
        <f>174 / 86400</f>
        <v>2.0138888888888888E-3</v>
      </c>
      <c r="L165" s="5">
        <f>31139 / 86400</f>
        <v>0.36040509259259257</v>
      </c>
    </row>
    <row r="166" spans="1:12" x14ac:dyDescent="0.25">
      <c r="A166" s="3">
        <v>45713.362430555557</v>
      </c>
      <c r="B166" t="s">
        <v>27</v>
      </c>
      <c r="C166" s="3">
        <v>45713.364675925928</v>
      </c>
      <c r="D166" t="s">
        <v>27</v>
      </c>
      <c r="E166" s="4">
        <v>0.115</v>
      </c>
      <c r="F166" s="4">
        <v>93381.695999999996</v>
      </c>
      <c r="G166" s="4">
        <v>93381.811000000002</v>
      </c>
      <c r="H166" s="5">
        <f>99 / 86400</f>
        <v>1.1458333333333333E-3</v>
      </c>
      <c r="I166" t="s">
        <v>34</v>
      </c>
      <c r="J166" t="s">
        <v>147</v>
      </c>
      <c r="K166" s="5">
        <f>193 / 86400</f>
        <v>2.2337962962962962E-3</v>
      </c>
      <c r="L166" s="5">
        <f>1480 / 86400</f>
        <v>1.712962962962963E-2</v>
      </c>
    </row>
    <row r="167" spans="1:12" x14ac:dyDescent="0.25">
      <c r="A167" s="3">
        <v>45713.38180555556</v>
      </c>
      <c r="B167" t="s">
        <v>27</v>
      </c>
      <c r="C167" s="3">
        <v>45713.38280092593</v>
      </c>
      <c r="D167" t="s">
        <v>27</v>
      </c>
      <c r="E167" s="4">
        <v>7.0000000000000007E-2</v>
      </c>
      <c r="F167" s="4">
        <v>93381.811000000002</v>
      </c>
      <c r="G167" s="4">
        <v>93381.880999999994</v>
      </c>
      <c r="H167" s="5">
        <f>20 / 86400</f>
        <v>2.3148148148148149E-4</v>
      </c>
      <c r="I167" t="s">
        <v>146</v>
      </c>
      <c r="J167" t="s">
        <v>106</v>
      </c>
      <c r="K167" s="5">
        <f>85 / 86400</f>
        <v>9.837962962962962E-4</v>
      </c>
      <c r="L167" s="5">
        <f>1148 / 86400</f>
        <v>1.3287037037037036E-2</v>
      </c>
    </row>
    <row r="168" spans="1:12" x14ac:dyDescent="0.25">
      <c r="A168" s="3">
        <v>45713.396087962959</v>
      </c>
      <c r="B168" t="s">
        <v>27</v>
      </c>
      <c r="C168" s="3">
        <v>45713.39707175926</v>
      </c>
      <c r="D168" t="s">
        <v>27</v>
      </c>
      <c r="E168" s="4">
        <v>0.17799999999999999</v>
      </c>
      <c r="F168" s="4">
        <v>93381.880999999994</v>
      </c>
      <c r="G168" s="4">
        <v>93382.058999999994</v>
      </c>
      <c r="H168" s="5">
        <f>0 / 86400</f>
        <v>0</v>
      </c>
      <c r="I168" t="s">
        <v>53</v>
      </c>
      <c r="J168" t="s">
        <v>97</v>
      </c>
      <c r="K168" s="5">
        <f>84 / 86400</f>
        <v>9.7222222222222219E-4</v>
      </c>
      <c r="L168" s="5">
        <f>1015 / 86400</f>
        <v>1.1747685185185186E-2</v>
      </c>
    </row>
    <row r="169" spans="1:12" x14ac:dyDescent="0.25">
      <c r="A169" s="3">
        <v>45713.408819444448</v>
      </c>
      <c r="B169" t="s">
        <v>27</v>
      </c>
      <c r="C169" s="3">
        <v>45713.4137962963</v>
      </c>
      <c r="D169" t="s">
        <v>157</v>
      </c>
      <c r="E169" s="4">
        <v>1.6020000000000001</v>
      </c>
      <c r="F169" s="4">
        <v>93382.058999999994</v>
      </c>
      <c r="G169" s="4">
        <v>93383.660999999993</v>
      </c>
      <c r="H169" s="5">
        <f>20 / 86400</f>
        <v>2.3148148148148149E-4</v>
      </c>
      <c r="I169" t="s">
        <v>119</v>
      </c>
      <c r="J169" t="s">
        <v>45</v>
      </c>
      <c r="K169" s="5">
        <f>429 / 86400</f>
        <v>4.9652777777777777E-3</v>
      </c>
      <c r="L169" s="5">
        <f>390 / 86400</f>
        <v>4.5138888888888885E-3</v>
      </c>
    </row>
    <row r="170" spans="1:12" x14ac:dyDescent="0.25">
      <c r="A170" s="3">
        <v>45713.418310185181</v>
      </c>
      <c r="B170" t="s">
        <v>157</v>
      </c>
      <c r="C170" s="3">
        <v>45713.418576388889</v>
      </c>
      <c r="D170" t="s">
        <v>157</v>
      </c>
      <c r="E170" s="4">
        <v>1.6E-2</v>
      </c>
      <c r="F170" s="4">
        <v>93383.660999999993</v>
      </c>
      <c r="G170" s="4">
        <v>93383.676999999996</v>
      </c>
      <c r="H170" s="5">
        <f>19 / 86400</f>
        <v>2.199074074074074E-4</v>
      </c>
      <c r="I170" t="s">
        <v>22</v>
      </c>
      <c r="J170" t="s">
        <v>106</v>
      </c>
      <c r="K170" s="5">
        <f>22 / 86400</f>
        <v>2.5462962962962961E-4</v>
      </c>
      <c r="L170" s="5">
        <f>84 / 86400</f>
        <v>9.7222222222222219E-4</v>
      </c>
    </row>
    <row r="171" spans="1:12" x14ac:dyDescent="0.25">
      <c r="A171" s="3">
        <v>45713.419548611113</v>
      </c>
      <c r="B171" t="s">
        <v>157</v>
      </c>
      <c r="C171" s="3">
        <v>45713.420474537037</v>
      </c>
      <c r="D171" t="s">
        <v>157</v>
      </c>
      <c r="E171" s="4">
        <v>3.5000000000000003E-2</v>
      </c>
      <c r="F171" s="4">
        <v>93383.676999999996</v>
      </c>
      <c r="G171" s="4">
        <v>93383.712</v>
      </c>
      <c r="H171" s="5">
        <f>20 / 86400</f>
        <v>2.3148148148148149E-4</v>
      </c>
      <c r="I171" t="s">
        <v>147</v>
      </c>
      <c r="J171" t="s">
        <v>147</v>
      </c>
      <c r="K171" s="5">
        <f>80 / 86400</f>
        <v>9.2592592592592596E-4</v>
      </c>
      <c r="L171" s="5">
        <f>987 / 86400</f>
        <v>1.1423611111111112E-2</v>
      </c>
    </row>
    <row r="172" spans="1:12" x14ac:dyDescent="0.25">
      <c r="A172" s="3">
        <v>45713.431898148148</v>
      </c>
      <c r="B172" t="s">
        <v>157</v>
      </c>
      <c r="C172" s="3">
        <v>45713.433900462958</v>
      </c>
      <c r="D172" t="s">
        <v>157</v>
      </c>
      <c r="E172" s="4">
        <v>3.3000000000000002E-2</v>
      </c>
      <c r="F172" s="4">
        <v>93383.712</v>
      </c>
      <c r="G172" s="4">
        <v>93383.744999999995</v>
      </c>
      <c r="H172" s="5">
        <f>139 / 86400</f>
        <v>1.6087962962962963E-3</v>
      </c>
      <c r="I172" t="s">
        <v>145</v>
      </c>
      <c r="J172" t="s">
        <v>144</v>
      </c>
      <c r="K172" s="5">
        <f>172 / 86400</f>
        <v>1.9907407407407408E-3</v>
      </c>
      <c r="L172" s="5">
        <f>14324 / 86400</f>
        <v>0.16578703703703704</v>
      </c>
    </row>
    <row r="173" spans="1:12" x14ac:dyDescent="0.25">
      <c r="A173" s="3">
        <v>45713.599687499998</v>
      </c>
      <c r="B173" t="s">
        <v>157</v>
      </c>
      <c r="C173" s="3">
        <v>45713.605613425927</v>
      </c>
      <c r="D173" t="s">
        <v>27</v>
      </c>
      <c r="E173" s="4">
        <v>1.2070000000000001</v>
      </c>
      <c r="F173" s="4">
        <v>93383.744999999995</v>
      </c>
      <c r="G173" s="4">
        <v>93384.952000000005</v>
      </c>
      <c r="H173" s="5">
        <f>239 / 86400</f>
        <v>2.7662037037037039E-3</v>
      </c>
      <c r="I173" t="s">
        <v>33</v>
      </c>
      <c r="J173" t="s">
        <v>64</v>
      </c>
      <c r="K173" s="5">
        <f>511 / 86400</f>
        <v>5.9143518518518521E-3</v>
      </c>
      <c r="L173" s="5">
        <f>34074 / 86400</f>
        <v>0.39437499999999998</v>
      </c>
    </row>
    <row r="174" spans="1:12" x14ac:dyDescent="0.25">
      <c r="A174" s="12"/>
      <c r="B174" s="12"/>
      <c r="C174" s="12"/>
      <c r="D174" s="12"/>
      <c r="E174" s="12"/>
      <c r="F174" s="12"/>
      <c r="G174" s="12"/>
      <c r="H174" s="12"/>
      <c r="I174" s="12"/>
      <c r="J174" s="12"/>
    </row>
    <row r="175" spans="1:12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s="12"/>
    </row>
    <row r="176" spans="1:12" s="10" customFormat="1" ht="20.100000000000001" customHeight="1" x14ac:dyDescent="0.35">
      <c r="A176" s="15" t="s">
        <v>397</v>
      </c>
      <c r="B176" s="15"/>
      <c r="C176" s="15"/>
      <c r="D176" s="15"/>
      <c r="E176" s="15"/>
      <c r="F176" s="15"/>
      <c r="G176" s="15"/>
      <c r="H176" s="15"/>
      <c r="I176" s="15"/>
      <c r="J176" s="15"/>
    </row>
    <row r="177" spans="1:12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s="12"/>
    </row>
    <row r="178" spans="1:12" ht="30" x14ac:dyDescent="0.25">
      <c r="A178" s="2" t="s">
        <v>6</v>
      </c>
      <c r="B178" s="2" t="s">
        <v>7</v>
      </c>
      <c r="C178" s="2" t="s">
        <v>8</v>
      </c>
      <c r="D178" s="2" t="s">
        <v>9</v>
      </c>
      <c r="E178" s="2" t="s">
        <v>10</v>
      </c>
      <c r="F178" s="2" t="s">
        <v>11</v>
      </c>
      <c r="G178" s="2" t="s">
        <v>12</v>
      </c>
      <c r="H178" s="2" t="s">
        <v>13</v>
      </c>
      <c r="I178" s="2" t="s">
        <v>14</v>
      </c>
      <c r="J178" s="2" t="s">
        <v>15</v>
      </c>
      <c r="K178" s="2" t="s">
        <v>16</v>
      </c>
      <c r="L178" s="2" t="s">
        <v>17</v>
      </c>
    </row>
    <row r="179" spans="1:12" x14ac:dyDescent="0.25">
      <c r="A179" s="3">
        <v>45713.172777777778</v>
      </c>
      <c r="B179" t="s">
        <v>18</v>
      </c>
      <c r="C179" s="3">
        <v>45713.259479166663</v>
      </c>
      <c r="D179" t="s">
        <v>137</v>
      </c>
      <c r="E179" s="4">
        <v>49.530999999999999</v>
      </c>
      <c r="F179" s="4">
        <v>140509.554</v>
      </c>
      <c r="G179" s="4">
        <v>140559.08499999999</v>
      </c>
      <c r="H179" s="5">
        <f>1661 / 86400</f>
        <v>1.9224537037037037E-2</v>
      </c>
      <c r="I179" t="s">
        <v>168</v>
      </c>
      <c r="J179" t="s">
        <v>119</v>
      </c>
      <c r="K179" s="5">
        <f>7490 / 86400</f>
        <v>8.6689814814814817E-2</v>
      </c>
      <c r="L179" s="5">
        <f>15904 / 86400</f>
        <v>0.18407407407407408</v>
      </c>
    </row>
    <row r="180" spans="1:12" x14ac:dyDescent="0.25">
      <c r="A180" s="3">
        <v>45713.270775462966</v>
      </c>
      <c r="B180" t="s">
        <v>137</v>
      </c>
      <c r="C180" s="3">
        <v>45713.272187499999</v>
      </c>
      <c r="D180" t="s">
        <v>132</v>
      </c>
      <c r="E180" s="4">
        <v>0.40100000000000002</v>
      </c>
      <c r="F180" s="4">
        <v>140559.08499999999</v>
      </c>
      <c r="G180" s="4">
        <v>140559.486</v>
      </c>
      <c r="H180" s="5">
        <f>0 / 86400</f>
        <v>0</v>
      </c>
      <c r="I180" t="s">
        <v>164</v>
      </c>
      <c r="J180" t="s">
        <v>158</v>
      </c>
      <c r="K180" s="5">
        <f>121 / 86400</f>
        <v>1.4004629629629629E-3</v>
      </c>
      <c r="L180" s="5">
        <f>506 / 86400</f>
        <v>5.8564814814814816E-3</v>
      </c>
    </row>
    <row r="181" spans="1:12" x14ac:dyDescent="0.25">
      <c r="A181" s="3">
        <v>45713.278043981481</v>
      </c>
      <c r="B181" t="s">
        <v>132</v>
      </c>
      <c r="C181" s="3">
        <v>45713.462627314817</v>
      </c>
      <c r="D181" t="s">
        <v>82</v>
      </c>
      <c r="E181" s="4">
        <v>80.549000000000007</v>
      </c>
      <c r="F181" s="4">
        <v>140559.486</v>
      </c>
      <c r="G181" s="4">
        <v>140640.035</v>
      </c>
      <c r="H181" s="5">
        <f>5062 / 86400</f>
        <v>5.858796296296296E-2</v>
      </c>
      <c r="I181" t="s">
        <v>35</v>
      </c>
      <c r="J181" t="s">
        <v>26</v>
      </c>
      <c r="K181" s="5">
        <f>15948 / 86400</f>
        <v>0.18458333333333332</v>
      </c>
      <c r="L181" s="5">
        <f>325 / 86400</f>
        <v>3.7615740740740739E-3</v>
      </c>
    </row>
    <row r="182" spans="1:12" x14ac:dyDescent="0.25">
      <c r="A182" s="3">
        <v>45713.46638888889</v>
      </c>
      <c r="B182" t="s">
        <v>82</v>
      </c>
      <c r="C182" s="3">
        <v>45713.466863425929</v>
      </c>
      <c r="D182" t="s">
        <v>82</v>
      </c>
      <c r="E182" s="4">
        <v>8.0000000000000002E-3</v>
      </c>
      <c r="F182" s="4">
        <v>140640.035</v>
      </c>
      <c r="G182" s="4">
        <v>140640.04300000001</v>
      </c>
      <c r="H182" s="5">
        <f>20 / 86400</f>
        <v>2.3148148148148149E-4</v>
      </c>
      <c r="I182" t="s">
        <v>144</v>
      </c>
      <c r="J182" t="s">
        <v>144</v>
      </c>
      <c r="K182" s="5">
        <f>40 / 86400</f>
        <v>4.6296296296296298E-4</v>
      </c>
      <c r="L182" s="5">
        <f>2451 / 86400</f>
        <v>2.8368055555555556E-2</v>
      </c>
    </row>
    <row r="183" spans="1:12" x14ac:dyDescent="0.25">
      <c r="A183" s="3">
        <v>45713.49523148148</v>
      </c>
      <c r="B183" t="s">
        <v>82</v>
      </c>
      <c r="C183" s="3">
        <v>45713.674861111111</v>
      </c>
      <c r="D183" t="s">
        <v>88</v>
      </c>
      <c r="E183" s="4">
        <v>73.781999999999996</v>
      </c>
      <c r="F183" s="4">
        <v>140640.04300000001</v>
      </c>
      <c r="G183" s="4">
        <v>140713.82500000001</v>
      </c>
      <c r="H183" s="5">
        <f>5321 / 86400</f>
        <v>6.1585648148148146E-2</v>
      </c>
      <c r="I183" t="s">
        <v>40</v>
      </c>
      <c r="J183" t="s">
        <v>20</v>
      </c>
      <c r="K183" s="5">
        <f>15519 / 86400</f>
        <v>0.17961805555555554</v>
      </c>
      <c r="L183" s="5">
        <f>169 / 86400</f>
        <v>1.9560185185185184E-3</v>
      </c>
    </row>
    <row r="184" spans="1:12" x14ac:dyDescent="0.25">
      <c r="A184" s="3">
        <v>45713.676817129628</v>
      </c>
      <c r="B184" t="s">
        <v>169</v>
      </c>
      <c r="C184" s="3">
        <v>45713.803402777776</v>
      </c>
      <c r="D184" t="s">
        <v>170</v>
      </c>
      <c r="E184" s="4">
        <v>44.372999999999998</v>
      </c>
      <c r="F184" s="4">
        <v>140713.82500000001</v>
      </c>
      <c r="G184" s="4">
        <v>140758.198</v>
      </c>
      <c r="H184" s="5">
        <f>4620 / 86400</f>
        <v>5.347222222222222E-2</v>
      </c>
      <c r="I184" t="s">
        <v>60</v>
      </c>
      <c r="J184" t="s">
        <v>76</v>
      </c>
      <c r="K184" s="5">
        <f>10937 / 86400</f>
        <v>0.12658564814814816</v>
      </c>
      <c r="L184" s="5">
        <f>420 / 86400</f>
        <v>4.8611111111111112E-3</v>
      </c>
    </row>
    <row r="185" spans="1:12" x14ac:dyDescent="0.25">
      <c r="A185" s="3">
        <v>45713.808263888888</v>
      </c>
      <c r="B185" t="s">
        <v>170</v>
      </c>
      <c r="C185" s="3">
        <v>45713.811458333337</v>
      </c>
      <c r="D185" t="s">
        <v>171</v>
      </c>
      <c r="E185" s="4">
        <v>0.745</v>
      </c>
      <c r="F185" s="4">
        <v>140758.198</v>
      </c>
      <c r="G185" s="4">
        <v>140758.943</v>
      </c>
      <c r="H185" s="5">
        <f>99 / 86400</f>
        <v>1.1458333333333333E-3</v>
      </c>
      <c r="I185" t="s">
        <v>105</v>
      </c>
      <c r="J185" t="s">
        <v>134</v>
      </c>
      <c r="K185" s="5">
        <f>276 / 86400</f>
        <v>3.1944444444444446E-3</v>
      </c>
      <c r="L185" s="5">
        <f>207 / 86400</f>
        <v>2.3958333333333331E-3</v>
      </c>
    </row>
    <row r="186" spans="1:12" x14ac:dyDescent="0.25">
      <c r="A186" s="3">
        <v>45713.81385416667</v>
      </c>
      <c r="B186" t="s">
        <v>139</v>
      </c>
      <c r="C186" s="3">
        <v>45713.818148148144</v>
      </c>
      <c r="D186" t="s">
        <v>18</v>
      </c>
      <c r="E186" s="4">
        <v>0.56100000000000005</v>
      </c>
      <c r="F186" s="4">
        <v>140758.943</v>
      </c>
      <c r="G186" s="4">
        <v>140759.50399999999</v>
      </c>
      <c r="H186" s="5">
        <f>180 / 86400</f>
        <v>2.0833333333333333E-3</v>
      </c>
      <c r="I186" t="s">
        <v>136</v>
      </c>
      <c r="J186" t="s">
        <v>146</v>
      </c>
      <c r="K186" s="5">
        <f>371 / 86400</f>
        <v>4.2939814814814811E-3</v>
      </c>
      <c r="L186" s="5">
        <f>15711 / 86400</f>
        <v>0.18184027777777778</v>
      </c>
    </row>
    <row r="187" spans="1:12" x14ac:dyDescent="0.25">
      <c r="A187" s="12"/>
      <c r="B187" s="12"/>
      <c r="C187" s="12"/>
      <c r="D187" s="12"/>
      <c r="E187" s="12"/>
      <c r="F187" s="12"/>
      <c r="G187" s="12"/>
      <c r="H187" s="12"/>
      <c r="I187" s="12"/>
      <c r="J187" s="12"/>
    </row>
    <row r="188" spans="1:12" x14ac:dyDescent="0.25">
      <c r="A188" s="12"/>
      <c r="B188" s="12"/>
      <c r="C188" s="12"/>
      <c r="D188" s="12"/>
      <c r="E188" s="12"/>
      <c r="F188" s="12"/>
      <c r="G188" s="12"/>
      <c r="H188" s="12"/>
      <c r="I188" s="12"/>
      <c r="J188" s="12"/>
    </row>
    <row r="189" spans="1:12" s="10" customFormat="1" ht="20.100000000000001" customHeight="1" x14ac:dyDescent="0.35">
      <c r="A189" s="15" t="s">
        <v>398</v>
      </c>
      <c r="B189" s="15"/>
      <c r="C189" s="15"/>
      <c r="D189" s="15"/>
      <c r="E189" s="15"/>
      <c r="F189" s="15"/>
      <c r="G189" s="15"/>
      <c r="H189" s="15"/>
      <c r="I189" s="15"/>
      <c r="J189" s="15"/>
    </row>
    <row r="190" spans="1:12" x14ac:dyDescent="0.25">
      <c r="A190" s="12"/>
      <c r="B190" s="12"/>
      <c r="C190" s="12"/>
      <c r="D190" s="12"/>
      <c r="E190" s="12"/>
      <c r="F190" s="12"/>
      <c r="G190" s="12"/>
      <c r="H190" s="12"/>
      <c r="I190" s="12"/>
      <c r="J190" s="12"/>
    </row>
    <row r="191" spans="1:12" ht="30" x14ac:dyDescent="0.25">
      <c r="A191" s="2" t="s">
        <v>6</v>
      </c>
      <c r="B191" s="2" t="s">
        <v>7</v>
      </c>
      <c r="C191" s="2" t="s">
        <v>8</v>
      </c>
      <c r="D191" s="2" t="s">
        <v>9</v>
      </c>
      <c r="E191" s="2" t="s">
        <v>10</v>
      </c>
      <c r="F191" s="2" t="s">
        <v>11</v>
      </c>
      <c r="G191" s="2" t="s">
        <v>12</v>
      </c>
      <c r="H191" s="2" t="s">
        <v>13</v>
      </c>
      <c r="I191" s="2" t="s">
        <v>14</v>
      </c>
      <c r="J191" s="2" t="s">
        <v>15</v>
      </c>
      <c r="K191" s="2" t="s">
        <v>16</v>
      </c>
      <c r="L191" s="2" t="s">
        <v>17</v>
      </c>
    </row>
    <row r="192" spans="1:12" x14ac:dyDescent="0.25">
      <c r="A192" s="3">
        <v>45713.348900462966</v>
      </c>
      <c r="B192" t="s">
        <v>27</v>
      </c>
      <c r="C192" s="3">
        <v>45713.349548611106</v>
      </c>
      <c r="D192" t="s">
        <v>27</v>
      </c>
      <c r="E192" s="4">
        <v>9.169836008548736E-2</v>
      </c>
      <c r="F192" s="4">
        <v>350570.11307178187</v>
      </c>
      <c r="G192" s="4">
        <v>350570.20477014198</v>
      </c>
      <c r="H192" s="5">
        <f t="shared" ref="H192:H223" si="0">0 / 86400</f>
        <v>0</v>
      </c>
      <c r="I192" t="s">
        <v>134</v>
      </c>
      <c r="J192" t="s">
        <v>145</v>
      </c>
      <c r="K192" s="5">
        <f>56 / 86400</f>
        <v>6.4814814814814813E-4</v>
      </c>
      <c r="L192" s="5">
        <f>30205 / 86400</f>
        <v>0.3495949074074074</v>
      </c>
    </row>
    <row r="193" spans="1:12" x14ac:dyDescent="0.25">
      <c r="A193" s="3">
        <v>45713.350243055553</v>
      </c>
      <c r="B193" t="s">
        <v>27</v>
      </c>
      <c r="C193" s="3">
        <v>45713.352129629631</v>
      </c>
      <c r="D193" t="s">
        <v>172</v>
      </c>
      <c r="E193" s="4">
        <v>0.55919475710391997</v>
      </c>
      <c r="F193" s="4">
        <v>350570.20960738888</v>
      </c>
      <c r="G193" s="4">
        <v>350570.76880214596</v>
      </c>
      <c r="H193" s="5">
        <f t="shared" si="0"/>
        <v>0</v>
      </c>
      <c r="I193" t="s">
        <v>92</v>
      </c>
      <c r="J193" t="s">
        <v>158</v>
      </c>
      <c r="K193" s="5">
        <f>163 / 86400</f>
        <v>1.8865740740740742E-3</v>
      </c>
      <c r="L193" s="5">
        <f>60 / 86400</f>
        <v>6.9444444444444447E-4</v>
      </c>
    </row>
    <row r="194" spans="1:12" x14ac:dyDescent="0.25">
      <c r="A194" s="3">
        <v>45713.352824074071</v>
      </c>
      <c r="B194" t="s">
        <v>172</v>
      </c>
      <c r="C194" s="3">
        <v>45713.356736111113</v>
      </c>
      <c r="D194" t="s">
        <v>173</v>
      </c>
      <c r="E194" s="4">
        <v>2.4968580492138863</v>
      </c>
      <c r="F194" s="4">
        <v>350570.79087195278</v>
      </c>
      <c r="G194" s="4">
        <v>350573.28773000196</v>
      </c>
      <c r="H194" s="5">
        <f t="shared" si="0"/>
        <v>0</v>
      </c>
      <c r="I194" t="s">
        <v>174</v>
      </c>
      <c r="J194" t="s">
        <v>164</v>
      </c>
      <c r="K194" s="5">
        <f>338 / 86400</f>
        <v>3.9120370370370368E-3</v>
      </c>
      <c r="L194" s="5">
        <f>20 / 86400</f>
        <v>2.3148148148148149E-4</v>
      </c>
    </row>
    <row r="195" spans="1:12" x14ac:dyDescent="0.25">
      <c r="A195" s="3">
        <v>45713.356967592597</v>
      </c>
      <c r="B195" t="s">
        <v>91</v>
      </c>
      <c r="C195" s="3">
        <v>45713.357662037037</v>
      </c>
      <c r="D195" t="s">
        <v>175</v>
      </c>
      <c r="E195" s="4">
        <v>0.77272552871704103</v>
      </c>
      <c r="F195" s="4">
        <v>350573.36590076203</v>
      </c>
      <c r="G195" s="4">
        <v>350574.13862629072</v>
      </c>
      <c r="H195" s="5">
        <f t="shared" si="0"/>
        <v>0</v>
      </c>
      <c r="I195" t="s">
        <v>168</v>
      </c>
      <c r="J195" t="s">
        <v>176</v>
      </c>
      <c r="K195" s="5">
        <f>60 / 86400</f>
        <v>6.9444444444444447E-4</v>
      </c>
      <c r="L195" s="5">
        <f>20 / 86400</f>
        <v>2.3148148148148149E-4</v>
      </c>
    </row>
    <row r="196" spans="1:12" x14ac:dyDescent="0.25">
      <c r="A196" s="3">
        <v>45713.357893518521</v>
      </c>
      <c r="B196" t="s">
        <v>175</v>
      </c>
      <c r="C196" s="3">
        <v>45713.360671296294</v>
      </c>
      <c r="D196" t="s">
        <v>67</v>
      </c>
      <c r="E196" s="4">
        <v>2.4233709291815759</v>
      </c>
      <c r="F196" s="4">
        <v>350574.15829399449</v>
      </c>
      <c r="G196" s="4">
        <v>350576.58166492369</v>
      </c>
      <c r="H196" s="5">
        <f t="shared" si="0"/>
        <v>0</v>
      </c>
      <c r="I196" t="s">
        <v>160</v>
      </c>
      <c r="J196" t="s">
        <v>177</v>
      </c>
      <c r="K196" s="5">
        <f>240 / 86400</f>
        <v>2.7777777777777779E-3</v>
      </c>
      <c r="L196" s="5">
        <f>20 / 86400</f>
        <v>2.3148148148148149E-4</v>
      </c>
    </row>
    <row r="197" spans="1:12" x14ac:dyDescent="0.25">
      <c r="A197" s="3">
        <v>45713.360902777778</v>
      </c>
      <c r="B197" t="s">
        <v>67</v>
      </c>
      <c r="C197" s="3">
        <v>45713.364606481482</v>
      </c>
      <c r="D197" t="s">
        <v>178</v>
      </c>
      <c r="E197" s="4">
        <v>3.7972539630532265</v>
      </c>
      <c r="F197" s="4">
        <v>350576.64753264713</v>
      </c>
      <c r="G197" s="4">
        <v>350580.4447866102</v>
      </c>
      <c r="H197" s="5">
        <f t="shared" si="0"/>
        <v>0</v>
      </c>
      <c r="I197" t="s">
        <v>117</v>
      </c>
      <c r="J197" t="s">
        <v>179</v>
      </c>
      <c r="K197" s="5">
        <f>320 / 86400</f>
        <v>3.7037037037037038E-3</v>
      </c>
      <c r="L197" s="5">
        <f>20 / 86400</f>
        <v>2.3148148148148149E-4</v>
      </c>
    </row>
    <row r="198" spans="1:12" x14ac:dyDescent="0.25">
      <c r="A198" s="3">
        <v>45713.364837962959</v>
      </c>
      <c r="B198" t="s">
        <v>180</v>
      </c>
      <c r="C198" s="3">
        <v>45713.374236111107</v>
      </c>
      <c r="D198" t="s">
        <v>88</v>
      </c>
      <c r="E198" s="4">
        <v>8.6121220217347147</v>
      </c>
      <c r="F198" s="4">
        <v>350580.48493282404</v>
      </c>
      <c r="G198" s="4">
        <v>350589.09705484577</v>
      </c>
      <c r="H198" s="5">
        <f t="shared" si="0"/>
        <v>0</v>
      </c>
      <c r="I198" t="s">
        <v>181</v>
      </c>
      <c r="J198" t="s">
        <v>182</v>
      </c>
      <c r="K198" s="5">
        <f>812 / 86400</f>
        <v>9.3981481481481485E-3</v>
      </c>
      <c r="L198" s="5">
        <f>18 / 86400</f>
        <v>2.0833333333333335E-4</v>
      </c>
    </row>
    <row r="199" spans="1:12" x14ac:dyDescent="0.25">
      <c r="A199" s="3">
        <v>45713.374444444446</v>
      </c>
      <c r="B199" t="s">
        <v>183</v>
      </c>
      <c r="C199" s="3">
        <v>45713.374907407408</v>
      </c>
      <c r="D199" t="s">
        <v>184</v>
      </c>
      <c r="E199" s="4">
        <v>0.26087627601623536</v>
      </c>
      <c r="F199" s="4">
        <v>350589.10189064278</v>
      </c>
      <c r="G199" s="4">
        <v>350589.36276691878</v>
      </c>
      <c r="H199" s="5">
        <f t="shared" si="0"/>
        <v>0</v>
      </c>
      <c r="I199" t="s">
        <v>166</v>
      </c>
      <c r="J199" t="s">
        <v>38</v>
      </c>
      <c r="K199" s="5">
        <f>40 / 86400</f>
        <v>4.6296296296296298E-4</v>
      </c>
      <c r="L199" s="5">
        <f>20 / 86400</f>
        <v>2.3148148148148149E-4</v>
      </c>
    </row>
    <row r="200" spans="1:12" x14ac:dyDescent="0.25">
      <c r="A200" s="3">
        <v>45713.375138888892</v>
      </c>
      <c r="B200" t="s">
        <v>184</v>
      </c>
      <c r="C200" s="3">
        <v>45713.375833333332</v>
      </c>
      <c r="D200" t="s">
        <v>185</v>
      </c>
      <c r="E200" s="4">
        <v>0.43875850230455399</v>
      </c>
      <c r="F200" s="4">
        <v>350589.36628745764</v>
      </c>
      <c r="G200" s="4">
        <v>350589.80504595995</v>
      </c>
      <c r="H200" s="5">
        <f t="shared" si="0"/>
        <v>0</v>
      </c>
      <c r="I200" t="s">
        <v>63</v>
      </c>
      <c r="J200" t="s">
        <v>150</v>
      </c>
      <c r="K200" s="5">
        <f>60 / 86400</f>
        <v>6.9444444444444447E-4</v>
      </c>
      <c r="L200" s="5">
        <f>20 / 86400</f>
        <v>2.3148148148148149E-4</v>
      </c>
    </row>
    <row r="201" spans="1:12" x14ac:dyDescent="0.25">
      <c r="A201" s="3">
        <v>45713.376064814816</v>
      </c>
      <c r="B201" t="s">
        <v>186</v>
      </c>
      <c r="C201" s="3">
        <v>45713.380231481482</v>
      </c>
      <c r="D201" t="s">
        <v>21</v>
      </c>
      <c r="E201" s="4">
        <v>2.3191391891241073</v>
      </c>
      <c r="F201" s="4">
        <v>350589.87320439826</v>
      </c>
      <c r="G201" s="4">
        <v>350592.19234358741</v>
      </c>
      <c r="H201" s="5">
        <f t="shared" si="0"/>
        <v>0</v>
      </c>
      <c r="I201" t="s">
        <v>187</v>
      </c>
      <c r="J201" t="s">
        <v>38</v>
      </c>
      <c r="K201" s="5">
        <f>360 / 86400</f>
        <v>4.1666666666666666E-3</v>
      </c>
      <c r="L201" s="5">
        <f>20 / 86400</f>
        <v>2.3148148148148149E-4</v>
      </c>
    </row>
    <row r="202" spans="1:12" x14ac:dyDescent="0.25">
      <c r="A202" s="3">
        <v>45713.380462962959</v>
      </c>
      <c r="B202" t="s">
        <v>21</v>
      </c>
      <c r="C202" s="3">
        <v>45713.381736111114</v>
      </c>
      <c r="D202" t="s">
        <v>188</v>
      </c>
      <c r="E202" s="4">
        <v>0.86208359199762341</v>
      </c>
      <c r="F202" s="4">
        <v>350592.26471215981</v>
      </c>
      <c r="G202" s="4">
        <v>350593.1267957518</v>
      </c>
      <c r="H202" s="5">
        <f t="shared" si="0"/>
        <v>0</v>
      </c>
      <c r="I202" t="s">
        <v>189</v>
      </c>
      <c r="J202" t="s">
        <v>166</v>
      </c>
      <c r="K202" s="5">
        <f>110 / 86400</f>
        <v>1.2731481481481483E-3</v>
      </c>
      <c r="L202" s="5">
        <f>20 / 86400</f>
        <v>2.3148148148148149E-4</v>
      </c>
    </row>
    <row r="203" spans="1:12" x14ac:dyDescent="0.25">
      <c r="A203" s="3">
        <v>45713.381967592592</v>
      </c>
      <c r="B203" t="s">
        <v>188</v>
      </c>
      <c r="C203" s="3">
        <v>45713.385520833333</v>
      </c>
      <c r="D203" t="s">
        <v>98</v>
      </c>
      <c r="E203" s="4">
        <v>2.090479975283146</v>
      </c>
      <c r="F203" s="4">
        <v>350593.13667146448</v>
      </c>
      <c r="G203" s="4">
        <v>350595.22715143976</v>
      </c>
      <c r="H203" s="5">
        <f t="shared" si="0"/>
        <v>0</v>
      </c>
      <c r="I203" t="s">
        <v>153</v>
      </c>
      <c r="J203" t="s">
        <v>190</v>
      </c>
      <c r="K203" s="5">
        <f>307 / 86400</f>
        <v>3.5532407407407409E-3</v>
      </c>
      <c r="L203" s="5">
        <f>20 / 86400</f>
        <v>2.3148148148148149E-4</v>
      </c>
    </row>
    <row r="204" spans="1:12" x14ac:dyDescent="0.25">
      <c r="A204" s="3">
        <v>45713.385752314818</v>
      </c>
      <c r="B204" t="s">
        <v>98</v>
      </c>
      <c r="C204" s="3">
        <v>45713.385983796295</v>
      </c>
      <c r="D204" t="s">
        <v>98</v>
      </c>
      <c r="E204" s="4">
        <v>1.0035822629928588E-2</v>
      </c>
      <c r="F204" s="4">
        <v>350595.23019653384</v>
      </c>
      <c r="G204" s="4">
        <v>350595.24023235647</v>
      </c>
      <c r="H204" s="5">
        <f t="shared" si="0"/>
        <v>0</v>
      </c>
      <c r="I204" t="s">
        <v>144</v>
      </c>
      <c r="J204" t="s">
        <v>147</v>
      </c>
      <c r="K204" s="5">
        <f>20 / 86400</f>
        <v>2.3148148148148149E-4</v>
      </c>
      <c r="L204" s="5">
        <f>12451 / 86400</f>
        <v>0.1441087962962963</v>
      </c>
    </row>
    <row r="205" spans="1:12" x14ac:dyDescent="0.25">
      <c r="A205" s="3">
        <v>45713.530092592591</v>
      </c>
      <c r="B205" t="s">
        <v>98</v>
      </c>
      <c r="C205" s="3">
        <v>45713.532534722224</v>
      </c>
      <c r="D205" t="s">
        <v>82</v>
      </c>
      <c r="E205" s="4">
        <v>0.93764947336912152</v>
      </c>
      <c r="F205" s="4">
        <v>350595.27383089351</v>
      </c>
      <c r="G205" s="4">
        <v>350596.21148036688</v>
      </c>
      <c r="H205" s="5">
        <f t="shared" si="0"/>
        <v>0</v>
      </c>
      <c r="I205" t="s">
        <v>140</v>
      </c>
      <c r="J205" t="s">
        <v>32</v>
      </c>
      <c r="K205" s="5">
        <f>211 / 86400</f>
        <v>2.4421296296296296E-3</v>
      </c>
      <c r="L205" s="5">
        <f>12410 / 86400</f>
        <v>0.14363425925925927</v>
      </c>
    </row>
    <row r="206" spans="1:12" x14ac:dyDescent="0.25">
      <c r="A206" s="3">
        <v>45713.676168981481</v>
      </c>
      <c r="B206" t="s">
        <v>82</v>
      </c>
      <c r="C206" s="3">
        <v>45713.677905092598</v>
      </c>
      <c r="D206" t="s">
        <v>126</v>
      </c>
      <c r="E206" s="4">
        <v>0.8198234344124794</v>
      </c>
      <c r="F206" s="4">
        <v>350596.23494553077</v>
      </c>
      <c r="G206" s="4">
        <v>350597.05476896517</v>
      </c>
      <c r="H206" s="5">
        <f t="shared" si="0"/>
        <v>0</v>
      </c>
      <c r="I206" t="s">
        <v>153</v>
      </c>
      <c r="J206" t="s">
        <v>111</v>
      </c>
      <c r="K206" s="5">
        <f>150 / 86400</f>
        <v>1.736111111111111E-3</v>
      </c>
      <c r="L206" s="5">
        <f>40 / 86400</f>
        <v>4.6296296296296298E-4</v>
      </c>
    </row>
    <row r="207" spans="1:12" x14ac:dyDescent="0.25">
      <c r="A207" s="3">
        <v>45713.678368055553</v>
      </c>
      <c r="B207" t="s">
        <v>126</v>
      </c>
      <c r="C207" s="3">
        <v>45713.680208333331</v>
      </c>
      <c r="D207" t="s">
        <v>51</v>
      </c>
      <c r="E207" s="4">
        <v>0.45635160315036771</v>
      </c>
      <c r="F207" s="4">
        <v>350597.05738368724</v>
      </c>
      <c r="G207" s="4">
        <v>350597.51373529038</v>
      </c>
      <c r="H207" s="5">
        <f t="shared" si="0"/>
        <v>0</v>
      </c>
      <c r="I207" t="s">
        <v>125</v>
      </c>
      <c r="J207" t="s">
        <v>134</v>
      </c>
      <c r="K207" s="5">
        <f>159 / 86400</f>
        <v>1.8402777777777777E-3</v>
      </c>
      <c r="L207" s="5">
        <f>1814 / 86400</f>
        <v>2.0995370370370369E-2</v>
      </c>
    </row>
    <row r="208" spans="1:12" x14ac:dyDescent="0.25">
      <c r="A208" s="3">
        <v>45713.701203703706</v>
      </c>
      <c r="B208" t="s">
        <v>51</v>
      </c>
      <c r="C208" s="3">
        <v>45713.70144675926</v>
      </c>
      <c r="D208" t="s">
        <v>51</v>
      </c>
      <c r="E208" s="4">
        <v>5.2644437551498417E-3</v>
      </c>
      <c r="F208" s="4">
        <v>350597.53260036762</v>
      </c>
      <c r="G208" s="4">
        <v>350597.53786481137</v>
      </c>
      <c r="H208" s="5">
        <f t="shared" si="0"/>
        <v>0</v>
      </c>
      <c r="I208" t="s">
        <v>147</v>
      </c>
      <c r="J208" t="s">
        <v>144</v>
      </c>
      <c r="K208" s="5">
        <f>21 / 86400</f>
        <v>2.4305555555555555E-4</v>
      </c>
      <c r="L208" s="5">
        <f>456 / 86400</f>
        <v>5.2777777777777779E-3</v>
      </c>
    </row>
    <row r="209" spans="1:12" x14ac:dyDescent="0.25">
      <c r="A209" s="3">
        <v>45713.706724537042</v>
      </c>
      <c r="B209" t="s">
        <v>51</v>
      </c>
      <c r="C209" s="3">
        <v>45713.70925925926</v>
      </c>
      <c r="D209" t="s">
        <v>191</v>
      </c>
      <c r="E209" s="4">
        <v>1.0684607890844344</v>
      </c>
      <c r="F209" s="4">
        <v>350597.56648132933</v>
      </c>
      <c r="G209" s="4">
        <v>350598.63494211843</v>
      </c>
      <c r="H209" s="5">
        <f t="shared" si="0"/>
        <v>0</v>
      </c>
      <c r="I209" t="s">
        <v>156</v>
      </c>
      <c r="J209" t="s">
        <v>26</v>
      </c>
      <c r="K209" s="5">
        <f>219 / 86400</f>
        <v>2.5347222222222221E-3</v>
      </c>
      <c r="L209" s="5">
        <f>81 / 86400</f>
        <v>9.3749999999999997E-4</v>
      </c>
    </row>
    <row r="210" spans="1:12" x14ac:dyDescent="0.25">
      <c r="A210" s="3">
        <v>45713.710196759261</v>
      </c>
      <c r="B210" t="s">
        <v>191</v>
      </c>
      <c r="C210" s="3">
        <v>45713.710659722223</v>
      </c>
      <c r="D210" t="s">
        <v>192</v>
      </c>
      <c r="E210" s="4">
        <v>0.15146742624044418</v>
      </c>
      <c r="F210" s="4">
        <v>350598.65230615408</v>
      </c>
      <c r="G210" s="4">
        <v>350598.80377358029</v>
      </c>
      <c r="H210" s="5">
        <f t="shared" si="0"/>
        <v>0</v>
      </c>
      <c r="I210" t="s">
        <v>92</v>
      </c>
      <c r="J210" t="s">
        <v>29</v>
      </c>
      <c r="K210" s="5">
        <f>40 / 86400</f>
        <v>4.6296296296296298E-4</v>
      </c>
      <c r="L210" s="5">
        <f>39 / 86400</f>
        <v>4.5138888888888887E-4</v>
      </c>
    </row>
    <row r="211" spans="1:12" x14ac:dyDescent="0.25">
      <c r="A211" s="3">
        <v>45713.711111111115</v>
      </c>
      <c r="B211" t="s">
        <v>192</v>
      </c>
      <c r="C211" s="3">
        <v>45713.711585648147</v>
      </c>
      <c r="D211" t="s">
        <v>188</v>
      </c>
      <c r="E211" s="4">
        <v>0.34322056943178175</v>
      </c>
      <c r="F211" s="4">
        <v>350598.95486169198</v>
      </c>
      <c r="G211" s="4">
        <v>350599.2980822614</v>
      </c>
      <c r="H211" s="5">
        <f t="shared" si="0"/>
        <v>0</v>
      </c>
      <c r="I211" t="s">
        <v>193</v>
      </c>
      <c r="J211" t="s">
        <v>140</v>
      </c>
      <c r="K211" s="5">
        <f>41 / 86400</f>
        <v>4.7453703703703704E-4</v>
      </c>
      <c r="L211" s="5">
        <f>19 / 86400</f>
        <v>2.199074074074074E-4</v>
      </c>
    </row>
    <row r="212" spans="1:12" x14ac:dyDescent="0.25">
      <c r="A212" s="3">
        <v>45713.711805555555</v>
      </c>
      <c r="B212" t="s">
        <v>188</v>
      </c>
      <c r="C212" s="3">
        <v>45713.715231481481</v>
      </c>
      <c r="D212" t="s">
        <v>116</v>
      </c>
      <c r="E212" s="4">
        <v>2.1659635233283043</v>
      </c>
      <c r="F212" s="4">
        <v>350599.32598908711</v>
      </c>
      <c r="G212" s="4">
        <v>350601.49195261043</v>
      </c>
      <c r="H212" s="5">
        <f t="shared" si="0"/>
        <v>0</v>
      </c>
      <c r="I212" t="s">
        <v>138</v>
      </c>
      <c r="J212" t="s">
        <v>150</v>
      </c>
      <c r="K212" s="5">
        <f>296 / 86400</f>
        <v>3.425925925925926E-3</v>
      </c>
      <c r="L212" s="5">
        <f>20 / 86400</f>
        <v>2.3148148148148149E-4</v>
      </c>
    </row>
    <row r="213" spans="1:12" x14ac:dyDescent="0.25">
      <c r="A213" s="3">
        <v>45713.715462962966</v>
      </c>
      <c r="B213" t="s">
        <v>21</v>
      </c>
      <c r="C213" s="3">
        <v>45713.71707175926</v>
      </c>
      <c r="D213" t="s">
        <v>194</v>
      </c>
      <c r="E213" s="4">
        <v>0.54211201947927479</v>
      </c>
      <c r="F213" s="4">
        <v>350601.58835435414</v>
      </c>
      <c r="G213" s="4">
        <v>350602.13046637364</v>
      </c>
      <c r="H213" s="5">
        <f t="shared" si="0"/>
        <v>0</v>
      </c>
      <c r="I213" t="s">
        <v>164</v>
      </c>
      <c r="J213" t="s">
        <v>29</v>
      </c>
      <c r="K213" s="5">
        <f>139 / 86400</f>
        <v>1.6087962962962963E-3</v>
      </c>
      <c r="L213" s="5">
        <f>30 / 86400</f>
        <v>3.4722222222222224E-4</v>
      </c>
    </row>
    <row r="214" spans="1:12" x14ac:dyDescent="0.25">
      <c r="A214" s="3">
        <v>45713.717418981483</v>
      </c>
      <c r="B214" t="s">
        <v>194</v>
      </c>
      <c r="C214" s="3">
        <v>45713.719166666662</v>
      </c>
      <c r="D214" t="s">
        <v>195</v>
      </c>
      <c r="E214" s="4">
        <v>0.69821308261156079</v>
      </c>
      <c r="F214" s="4">
        <v>350602.13672479911</v>
      </c>
      <c r="G214" s="4">
        <v>350602.83493788174</v>
      </c>
      <c r="H214" s="5">
        <f t="shared" si="0"/>
        <v>0</v>
      </c>
      <c r="I214" t="s">
        <v>196</v>
      </c>
      <c r="J214" t="s">
        <v>20</v>
      </c>
      <c r="K214" s="5">
        <f>151 / 86400</f>
        <v>1.7476851851851852E-3</v>
      </c>
      <c r="L214" s="5">
        <f>16 / 86400</f>
        <v>1.8518518518518518E-4</v>
      </c>
    </row>
    <row r="215" spans="1:12" x14ac:dyDescent="0.25">
      <c r="A215" s="3">
        <v>45713.719351851847</v>
      </c>
      <c r="B215" t="s">
        <v>197</v>
      </c>
      <c r="C215" s="3">
        <v>45713.719618055555</v>
      </c>
      <c r="D215" t="s">
        <v>186</v>
      </c>
      <c r="E215" s="4">
        <v>9.2899220883846279E-2</v>
      </c>
      <c r="F215" s="4">
        <v>350602.85682940122</v>
      </c>
      <c r="G215" s="4">
        <v>350602.9497286221</v>
      </c>
      <c r="H215" s="5">
        <f t="shared" si="0"/>
        <v>0</v>
      </c>
      <c r="I215" t="s">
        <v>29</v>
      </c>
      <c r="J215" t="s">
        <v>76</v>
      </c>
      <c r="K215" s="5">
        <f>23 / 86400</f>
        <v>2.6620370370370372E-4</v>
      </c>
      <c r="L215" s="5">
        <f>20 / 86400</f>
        <v>2.3148148148148149E-4</v>
      </c>
    </row>
    <row r="216" spans="1:12" x14ac:dyDescent="0.25">
      <c r="A216" s="3">
        <v>45713.719849537039</v>
      </c>
      <c r="B216" t="s">
        <v>198</v>
      </c>
      <c r="C216" s="3">
        <v>45713.720543981486</v>
      </c>
      <c r="D216" t="s">
        <v>199</v>
      </c>
      <c r="E216" s="4">
        <v>0.36654964810609819</v>
      </c>
      <c r="F216" s="4">
        <v>350603.00139580329</v>
      </c>
      <c r="G216" s="4">
        <v>350603.36794545141</v>
      </c>
      <c r="H216" s="5">
        <f t="shared" si="0"/>
        <v>0</v>
      </c>
      <c r="I216" t="s">
        <v>131</v>
      </c>
      <c r="J216" t="s">
        <v>136</v>
      </c>
      <c r="K216" s="5">
        <f>60 / 86400</f>
        <v>6.9444444444444447E-4</v>
      </c>
      <c r="L216" s="5">
        <f>40 / 86400</f>
        <v>4.6296296296296298E-4</v>
      </c>
    </row>
    <row r="217" spans="1:12" x14ac:dyDescent="0.25">
      <c r="A217" s="3">
        <v>45713.721006944441</v>
      </c>
      <c r="B217" t="s">
        <v>184</v>
      </c>
      <c r="C217" s="3">
        <v>45713.723090277781</v>
      </c>
      <c r="D217" t="s">
        <v>200</v>
      </c>
      <c r="E217" s="4">
        <v>0.92255221223831174</v>
      </c>
      <c r="F217" s="4">
        <v>350603.37888310617</v>
      </c>
      <c r="G217" s="4">
        <v>350604.30143531843</v>
      </c>
      <c r="H217" s="5">
        <f t="shared" si="0"/>
        <v>0</v>
      </c>
      <c r="I217" t="s">
        <v>201</v>
      </c>
      <c r="J217" t="s">
        <v>26</v>
      </c>
      <c r="K217" s="5">
        <f>180 / 86400</f>
        <v>2.0833333333333333E-3</v>
      </c>
      <c r="L217" s="5">
        <f>20 / 86400</f>
        <v>2.3148148148148149E-4</v>
      </c>
    </row>
    <row r="218" spans="1:12" x14ac:dyDescent="0.25">
      <c r="A218" s="3">
        <v>45713.723321759258</v>
      </c>
      <c r="B218" t="s">
        <v>200</v>
      </c>
      <c r="C218" s="3">
        <v>45713.723645833335</v>
      </c>
      <c r="D218" t="s">
        <v>200</v>
      </c>
      <c r="E218" s="4">
        <v>5.3626738011837004E-2</v>
      </c>
      <c r="F218" s="4">
        <v>350604.30235103366</v>
      </c>
      <c r="G218" s="4">
        <v>350604.35597777169</v>
      </c>
      <c r="H218" s="5">
        <f t="shared" si="0"/>
        <v>0</v>
      </c>
      <c r="I218" t="s">
        <v>146</v>
      </c>
      <c r="J218" t="s">
        <v>34</v>
      </c>
      <c r="K218" s="5">
        <f>28 / 86400</f>
        <v>3.2407407407407406E-4</v>
      </c>
      <c r="L218" s="5">
        <f>3 / 86400</f>
        <v>3.4722222222222222E-5</v>
      </c>
    </row>
    <row r="219" spans="1:12" x14ac:dyDescent="0.25">
      <c r="A219" s="3">
        <v>45713.723680555559</v>
      </c>
      <c r="B219" t="s">
        <v>200</v>
      </c>
      <c r="C219" s="3">
        <v>45713.726608796293</v>
      </c>
      <c r="D219" t="s">
        <v>202</v>
      </c>
      <c r="E219" s="4">
        <v>2.421583906531334</v>
      </c>
      <c r="F219" s="4">
        <v>350604.35755653825</v>
      </c>
      <c r="G219" s="4">
        <v>350606.77914044476</v>
      </c>
      <c r="H219" s="5">
        <f t="shared" si="0"/>
        <v>0</v>
      </c>
      <c r="I219" t="s">
        <v>203</v>
      </c>
      <c r="J219" t="s">
        <v>196</v>
      </c>
      <c r="K219" s="5">
        <f>253 / 86400</f>
        <v>2.9282407407407408E-3</v>
      </c>
      <c r="L219" s="5">
        <f t="shared" ref="L219:L224" si="1">20 / 86400</f>
        <v>2.3148148148148149E-4</v>
      </c>
    </row>
    <row r="220" spans="1:12" x14ac:dyDescent="0.25">
      <c r="A220" s="3">
        <v>45713.726840277777</v>
      </c>
      <c r="B220" t="s">
        <v>202</v>
      </c>
      <c r="C220" s="3">
        <v>45713.727766203709</v>
      </c>
      <c r="D220" t="s">
        <v>204</v>
      </c>
      <c r="E220" s="4">
        <v>1.2031245490312577</v>
      </c>
      <c r="F220" s="4">
        <v>350606.79350532178</v>
      </c>
      <c r="G220" s="4">
        <v>350607.99662987085</v>
      </c>
      <c r="H220" s="5">
        <f t="shared" si="0"/>
        <v>0</v>
      </c>
      <c r="I220" t="s">
        <v>154</v>
      </c>
      <c r="J220" t="s">
        <v>174</v>
      </c>
      <c r="K220" s="5">
        <f>80 / 86400</f>
        <v>9.2592592592592596E-4</v>
      </c>
      <c r="L220" s="5">
        <f t="shared" si="1"/>
        <v>2.3148148148148149E-4</v>
      </c>
    </row>
    <row r="221" spans="1:12" x14ac:dyDescent="0.25">
      <c r="A221" s="3">
        <v>45713.727997685186</v>
      </c>
      <c r="B221" t="s">
        <v>204</v>
      </c>
      <c r="C221" s="3">
        <v>45713.728229166663</v>
      </c>
      <c r="D221" t="s">
        <v>204</v>
      </c>
      <c r="E221" s="4">
        <v>0.13205433863401414</v>
      </c>
      <c r="F221" s="4">
        <v>350608.11978109763</v>
      </c>
      <c r="G221" s="4">
        <v>350608.25183543627</v>
      </c>
      <c r="H221" s="5">
        <f t="shared" si="0"/>
        <v>0</v>
      </c>
      <c r="I221" t="s">
        <v>176</v>
      </c>
      <c r="J221" t="s">
        <v>119</v>
      </c>
      <c r="K221" s="5">
        <f>20 / 86400</f>
        <v>2.3148148148148149E-4</v>
      </c>
      <c r="L221" s="5">
        <f t="shared" si="1"/>
        <v>2.3148148148148149E-4</v>
      </c>
    </row>
    <row r="222" spans="1:12" x14ac:dyDescent="0.25">
      <c r="A222" s="3">
        <v>45713.728460648148</v>
      </c>
      <c r="B222" t="s">
        <v>204</v>
      </c>
      <c r="C222" s="3">
        <v>45713.72892361111</v>
      </c>
      <c r="D222" t="s">
        <v>204</v>
      </c>
      <c r="E222" s="4">
        <v>0.25269394338130952</v>
      </c>
      <c r="F222" s="4">
        <v>350608.28942177375</v>
      </c>
      <c r="G222" s="4">
        <v>350608.54211571714</v>
      </c>
      <c r="H222" s="5">
        <f t="shared" si="0"/>
        <v>0</v>
      </c>
      <c r="I222" t="s">
        <v>201</v>
      </c>
      <c r="J222" t="s">
        <v>38</v>
      </c>
      <c r="K222" s="5">
        <f>40 / 86400</f>
        <v>4.6296296296296298E-4</v>
      </c>
      <c r="L222" s="5">
        <f t="shared" si="1"/>
        <v>2.3148148148148149E-4</v>
      </c>
    </row>
    <row r="223" spans="1:12" x14ac:dyDescent="0.25">
      <c r="A223" s="3">
        <v>45713.729155092587</v>
      </c>
      <c r="B223" t="s">
        <v>204</v>
      </c>
      <c r="C223" s="3">
        <v>45713.729976851857</v>
      </c>
      <c r="D223" t="s">
        <v>205</v>
      </c>
      <c r="E223" s="4">
        <v>0.82179952239990239</v>
      </c>
      <c r="F223" s="4">
        <v>350608.58155995089</v>
      </c>
      <c r="G223" s="4">
        <v>350609.40335947328</v>
      </c>
      <c r="H223" s="5">
        <f t="shared" si="0"/>
        <v>0</v>
      </c>
      <c r="I223" t="s">
        <v>154</v>
      </c>
      <c r="J223" t="s">
        <v>153</v>
      </c>
      <c r="K223" s="5">
        <f>71 / 86400</f>
        <v>8.2175925925925927E-4</v>
      </c>
      <c r="L223" s="5">
        <f t="shared" si="1"/>
        <v>2.3148148148148149E-4</v>
      </c>
    </row>
    <row r="224" spans="1:12" x14ac:dyDescent="0.25">
      <c r="A224" s="3">
        <v>45713.730208333334</v>
      </c>
      <c r="B224" t="s">
        <v>205</v>
      </c>
      <c r="C224" s="3">
        <v>45713.7340162037</v>
      </c>
      <c r="D224" t="s">
        <v>206</v>
      </c>
      <c r="E224" s="4">
        <v>2.8061946530938147</v>
      </c>
      <c r="F224" s="4">
        <v>350609.50083234161</v>
      </c>
      <c r="G224" s="4">
        <v>350612.30702699471</v>
      </c>
      <c r="H224" s="5">
        <f t="shared" ref="H224:H255" si="2">0 / 86400</f>
        <v>0</v>
      </c>
      <c r="I224" t="s">
        <v>142</v>
      </c>
      <c r="J224" t="s">
        <v>105</v>
      </c>
      <c r="K224" s="5">
        <f>329 / 86400</f>
        <v>3.8078703703703703E-3</v>
      </c>
      <c r="L224" s="5">
        <f t="shared" si="1"/>
        <v>2.3148148148148149E-4</v>
      </c>
    </row>
    <row r="225" spans="1:12" x14ac:dyDescent="0.25">
      <c r="A225" s="3">
        <v>45713.734247685185</v>
      </c>
      <c r="B225" t="s">
        <v>206</v>
      </c>
      <c r="C225" s="3">
        <v>45713.735405092593</v>
      </c>
      <c r="D225" t="s">
        <v>205</v>
      </c>
      <c r="E225" s="4">
        <v>0.632045062661171</v>
      </c>
      <c r="F225" s="4">
        <v>350612.31700451003</v>
      </c>
      <c r="G225" s="4">
        <v>350612.94904957269</v>
      </c>
      <c r="H225" s="5">
        <f t="shared" si="2"/>
        <v>0</v>
      </c>
      <c r="I225" t="s">
        <v>33</v>
      </c>
      <c r="J225" t="s">
        <v>38</v>
      </c>
      <c r="K225" s="5">
        <f>100 / 86400</f>
        <v>1.1574074074074073E-3</v>
      </c>
      <c r="L225" s="5">
        <f>15 / 86400</f>
        <v>1.7361111111111112E-4</v>
      </c>
    </row>
    <row r="226" spans="1:12" x14ac:dyDescent="0.25">
      <c r="A226" s="3">
        <v>45713.735578703709</v>
      </c>
      <c r="B226" t="s">
        <v>205</v>
      </c>
      <c r="C226" s="3">
        <v>45713.736504629633</v>
      </c>
      <c r="D226" t="s">
        <v>207</v>
      </c>
      <c r="E226" s="4">
        <v>0.67096884196996687</v>
      </c>
      <c r="F226" s="4">
        <v>350612.95194662205</v>
      </c>
      <c r="G226" s="4">
        <v>350613.62291546405</v>
      </c>
      <c r="H226" s="5">
        <f t="shared" si="2"/>
        <v>0</v>
      </c>
      <c r="I226" t="s">
        <v>208</v>
      </c>
      <c r="J226" t="s">
        <v>140</v>
      </c>
      <c r="K226" s="5">
        <f>80 / 86400</f>
        <v>9.2592592592592596E-4</v>
      </c>
      <c r="L226" s="5">
        <f>31 / 86400</f>
        <v>3.5879629629629629E-4</v>
      </c>
    </row>
    <row r="227" spans="1:12" x14ac:dyDescent="0.25">
      <c r="A227" s="3">
        <v>45713.736863425926</v>
      </c>
      <c r="B227" t="s">
        <v>207</v>
      </c>
      <c r="C227" s="3">
        <v>45713.740104166667</v>
      </c>
      <c r="D227" t="s">
        <v>67</v>
      </c>
      <c r="E227" s="4">
        <v>3.3103502882122995</v>
      </c>
      <c r="F227" s="4">
        <v>350613.62666856061</v>
      </c>
      <c r="G227" s="4">
        <v>350616.93701884884</v>
      </c>
      <c r="H227" s="5">
        <f t="shared" si="2"/>
        <v>0</v>
      </c>
      <c r="I227" t="s">
        <v>69</v>
      </c>
      <c r="J227" t="s">
        <v>179</v>
      </c>
      <c r="K227" s="5">
        <f>280 / 86400</f>
        <v>3.2407407407407406E-3</v>
      </c>
      <c r="L227" s="5">
        <f>6 / 86400</f>
        <v>6.9444444444444444E-5</v>
      </c>
    </row>
    <row r="228" spans="1:12" x14ac:dyDescent="0.25">
      <c r="A228" s="3">
        <v>45713.740173611106</v>
      </c>
      <c r="B228" t="s">
        <v>67</v>
      </c>
      <c r="C228" s="3">
        <v>45713.740868055553</v>
      </c>
      <c r="D228" t="s">
        <v>175</v>
      </c>
      <c r="E228" s="4">
        <v>0.5208609619140625</v>
      </c>
      <c r="F228" s="4">
        <v>350616.94162045419</v>
      </c>
      <c r="G228" s="4">
        <v>350617.46248141612</v>
      </c>
      <c r="H228" s="5">
        <f t="shared" si="2"/>
        <v>0</v>
      </c>
      <c r="I228" t="s">
        <v>179</v>
      </c>
      <c r="J228" t="s">
        <v>105</v>
      </c>
      <c r="K228" s="5">
        <f>60 / 86400</f>
        <v>6.9444444444444447E-4</v>
      </c>
      <c r="L228" s="5">
        <f>20 / 86400</f>
        <v>2.3148148148148149E-4</v>
      </c>
    </row>
    <row r="229" spans="1:12" x14ac:dyDescent="0.25">
      <c r="A229" s="3">
        <v>45713.741099537037</v>
      </c>
      <c r="B229" t="s">
        <v>175</v>
      </c>
      <c r="C229" s="3">
        <v>45713.741331018522</v>
      </c>
      <c r="D229" t="s">
        <v>209</v>
      </c>
      <c r="E229" s="4">
        <v>1.2261493563652038E-2</v>
      </c>
      <c r="F229" s="4">
        <v>350617.49565780821</v>
      </c>
      <c r="G229" s="4">
        <v>350617.50791930174</v>
      </c>
      <c r="H229" s="5">
        <f t="shared" si="2"/>
        <v>0</v>
      </c>
      <c r="I229" t="s">
        <v>141</v>
      </c>
      <c r="J229" t="s">
        <v>147</v>
      </c>
      <c r="K229" s="5">
        <f>20 / 86400</f>
        <v>2.3148148148148149E-4</v>
      </c>
      <c r="L229" s="5">
        <f>60 / 86400</f>
        <v>6.9444444444444447E-4</v>
      </c>
    </row>
    <row r="230" spans="1:12" x14ac:dyDescent="0.25">
      <c r="A230" s="3">
        <v>45713.742025462961</v>
      </c>
      <c r="B230" t="s">
        <v>209</v>
      </c>
      <c r="C230" s="3">
        <v>45713.742951388893</v>
      </c>
      <c r="D230" t="s">
        <v>175</v>
      </c>
      <c r="E230" s="4">
        <v>0.45184407973289492</v>
      </c>
      <c r="F230" s="4">
        <v>350617.52760413004</v>
      </c>
      <c r="G230" s="4">
        <v>350617.97944820975</v>
      </c>
      <c r="H230" s="5">
        <f t="shared" si="2"/>
        <v>0</v>
      </c>
      <c r="I230" t="s">
        <v>210</v>
      </c>
      <c r="J230" t="s">
        <v>111</v>
      </c>
      <c r="K230" s="5">
        <f>80 / 86400</f>
        <v>9.2592592592592596E-4</v>
      </c>
      <c r="L230" s="5">
        <f>60 / 86400</f>
        <v>6.9444444444444447E-4</v>
      </c>
    </row>
    <row r="231" spans="1:12" x14ac:dyDescent="0.25">
      <c r="A231" s="3">
        <v>45713.743645833332</v>
      </c>
      <c r="B231" t="s">
        <v>175</v>
      </c>
      <c r="C231" s="3">
        <v>45713.745497685188</v>
      </c>
      <c r="D231" t="s">
        <v>91</v>
      </c>
      <c r="E231" s="4">
        <v>1.419091538131237</v>
      </c>
      <c r="F231" s="4">
        <v>350618.09736776084</v>
      </c>
      <c r="G231" s="4">
        <v>350619.51645929896</v>
      </c>
      <c r="H231" s="5">
        <f t="shared" si="2"/>
        <v>0</v>
      </c>
      <c r="I231" t="s">
        <v>211</v>
      </c>
      <c r="J231" t="s">
        <v>131</v>
      </c>
      <c r="K231" s="5">
        <f>160 / 86400</f>
        <v>1.8518518518518519E-3</v>
      </c>
      <c r="L231" s="5">
        <f>40 / 86400</f>
        <v>4.6296296296296298E-4</v>
      </c>
    </row>
    <row r="232" spans="1:12" x14ac:dyDescent="0.25">
      <c r="A232" s="3">
        <v>45713.74596064815</v>
      </c>
      <c r="B232" t="s">
        <v>91</v>
      </c>
      <c r="C232" s="3">
        <v>45713.746423611112</v>
      </c>
      <c r="D232" t="s">
        <v>113</v>
      </c>
      <c r="E232" s="4">
        <v>0.33108557897806168</v>
      </c>
      <c r="F232" s="4">
        <v>350619.71406507789</v>
      </c>
      <c r="G232" s="4">
        <v>350620.04515065689</v>
      </c>
      <c r="H232" s="5">
        <f t="shared" si="2"/>
        <v>0</v>
      </c>
      <c r="I232" t="s">
        <v>208</v>
      </c>
      <c r="J232" t="s">
        <v>140</v>
      </c>
      <c r="K232" s="5">
        <f>40 / 86400</f>
        <v>4.6296296296296298E-4</v>
      </c>
      <c r="L232" s="5">
        <f>40 / 86400</f>
        <v>4.6296296296296298E-4</v>
      </c>
    </row>
    <row r="233" spans="1:12" x14ac:dyDescent="0.25">
      <c r="A233" s="3">
        <v>45713.746886574074</v>
      </c>
      <c r="B233" t="s">
        <v>113</v>
      </c>
      <c r="C233" s="3">
        <v>45713.74827546296</v>
      </c>
      <c r="D233" t="s">
        <v>91</v>
      </c>
      <c r="E233" s="4">
        <v>0.8073726008534432</v>
      </c>
      <c r="F233" s="4">
        <v>350620.08581394982</v>
      </c>
      <c r="G233" s="4">
        <v>350620.8931865507</v>
      </c>
      <c r="H233" s="5">
        <f t="shared" si="2"/>
        <v>0</v>
      </c>
      <c r="I233" t="s">
        <v>52</v>
      </c>
      <c r="J233" t="s">
        <v>119</v>
      </c>
      <c r="K233" s="5">
        <f>120 / 86400</f>
        <v>1.3888888888888889E-3</v>
      </c>
      <c r="L233" s="5">
        <f>40 / 86400</f>
        <v>4.6296296296296298E-4</v>
      </c>
    </row>
    <row r="234" spans="1:12" x14ac:dyDescent="0.25">
      <c r="A234" s="3">
        <v>45713.748738425929</v>
      </c>
      <c r="B234" t="s">
        <v>91</v>
      </c>
      <c r="C234" s="3">
        <v>45713.749201388884</v>
      </c>
      <c r="D234" t="s">
        <v>91</v>
      </c>
      <c r="E234" s="4">
        <v>0.41176679784059522</v>
      </c>
      <c r="F234" s="4">
        <v>350620.94174693857</v>
      </c>
      <c r="G234" s="4">
        <v>350621.35351373645</v>
      </c>
      <c r="H234" s="5">
        <f t="shared" si="2"/>
        <v>0</v>
      </c>
      <c r="I234" t="s">
        <v>63</v>
      </c>
      <c r="J234" t="s">
        <v>156</v>
      </c>
      <c r="K234" s="5">
        <f>40 / 86400</f>
        <v>4.6296296296296298E-4</v>
      </c>
      <c r="L234" s="5">
        <f>20 / 86400</f>
        <v>2.3148148148148149E-4</v>
      </c>
    </row>
    <row r="235" spans="1:12" x14ac:dyDescent="0.25">
      <c r="A235" s="3">
        <v>45713.749432870369</v>
      </c>
      <c r="B235" t="s">
        <v>91</v>
      </c>
      <c r="C235" s="3">
        <v>45713.750127314815</v>
      </c>
      <c r="D235" t="s">
        <v>91</v>
      </c>
      <c r="E235" s="4">
        <v>0.30594738888740541</v>
      </c>
      <c r="F235" s="4">
        <v>350621.50720847788</v>
      </c>
      <c r="G235" s="4">
        <v>350621.81315586675</v>
      </c>
      <c r="H235" s="5">
        <f t="shared" si="2"/>
        <v>0</v>
      </c>
      <c r="I235" t="s">
        <v>131</v>
      </c>
      <c r="J235" t="s">
        <v>26</v>
      </c>
      <c r="K235" s="5">
        <f>60 / 86400</f>
        <v>6.9444444444444447E-4</v>
      </c>
      <c r="L235" s="5">
        <f>20 / 86400</f>
        <v>2.3148148148148149E-4</v>
      </c>
    </row>
    <row r="236" spans="1:12" x14ac:dyDescent="0.25">
      <c r="A236" s="3">
        <v>45713.7503587963</v>
      </c>
      <c r="B236" t="s">
        <v>212</v>
      </c>
      <c r="C236" s="3">
        <v>45713.751284722224</v>
      </c>
      <c r="D236" t="s">
        <v>212</v>
      </c>
      <c r="E236" s="4">
        <v>1.1702698966264724</v>
      </c>
      <c r="F236" s="4">
        <v>350621.88918355596</v>
      </c>
      <c r="G236" s="4">
        <v>350623.05945345259</v>
      </c>
      <c r="H236" s="5">
        <f t="shared" si="2"/>
        <v>0</v>
      </c>
      <c r="I236" t="s">
        <v>94</v>
      </c>
      <c r="J236" t="s">
        <v>213</v>
      </c>
      <c r="K236" s="5">
        <f>80 / 86400</f>
        <v>9.2592592592592596E-4</v>
      </c>
      <c r="L236" s="5">
        <f>40 / 86400</f>
        <v>4.6296296296296298E-4</v>
      </c>
    </row>
    <row r="237" spans="1:12" x14ac:dyDescent="0.25">
      <c r="A237" s="3">
        <v>45713.751747685186</v>
      </c>
      <c r="B237" t="s">
        <v>214</v>
      </c>
      <c r="C237" s="3">
        <v>45713.752905092595</v>
      </c>
      <c r="D237" t="s">
        <v>212</v>
      </c>
      <c r="E237" s="4">
        <v>1.1391452187299729</v>
      </c>
      <c r="F237" s="4">
        <v>350623.11462616408</v>
      </c>
      <c r="G237" s="4">
        <v>350624.25377138279</v>
      </c>
      <c r="H237" s="5">
        <f t="shared" si="2"/>
        <v>0</v>
      </c>
      <c r="I237" t="s">
        <v>174</v>
      </c>
      <c r="J237" t="s">
        <v>215</v>
      </c>
      <c r="K237" s="5">
        <f>100 / 86400</f>
        <v>1.1574074074074073E-3</v>
      </c>
      <c r="L237" s="5">
        <f t="shared" ref="L237:L242" si="3">20 / 86400</f>
        <v>2.3148148148148149E-4</v>
      </c>
    </row>
    <row r="238" spans="1:12" x14ac:dyDescent="0.25">
      <c r="A238" s="3">
        <v>45713.753136574072</v>
      </c>
      <c r="B238" t="s">
        <v>212</v>
      </c>
      <c r="C238" s="3">
        <v>45713.753599537042</v>
      </c>
      <c r="D238" t="s">
        <v>212</v>
      </c>
      <c r="E238" s="4">
        <v>4.5856898188591004E-2</v>
      </c>
      <c r="F238" s="4">
        <v>350624.44570418808</v>
      </c>
      <c r="G238" s="4">
        <v>350624.49156108632</v>
      </c>
      <c r="H238" s="5">
        <f t="shared" si="2"/>
        <v>0</v>
      </c>
      <c r="I238" t="s">
        <v>182</v>
      </c>
      <c r="J238" t="s">
        <v>141</v>
      </c>
      <c r="K238" s="5">
        <f>40 / 86400</f>
        <v>4.6296296296296298E-4</v>
      </c>
      <c r="L238" s="5">
        <f t="shared" si="3"/>
        <v>2.3148148148148149E-4</v>
      </c>
    </row>
    <row r="239" spans="1:12" x14ac:dyDescent="0.25">
      <c r="A239" s="3">
        <v>45713.753831018519</v>
      </c>
      <c r="B239" t="s">
        <v>212</v>
      </c>
      <c r="C239" s="3">
        <v>45713.754293981481</v>
      </c>
      <c r="D239" t="s">
        <v>212</v>
      </c>
      <c r="E239" s="4">
        <v>0.33037872171401977</v>
      </c>
      <c r="F239" s="4">
        <v>350624.57263260812</v>
      </c>
      <c r="G239" s="4">
        <v>350624.90301132982</v>
      </c>
      <c r="H239" s="5">
        <f t="shared" si="2"/>
        <v>0</v>
      </c>
      <c r="I239" t="s">
        <v>153</v>
      </c>
      <c r="J239" t="s">
        <v>140</v>
      </c>
      <c r="K239" s="5">
        <f>40 / 86400</f>
        <v>4.6296296296296298E-4</v>
      </c>
      <c r="L239" s="5">
        <f t="shared" si="3"/>
        <v>2.3148148148148149E-4</v>
      </c>
    </row>
    <row r="240" spans="1:12" x14ac:dyDescent="0.25">
      <c r="A240" s="3">
        <v>45713.754525462966</v>
      </c>
      <c r="B240" t="s">
        <v>212</v>
      </c>
      <c r="C240" s="3">
        <v>45713.755219907413</v>
      </c>
      <c r="D240" t="s">
        <v>77</v>
      </c>
      <c r="E240" s="4">
        <v>0.40770291286706922</v>
      </c>
      <c r="F240" s="4">
        <v>350625.00434432569</v>
      </c>
      <c r="G240" s="4">
        <v>350625.41204723855</v>
      </c>
      <c r="H240" s="5">
        <f t="shared" si="2"/>
        <v>0</v>
      </c>
      <c r="I240" t="s">
        <v>156</v>
      </c>
      <c r="J240" t="s">
        <v>119</v>
      </c>
      <c r="K240" s="5">
        <f>60 / 86400</f>
        <v>6.9444444444444447E-4</v>
      </c>
      <c r="L240" s="5">
        <f t="shared" si="3"/>
        <v>2.3148148148148149E-4</v>
      </c>
    </row>
    <row r="241" spans="1:12" x14ac:dyDescent="0.25">
      <c r="A241" s="3">
        <v>45713.75545138889</v>
      </c>
      <c r="B241" t="s">
        <v>77</v>
      </c>
      <c r="C241" s="3">
        <v>45713.755682870367</v>
      </c>
      <c r="D241" t="s">
        <v>212</v>
      </c>
      <c r="E241" s="4">
        <v>0.1957913076877594</v>
      </c>
      <c r="F241" s="4">
        <v>350625.43282451876</v>
      </c>
      <c r="G241" s="4">
        <v>350625.62861582643</v>
      </c>
      <c r="H241" s="5">
        <f t="shared" si="2"/>
        <v>0</v>
      </c>
      <c r="I241" t="s">
        <v>92</v>
      </c>
      <c r="J241" t="s">
        <v>33</v>
      </c>
      <c r="K241" s="5">
        <f>20 / 86400</f>
        <v>2.3148148148148149E-4</v>
      </c>
      <c r="L241" s="5">
        <f t="shared" si="3"/>
        <v>2.3148148148148149E-4</v>
      </c>
    </row>
    <row r="242" spans="1:12" x14ac:dyDescent="0.25">
      <c r="A242" s="3">
        <v>45713.755914351852</v>
      </c>
      <c r="B242" t="s">
        <v>212</v>
      </c>
      <c r="C242" s="3">
        <v>45713.757881944446</v>
      </c>
      <c r="D242" t="s">
        <v>99</v>
      </c>
      <c r="E242" s="4">
        <v>1.8760765643715858</v>
      </c>
      <c r="F242" s="4">
        <v>350625.80550192465</v>
      </c>
      <c r="G242" s="4">
        <v>350627.68157848902</v>
      </c>
      <c r="H242" s="5">
        <f t="shared" si="2"/>
        <v>0</v>
      </c>
      <c r="I242" t="s">
        <v>37</v>
      </c>
      <c r="J242" t="s">
        <v>216</v>
      </c>
      <c r="K242" s="5">
        <f>170 / 86400</f>
        <v>1.9675925925925924E-3</v>
      </c>
      <c r="L242" s="5">
        <f t="shared" si="3"/>
        <v>2.3148148148148149E-4</v>
      </c>
    </row>
    <row r="243" spans="1:12" x14ac:dyDescent="0.25">
      <c r="A243" s="3">
        <v>45713.758113425924</v>
      </c>
      <c r="B243" t="s">
        <v>99</v>
      </c>
      <c r="C243" s="3">
        <v>45713.758576388893</v>
      </c>
      <c r="D243" t="s">
        <v>99</v>
      </c>
      <c r="E243" s="4">
        <v>4.9096832454204556E-2</v>
      </c>
      <c r="F243" s="4">
        <v>350627.70136533119</v>
      </c>
      <c r="G243" s="4">
        <v>350627.75046216365</v>
      </c>
      <c r="H243" s="5">
        <f t="shared" si="2"/>
        <v>0</v>
      </c>
      <c r="I243" t="s">
        <v>134</v>
      </c>
      <c r="J243" t="s">
        <v>141</v>
      </c>
      <c r="K243" s="5">
        <f>40 / 86400</f>
        <v>4.6296296296296298E-4</v>
      </c>
      <c r="L243" s="5">
        <f>5 / 86400</f>
        <v>5.7870370370370373E-5</v>
      </c>
    </row>
    <row r="244" spans="1:12" x14ac:dyDescent="0.25">
      <c r="A244" s="3">
        <v>45713.758634259255</v>
      </c>
      <c r="B244" t="s">
        <v>99</v>
      </c>
      <c r="C244" s="3">
        <v>45713.75886574074</v>
      </c>
      <c r="D244" t="s">
        <v>99</v>
      </c>
      <c r="E244" s="4">
        <v>1.7157986223697661E-2</v>
      </c>
      <c r="F244" s="4">
        <v>350627.75368091738</v>
      </c>
      <c r="G244" s="4">
        <v>350627.77083890361</v>
      </c>
      <c r="H244" s="5">
        <f t="shared" si="2"/>
        <v>0</v>
      </c>
      <c r="I244" t="s">
        <v>97</v>
      </c>
      <c r="J244" t="s">
        <v>106</v>
      </c>
      <c r="K244" s="5">
        <f>20 / 86400</f>
        <v>2.3148148148148149E-4</v>
      </c>
      <c r="L244" s="5">
        <f>20 / 86400</f>
        <v>2.3148148148148149E-4</v>
      </c>
    </row>
    <row r="245" spans="1:12" x14ac:dyDescent="0.25">
      <c r="A245" s="3">
        <v>45713.759097222224</v>
      </c>
      <c r="B245" t="s">
        <v>99</v>
      </c>
      <c r="C245" s="3">
        <v>45713.759571759263</v>
      </c>
      <c r="D245" t="s">
        <v>99</v>
      </c>
      <c r="E245" s="4">
        <v>7.0101396977901465E-2</v>
      </c>
      <c r="F245" s="4">
        <v>350627.83039095468</v>
      </c>
      <c r="G245" s="4">
        <v>350627.90049235168</v>
      </c>
      <c r="H245" s="5">
        <f t="shared" si="2"/>
        <v>0</v>
      </c>
      <c r="I245" t="s">
        <v>76</v>
      </c>
      <c r="J245" t="s">
        <v>145</v>
      </c>
      <c r="K245" s="5">
        <f>41 / 86400</f>
        <v>4.7453703703703704E-4</v>
      </c>
      <c r="L245" s="5">
        <f>20 / 86400</f>
        <v>2.3148148148148149E-4</v>
      </c>
    </row>
    <row r="246" spans="1:12" x14ac:dyDescent="0.25">
      <c r="A246" s="3">
        <v>45713.75980324074</v>
      </c>
      <c r="B246" t="s">
        <v>99</v>
      </c>
      <c r="C246" s="3">
        <v>45713.760717592595</v>
      </c>
      <c r="D246" t="s">
        <v>99</v>
      </c>
      <c r="E246" s="4">
        <v>0.18377421754598616</v>
      </c>
      <c r="F246" s="4">
        <v>350627.92207474459</v>
      </c>
      <c r="G246" s="4">
        <v>350628.10584896215</v>
      </c>
      <c r="H246" s="5">
        <f t="shared" si="2"/>
        <v>0</v>
      </c>
      <c r="I246" t="s">
        <v>92</v>
      </c>
      <c r="J246" t="s">
        <v>97</v>
      </c>
      <c r="K246" s="5">
        <f>79 / 86400</f>
        <v>9.1435185185185185E-4</v>
      </c>
      <c r="L246" s="5">
        <f>40 / 86400</f>
        <v>4.6296296296296298E-4</v>
      </c>
    </row>
    <row r="247" spans="1:12" x14ac:dyDescent="0.25">
      <c r="A247" s="3">
        <v>45713.761180555557</v>
      </c>
      <c r="B247" t="s">
        <v>99</v>
      </c>
      <c r="C247" s="3">
        <v>45713.762337962966</v>
      </c>
      <c r="D247" t="s">
        <v>99</v>
      </c>
      <c r="E247" s="4">
        <v>0.20240584129095077</v>
      </c>
      <c r="F247" s="4">
        <v>350628.17243774841</v>
      </c>
      <c r="G247" s="4">
        <v>350628.37484358973</v>
      </c>
      <c r="H247" s="5">
        <f t="shared" si="2"/>
        <v>0</v>
      </c>
      <c r="I247" t="s">
        <v>111</v>
      </c>
      <c r="J247" t="s">
        <v>34</v>
      </c>
      <c r="K247" s="5">
        <f>100 / 86400</f>
        <v>1.1574074074074073E-3</v>
      </c>
      <c r="L247" s="5">
        <f>13 / 86400</f>
        <v>1.5046296296296297E-4</v>
      </c>
    </row>
    <row r="248" spans="1:12" x14ac:dyDescent="0.25">
      <c r="A248" s="3">
        <v>45713.762488425928</v>
      </c>
      <c r="B248" t="s">
        <v>99</v>
      </c>
      <c r="C248" s="3">
        <v>45713.762719907405</v>
      </c>
      <c r="D248" t="s">
        <v>99</v>
      </c>
      <c r="E248" s="4">
        <v>1.0058715164661407E-2</v>
      </c>
      <c r="F248" s="4">
        <v>350628.3790795558</v>
      </c>
      <c r="G248" s="4">
        <v>350628.38913827098</v>
      </c>
      <c r="H248" s="5">
        <f t="shared" si="2"/>
        <v>0</v>
      </c>
      <c r="I248" t="s">
        <v>146</v>
      </c>
      <c r="J248" t="s">
        <v>147</v>
      </c>
      <c r="K248" s="5">
        <f>20 / 86400</f>
        <v>2.3148148148148149E-4</v>
      </c>
      <c r="L248" s="5">
        <f>20 / 86400</f>
        <v>2.3148148148148149E-4</v>
      </c>
    </row>
    <row r="249" spans="1:12" x14ac:dyDescent="0.25">
      <c r="A249" s="3">
        <v>45713.76295138889</v>
      </c>
      <c r="B249" t="s">
        <v>99</v>
      </c>
      <c r="C249" s="3">
        <v>45713.763182870374</v>
      </c>
      <c r="D249" t="s">
        <v>217</v>
      </c>
      <c r="E249" s="4">
        <v>4.8404567599296573E-2</v>
      </c>
      <c r="F249" s="4">
        <v>350628.44945827877</v>
      </c>
      <c r="G249" s="4">
        <v>350628.49786284636</v>
      </c>
      <c r="H249" s="5">
        <f t="shared" si="2"/>
        <v>0</v>
      </c>
      <c r="I249" t="s">
        <v>32</v>
      </c>
      <c r="J249" t="s">
        <v>64</v>
      </c>
      <c r="K249" s="5">
        <f>20 / 86400</f>
        <v>2.3148148148148149E-4</v>
      </c>
      <c r="L249" s="5">
        <f>13 / 86400</f>
        <v>1.5046296296296297E-4</v>
      </c>
    </row>
    <row r="250" spans="1:12" x14ac:dyDescent="0.25">
      <c r="A250" s="3">
        <v>45713.763333333336</v>
      </c>
      <c r="B250" t="s">
        <v>217</v>
      </c>
      <c r="C250" s="3">
        <v>45713.763564814813</v>
      </c>
      <c r="D250" t="s">
        <v>217</v>
      </c>
      <c r="E250" s="4">
        <v>2.1465647399425507E-2</v>
      </c>
      <c r="F250" s="4">
        <v>350628.50493646751</v>
      </c>
      <c r="G250" s="4">
        <v>350628.52640211495</v>
      </c>
      <c r="H250" s="5">
        <f t="shared" si="2"/>
        <v>0</v>
      </c>
      <c r="I250" t="s">
        <v>64</v>
      </c>
      <c r="J250" t="s">
        <v>141</v>
      </c>
      <c r="K250" s="5">
        <f>20 / 86400</f>
        <v>2.3148148148148149E-4</v>
      </c>
      <c r="L250" s="5">
        <f>40 / 86400</f>
        <v>4.6296296296296298E-4</v>
      </c>
    </row>
    <row r="251" spans="1:12" x14ac:dyDescent="0.25">
      <c r="A251" s="3">
        <v>45713.764027777783</v>
      </c>
      <c r="B251" t="s">
        <v>217</v>
      </c>
      <c r="C251" s="3">
        <v>45713.764502314814</v>
      </c>
      <c r="D251" t="s">
        <v>217</v>
      </c>
      <c r="E251" s="4">
        <v>0.10050826525688171</v>
      </c>
      <c r="F251" s="4">
        <v>350628.55524811544</v>
      </c>
      <c r="G251" s="4">
        <v>350628.6557563807</v>
      </c>
      <c r="H251" s="5">
        <f t="shared" si="2"/>
        <v>0</v>
      </c>
      <c r="I251" t="s">
        <v>92</v>
      </c>
      <c r="J251" t="s">
        <v>64</v>
      </c>
      <c r="K251" s="5">
        <f>41 / 86400</f>
        <v>4.7453703703703704E-4</v>
      </c>
      <c r="L251" s="5">
        <f>60 / 86400</f>
        <v>6.9444444444444447E-4</v>
      </c>
    </row>
    <row r="252" spans="1:12" x14ac:dyDescent="0.25">
      <c r="A252" s="3">
        <v>45713.765196759261</v>
      </c>
      <c r="B252" t="s">
        <v>218</v>
      </c>
      <c r="C252" s="3">
        <v>45713.7658912037</v>
      </c>
      <c r="D252" t="s">
        <v>219</v>
      </c>
      <c r="E252" s="4">
        <v>5.3585480153560641E-2</v>
      </c>
      <c r="F252" s="4">
        <v>350628.70809516305</v>
      </c>
      <c r="G252" s="4">
        <v>350628.76168064319</v>
      </c>
      <c r="H252" s="5">
        <f t="shared" si="2"/>
        <v>0</v>
      </c>
      <c r="I252" t="s">
        <v>146</v>
      </c>
      <c r="J252" t="s">
        <v>106</v>
      </c>
      <c r="K252" s="5">
        <f>60 / 86400</f>
        <v>6.9444444444444447E-4</v>
      </c>
      <c r="L252" s="5">
        <f>20 / 86400</f>
        <v>2.3148148148148149E-4</v>
      </c>
    </row>
    <row r="253" spans="1:12" x14ac:dyDescent="0.25">
      <c r="A253" s="3">
        <v>45713.766122685185</v>
      </c>
      <c r="B253" t="s">
        <v>220</v>
      </c>
      <c r="C253" s="3">
        <v>45713.766585648147</v>
      </c>
      <c r="D253" t="s">
        <v>220</v>
      </c>
      <c r="E253" s="4">
        <v>5.5214699327945711E-2</v>
      </c>
      <c r="F253" s="4">
        <v>350628.7958760421</v>
      </c>
      <c r="G253" s="4">
        <v>350628.85109074146</v>
      </c>
      <c r="H253" s="5">
        <f t="shared" si="2"/>
        <v>0</v>
      </c>
      <c r="I253" t="s">
        <v>92</v>
      </c>
      <c r="J253" t="s">
        <v>146</v>
      </c>
      <c r="K253" s="5">
        <f>40 / 86400</f>
        <v>4.6296296296296298E-4</v>
      </c>
      <c r="L253" s="5">
        <f>20 / 86400</f>
        <v>2.3148148148148149E-4</v>
      </c>
    </row>
    <row r="254" spans="1:12" x14ac:dyDescent="0.25">
      <c r="A254" s="3">
        <v>45713.766817129625</v>
      </c>
      <c r="B254" t="s">
        <v>221</v>
      </c>
      <c r="C254" s="3">
        <v>45713.771261574075</v>
      </c>
      <c r="D254" t="s">
        <v>222</v>
      </c>
      <c r="E254" s="4">
        <v>1.5971804497241975</v>
      </c>
      <c r="F254" s="4">
        <v>350628.90846082923</v>
      </c>
      <c r="G254" s="4">
        <v>350630.50564127899</v>
      </c>
      <c r="H254" s="5">
        <f t="shared" si="2"/>
        <v>0</v>
      </c>
      <c r="I254" t="s">
        <v>187</v>
      </c>
      <c r="J254" t="s">
        <v>76</v>
      </c>
      <c r="K254" s="5">
        <f>384 / 86400</f>
        <v>4.4444444444444444E-3</v>
      </c>
      <c r="L254" s="5">
        <f>100 / 86400</f>
        <v>1.1574074074074073E-3</v>
      </c>
    </row>
    <row r="255" spans="1:12" x14ac:dyDescent="0.25">
      <c r="A255" s="3">
        <v>45713.772418981476</v>
      </c>
      <c r="B255" t="s">
        <v>222</v>
      </c>
      <c r="C255" s="3">
        <v>45713.776585648149</v>
      </c>
      <c r="D255" t="s">
        <v>223</v>
      </c>
      <c r="E255" s="4">
        <v>2.3810654454231264</v>
      </c>
      <c r="F255" s="4">
        <v>350630.51429678057</v>
      </c>
      <c r="G255" s="4">
        <v>350632.895362226</v>
      </c>
      <c r="H255" s="5">
        <f t="shared" si="2"/>
        <v>0</v>
      </c>
      <c r="I255" t="s">
        <v>162</v>
      </c>
      <c r="J255" t="s">
        <v>119</v>
      </c>
      <c r="K255" s="5">
        <f>360 / 86400</f>
        <v>4.1666666666666666E-3</v>
      </c>
      <c r="L255" s="5">
        <f>40 / 86400</f>
        <v>4.6296296296296298E-4</v>
      </c>
    </row>
    <row r="256" spans="1:12" x14ac:dyDescent="0.25">
      <c r="A256" s="3">
        <v>45713.777048611111</v>
      </c>
      <c r="B256" t="s">
        <v>224</v>
      </c>
      <c r="C256" s="3">
        <v>45713.777280092589</v>
      </c>
      <c r="D256" t="s">
        <v>224</v>
      </c>
      <c r="E256" s="4">
        <v>0.1307118412256241</v>
      </c>
      <c r="F256" s="4">
        <v>350633.03374685568</v>
      </c>
      <c r="G256" s="4">
        <v>350633.16445869691</v>
      </c>
      <c r="H256" s="5">
        <f t="shared" ref="H256:H287" si="4">0 / 86400</f>
        <v>0</v>
      </c>
      <c r="I256" t="s">
        <v>216</v>
      </c>
      <c r="J256" t="s">
        <v>119</v>
      </c>
      <c r="K256" s="5">
        <f>20 / 86400</f>
        <v>2.3148148148148149E-4</v>
      </c>
      <c r="L256" s="5">
        <f>20 / 86400</f>
        <v>2.3148148148148149E-4</v>
      </c>
    </row>
    <row r="257" spans="1:12" x14ac:dyDescent="0.25">
      <c r="A257" s="3">
        <v>45713.777511574073</v>
      </c>
      <c r="B257" t="s">
        <v>224</v>
      </c>
      <c r="C257" s="3">
        <v>45713.777974537035</v>
      </c>
      <c r="D257" t="s">
        <v>225</v>
      </c>
      <c r="E257" s="4">
        <v>0.24100608569383622</v>
      </c>
      <c r="F257" s="4">
        <v>350633.22607462044</v>
      </c>
      <c r="G257" s="4">
        <v>350633.46708070615</v>
      </c>
      <c r="H257" s="5">
        <f t="shared" si="4"/>
        <v>0</v>
      </c>
      <c r="I257" t="s">
        <v>105</v>
      </c>
      <c r="J257" t="s">
        <v>136</v>
      </c>
      <c r="K257" s="5">
        <f>40 / 86400</f>
        <v>4.6296296296296298E-4</v>
      </c>
      <c r="L257" s="5">
        <f>14 / 86400</f>
        <v>1.6203703703703703E-4</v>
      </c>
    </row>
    <row r="258" spans="1:12" x14ac:dyDescent="0.25">
      <c r="A258" s="3">
        <v>45713.778136574074</v>
      </c>
      <c r="B258" t="s">
        <v>226</v>
      </c>
      <c r="C258" s="3">
        <v>45713.778368055559</v>
      </c>
      <c r="D258" t="s">
        <v>226</v>
      </c>
      <c r="E258" s="4">
        <v>1.2131367206573486E-2</v>
      </c>
      <c r="F258" s="4">
        <v>350633.47228469123</v>
      </c>
      <c r="G258" s="4">
        <v>350633.4844160584</v>
      </c>
      <c r="H258" s="5">
        <f t="shared" si="4"/>
        <v>0</v>
      </c>
      <c r="I258" t="s">
        <v>146</v>
      </c>
      <c r="J258" t="s">
        <v>147</v>
      </c>
      <c r="K258" s="5">
        <f>20 / 86400</f>
        <v>2.3148148148148149E-4</v>
      </c>
      <c r="L258" s="5">
        <f>40 / 86400</f>
        <v>4.6296296296296298E-4</v>
      </c>
    </row>
    <row r="259" spans="1:12" x14ac:dyDescent="0.25">
      <c r="A259" s="3">
        <v>45713.778831018513</v>
      </c>
      <c r="B259" t="s">
        <v>226</v>
      </c>
      <c r="C259" s="3">
        <v>45713.780451388884</v>
      </c>
      <c r="D259" t="s">
        <v>227</v>
      </c>
      <c r="E259" s="4">
        <v>0.7605169615745544</v>
      </c>
      <c r="F259" s="4">
        <v>350633.52539815434</v>
      </c>
      <c r="G259" s="4">
        <v>350634.28591511591</v>
      </c>
      <c r="H259" s="5">
        <f t="shared" si="4"/>
        <v>0</v>
      </c>
      <c r="I259" t="s">
        <v>228</v>
      </c>
      <c r="J259" t="s">
        <v>111</v>
      </c>
      <c r="K259" s="5">
        <f>140 / 86400</f>
        <v>1.6203703703703703E-3</v>
      </c>
      <c r="L259" s="5">
        <f>20 / 86400</f>
        <v>2.3148148148148149E-4</v>
      </c>
    </row>
    <row r="260" spans="1:12" x14ac:dyDescent="0.25">
      <c r="A260" s="3">
        <v>45713.780682870369</v>
      </c>
      <c r="B260" t="s">
        <v>229</v>
      </c>
      <c r="C260" s="3">
        <v>45713.7816087963</v>
      </c>
      <c r="D260" t="s">
        <v>230</v>
      </c>
      <c r="E260" s="4">
        <v>0.51055773234367374</v>
      </c>
      <c r="F260" s="4">
        <v>350634.30830075912</v>
      </c>
      <c r="G260" s="4">
        <v>350634.81885849149</v>
      </c>
      <c r="H260" s="5">
        <f t="shared" si="4"/>
        <v>0</v>
      </c>
      <c r="I260" t="s">
        <v>189</v>
      </c>
      <c r="J260" t="s">
        <v>38</v>
      </c>
      <c r="K260" s="5">
        <f>80 / 86400</f>
        <v>9.2592592592592596E-4</v>
      </c>
      <c r="L260" s="5">
        <f>20 / 86400</f>
        <v>2.3148148148148149E-4</v>
      </c>
    </row>
    <row r="261" spans="1:12" x14ac:dyDescent="0.25">
      <c r="A261" s="3">
        <v>45713.781840277778</v>
      </c>
      <c r="B261" t="s">
        <v>230</v>
      </c>
      <c r="C261" s="3">
        <v>45713.78230324074</v>
      </c>
      <c r="D261" t="s">
        <v>230</v>
      </c>
      <c r="E261" s="4">
        <v>0.40954612576961519</v>
      </c>
      <c r="F261" s="4">
        <v>350634.86840820569</v>
      </c>
      <c r="G261" s="4">
        <v>350635.27795433148</v>
      </c>
      <c r="H261" s="5">
        <f t="shared" si="4"/>
        <v>0</v>
      </c>
      <c r="I261" t="s">
        <v>208</v>
      </c>
      <c r="J261" t="s">
        <v>156</v>
      </c>
      <c r="K261" s="5">
        <f>40 / 86400</f>
        <v>4.6296296296296298E-4</v>
      </c>
      <c r="L261" s="5">
        <f>20 / 86400</f>
        <v>2.3148148148148149E-4</v>
      </c>
    </row>
    <row r="262" spans="1:12" x14ac:dyDescent="0.25">
      <c r="A262" s="3">
        <v>45713.782534722224</v>
      </c>
      <c r="B262" t="s">
        <v>231</v>
      </c>
      <c r="C262" s="3">
        <v>45713.786377314813</v>
      </c>
      <c r="D262" t="s">
        <v>232</v>
      </c>
      <c r="E262" s="4">
        <v>1.9188508166074754</v>
      </c>
      <c r="F262" s="4">
        <v>350635.35352472262</v>
      </c>
      <c r="G262" s="4">
        <v>350637.27237553924</v>
      </c>
      <c r="H262" s="5">
        <f t="shared" si="4"/>
        <v>0</v>
      </c>
      <c r="I262" t="s">
        <v>215</v>
      </c>
      <c r="J262" t="s">
        <v>125</v>
      </c>
      <c r="K262" s="5">
        <f>332 / 86400</f>
        <v>3.8425925925925928E-3</v>
      </c>
      <c r="L262" s="5">
        <f>40 / 86400</f>
        <v>4.6296296296296298E-4</v>
      </c>
    </row>
    <row r="263" spans="1:12" x14ac:dyDescent="0.25">
      <c r="A263" s="3">
        <v>45713.786840277782</v>
      </c>
      <c r="B263" t="s">
        <v>232</v>
      </c>
      <c r="C263" s="3">
        <v>45713.787303240737</v>
      </c>
      <c r="D263" t="s">
        <v>232</v>
      </c>
      <c r="E263" s="4">
        <v>3.9415344297885894E-2</v>
      </c>
      <c r="F263" s="4">
        <v>350637.27950278897</v>
      </c>
      <c r="G263" s="4">
        <v>350637.31891813327</v>
      </c>
      <c r="H263" s="5">
        <f t="shared" si="4"/>
        <v>0</v>
      </c>
      <c r="I263" t="s">
        <v>141</v>
      </c>
      <c r="J263" t="s">
        <v>141</v>
      </c>
      <c r="K263" s="5">
        <f>40 / 86400</f>
        <v>4.6296296296296298E-4</v>
      </c>
      <c r="L263" s="5">
        <f>120 / 86400</f>
        <v>1.3888888888888889E-3</v>
      </c>
    </row>
    <row r="264" spans="1:12" x14ac:dyDescent="0.25">
      <c r="A264" s="3">
        <v>45713.78869212963</v>
      </c>
      <c r="B264" t="s">
        <v>232</v>
      </c>
      <c r="C264" s="3">
        <v>45713.788923611108</v>
      </c>
      <c r="D264" t="s">
        <v>232</v>
      </c>
      <c r="E264" s="4">
        <v>5.2601153850555422E-3</v>
      </c>
      <c r="F264" s="4">
        <v>350637.34595831163</v>
      </c>
      <c r="G264" s="4">
        <v>350637.35121842701</v>
      </c>
      <c r="H264" s="5">
        <f t="shared" si="4"/>
        <v>0</v>
      </c>
      <c r="I264" t="s">
        <v>144</v>
      </c>
      <c r="J264" t="s">
        <v>144</v>
      </c>
      <c r="K264" s="5">
        <f t="shared" ref="K264:K269" si="5">20 / 86400</f>
        <v>2.3148148148148149E-4</v>
      </c>
      <c r="L264" s="5">
        <f>120 / 86400</f>
        <v>1.3888888888888889E-3</v>
      </c>
    </row>
    <row r="265" spans="1:12" x14ac:dyDescent="0.25">
      <c r="A265" s="3">
        <v>45713.790312500001</v>
      </c>
      <c r="B265" t="s">
        <v>232</v>
      </c>
      <c r="C265" s="3">
        <v>45713.790543981479</v>
      </c>
      <c r="D265" t="s">
        <v>232</v>
      </c>
      <c r="E265" s="4">
        <v>2.5921221375465394E-3</v>
      </c>
      <c r="F265" s="4">
        <v>350637.38101303997</v>
      </c>
      <c r="G265" s="4">
        <v>350637.38360516209</v>
      </c>
      <c r="H265" s="5">
        <f t="shared" si="4"/>
        <v>0</v>
      </c>
      <c r="I265" t="s">
        <v>145</v>
      </c>
      <c r="J265" t="s">
        <v>22</v>
      </c>
      <c r="K265" s="5">
        <f t="shared" si="5"/>
        <v>2.3148148148148149E-4</v>
      </c>
      <c r="L265" s="5">
        <f>120 / 86400</f>
        <v>1.3888888888888889E-3</v>
      </c>
    </row>
    <row r="266" spans="1:12" x14ac:dyDescent="0.25">
      <c r="A266" s="3">
        <v>45713.791932870372</v>
      </c>
      <c r="B266" t="s">
        <v>232</v>
      </c>
      <c r="C266" s="3">
        <v>45713.792164351849</v>
      </c>
      <c r="D266" t="s">
        <v>232</v>
      </c>
      <c r="E266" s="4">
        <v>1.1518203437328338E-2</v>
      </c>
      <c r="F266" s="4">
        <v>350637.42613989563</v>
      </c>
      <c r="G266" s="4">
        <v>350637.43765809905</v>
      </c>
      <c r="H266" s="5">
        <f t="shared" si="4"/>
        <v>0</v>
      </c>
      <c r="I266" t="s">
        <v>147</v>
      </c>
      <c r="J266" t="s">
        <v>147</v>
      </c>
      <c r="K266" s="5">
        <f t="shared" si="5"/>
        <v>2.3148148148148149E-4</v>
      </c>
      <c r="L266" s="5">
        <f>220 / 86400</f>
        <v>2.5462962962962965E-3</v>
      </c>
    </row>
    <row r="267" spans="1:12" x14ac:dyDescent="0.25">
      <c r="A267" s="3">
        <v>45713.794710648144</v>
      </c>
      <c r="B267" t="s">
        <v>233</v>
      </c>
      <c r="C267" s="3">
        <v>45713.794942129629</v>
      </c>
      <c r="D267" t="s">
        <v>232</v>
      </c>
      <c r="E267" s="4">
        <v>1.4386434733867645E-2</v>
      </c>
      <c r="F267" s="4">
        <v>350637.49153898761</v>
      </c>
      <c r="G267" s="4">
        <v>350637.50592542236</v>
      </c>
      <c r="H267" s="5">
        <f t="shared" si="4"/>
        <v>0</v>
      </c>
      <c r="I267" t="s">
        <v>141</v>
      </c>
      <c r="J267" t="s">
        <v>106</v>
      </c>
      <c r="K267" s="5">
        <f t="shared" si="5"/>
        <v>2.3148148148148149E-4</v>
      </c>
      <c r="L267" s="5">
        <f>100 / 86400</f>
        <v>1.1574074074074073E-3</v>
      </c>
    </row>
    <row r="268" spans="1:12" x14ac:dyDescent="0.25">
      <c r="A268" s="3">
        <v>45713.796099537038</v>
      </c>
      <c r="B268" t="s">
        <v>232</v>
      </c>
      <c r="C268" s="3">
        <v>45713.796331018515</v>
      </c>
      <c r="D268" t="s">
        <v>232</v>
      </c>
      <c r="E268" s="4">
        <v>6.4008409976959229E-3</v>
      </c>
      <c r="F268" s="4">
        <v>350637.54275550222</v>
      </c>
      <c r="G268" s="4">
        <v>350637.54915634322</v>
      </c>
      <c r="H268" s="5">
        <f t="shared" si="4"/>
        <v>0</v>
      </c>
      <c r="I268" t="s">
        <v>145</v>
      </c>
      <c r="J268" t="s">
        <v>144</v>
      </c>
      <c r="K268" s="5">
        <f t="shared" si="5"/>
        <v>2.3148148148148149E-4</v>
      </c>
      <c r="L268" s="5">
        <f>421 / 86400</f>
        <v>4.8726851851851848E-3</v>
      </c>
    </row>
    <row r="269" spans="1:12" x14ac:dyDescent="0.25">
      <c r="A269" s="3">
        <v>45713.801203703704</v>
      </c>
      <c r="B269" t="s">
        <v>232</v>
      </c>
      <c r="C269" s="3">
        <v>45713.801435185189</v>
      </c>
      <c r="D269" t="s">
        <v>232</v>
      </c>
      <c r="E269" s="4">
        <v>2.7776188850402832E-3</v>
      </c>
      <c r="F269" s="4">
        <v>350637.63467054919</v>
      </c>
      <c r="G269" s="4">
        <v>350637.63744816813</v>
      </c>
      <c r="H269" s="5">
        <f t="shared" si="4"/>
        <v>0</v>
      </c>
      <c r="I269" t="s">
        <v>144</v>
      </c>
      <c r="J269" t="s">
        <v>22</v>
      </c>
      <c r="K269" s="5">
        <f t="shared" si="5"/>
        <v>2.3148148148148149E-4</v>
      </c>
      <c r="L269" s="5">
        <f>40 / 86400</f>
        <v>4.6296296296296298E-4</v>
      </c>
    </row>
    <row r="270" spans="1:12" x14ac:dyDescent="0.25">
      <c r="A270" s="3">
        <v>45713.801898148144</v>
      </c>
      <c r="B270" t="s">
        <v>234</v>
      </c>
      <c r="C270" s="3">
        <v>45713.802361111113</v>
      </c>
      <c r="D270" t="s">
        <v>233</v>
      </c>
      <c r="E270" s="4">
        <v>2.5540976524353026E-2</v>
      </c>
      <c r="F270" s="4">
        <v>350637.6410991333</v>
      </c>
      <c r="G270" s="4">
        <v>350637.66664010985</v>
      </c>
      <c r="H270" s="5">
        <f t="shared" si="4"/>
        <v>0</v>
      </c>
      <c r="I270" t="s">
        <v>97</v>
      </c>
      <c r="J270" t="s">
        <v>147</v>
      </c>
      <c r="K270" s="5">
        <f>40 / 86400</f>
        <v>4.6296296296296298E-4</v>
      </c>
      <c r="L270" s="5">
        <f>20 / 86400</f>
        <v>2.3148148148148149E-4</v>
      </c>
    </row>
    <row r="271" spans="1:12" x14ac:dyDescent="0.25">
      <c r="A271" s="3">
        <v>45713.80259259259</v>
      </c>
      <c r="B271" t="s">
        <v>80</v>
      </c>
      <c r="C271" s="3">
        <v>45713.802824074075</v>
      </c>
      <c r="D271" t="s">
        <v>233</v>
      </c>
      <c r="E271" s="4">
        <v>7.8151913285255427E-3</v>
      </c>
      <c r="F271" s="4">
        <v>350637.67274627398</v>
      </c>
      <c r="G271" s="4">
        <v>350637.68056146533</v>
      </c>
      <c r="H271" s="5">
        <f t="shared" si="4"/>
        <v>0</v>
      </c>
      <c r="I271" t="s">
        <v>147</v>
      </c>
      <c r="J271" t="s">
        <v>144</v>
      </c>
      <c r="K271" s="5">
        <f>20 / 86400</f>
        <v>2.3148148148148149E-4</v>
      </c>
      <c r="L271" s="5">
        <f>60 / 86400</f>
        <v>6.9444444444444447E-4</v>
      </c>
    </row>
    <row r="272" spans="1:12" x14ac:dyDescent="0.25">
      <c r="A272" s="3">
        <v>45713.803518518514</v>
      </c>
      <c r="B272" t="s">
        <v>235</v>
      </c>
      <c r="C272" s="3">
        <v>45713.803749999999</v>
      </c>
      <c r="D272" t="s">
        <v>80</v>
      </c>
      <c r="E272" s="4">
        <v>1.4690945148468018E-2</v>
      </c>
      <c r="F272" s="4">
        <v>350637.71035759477</v>
      </c>
      <c r="G272" s="4">
        <v>350637.72504853993</v>
      </c>
      <c r="H272" s="5">
        <f t="shared" si="4"/>
        <v>0</v>
      </c>
      <c r="I272" t="s">
        <v>144</v>
      </c>
      <c r="J272" t="s">
        <v>106</v>
      </c>
      <c r="K272" s="5">
        <f>20 / 86400</f>
        <v>2.3148148148148149E-4</v>
      </c>
      <c r="L272" s="5">
        <f>120 / 86400</f>
        <v>1.3888888888888889E-3</v>
      </c>
    </row>
    <row r="273" spans="1:12" x14ac:dyDescent="0.25">
      <c r="A273" s="3">
        <v>45713.805138888885</v>
      </c>
      <c r="B273" t="s">
        <v>80</v>
      </c>
      <c r="C273" s="3">
        <v>45713.80537037037</v>
      </c>
      <c r="D273" t="s">
        <v>80</v>
      </c>
      <c r="E273" s="4">
        <v>1.992494583129883E-3</v>
      </c>
      <c r="F273" s="4">
        <v>350637.75576427917</v>
      </c>
      <c r="G273" s="4">
        <v>350637.75775677379</v>
      </c>
      <c r="H273" s="5">
        <f t="shared" si="4"/>
        <v>0</v>
      </c>
      <c r="I273" t="s">
        <v>144</v>
      </c>
      <c r="J273" t="s">
        <v>22</v>
      </c>
      <c r="K273" s="5">
        <f>20 / 86400</f>
        <v>2.3148148148148149E-4</v>
      </c>
      <c r="L273" s="5">
        <f>20 / 86400</f>
        <v>2.3148148148148149E-4</v>
      </c>
    </row>
    <row r="274" spans="1:12" x14ac:dyDescent="0.25">
      <c r="A274" s="3">
        <v>45713.805601851855</v>
      </c>
      <c r="B274" t="s">
        <v>80</v>
      </c>
      <c r="C274" s="3">
        <v>45713.806064814809</v>
      </c>
      <c r="D274" t="s">
        <v>80</v>
      </c>
      <c r="E274" s="4">
        <v>1.1604473292827606E-2</v>
      </c>
      <c r="F274" s="4">
        <v>350637.7612846304</v>
      </c>
      <c r="G274" s="4">
        <v>350637.77288910368</v>
      </c>
      <c r="H274" s="5">
        <f t="shared" si="4"/>
        <v>0</v>
      </c>
      <c r="I274" t="s">
        <v>147</v>
      </c>
      <c r="J274" t="s">
        <v>144</v>
      </c>
      <c r="K274" s="5">
        <f>40 / 86400</f>
        <v>4.6296296296296298E-4</v>
      </c>
      <c r="L274" s="5">
        <f>106 / 86400</f>
        <v>1.2268518518518518E-3</v>
      </c>
    </row>
    <row r="275" spans="1:12" x14ac:dyDescent="0.25">
      <c r="A275" s="3">
        <v>45713.807291666672</v>
      </c>
      <c r="B275" t="s">
        <v>80</v>
      </c>
      <c r="C275" s="3">
        <v>45713.807523148149</v>
      </c>
      <c r="D275" t="s">
        <v>80</v>
      </c>
      <c r="E275" s="4">
        <v>0</v>
      </c>
      <c r="F275" s="4">
        <v>350637.80832270271</v>
      </c>
      <c r="G275" s="4">
        <v>350637.80832270271</v>
      </c>
      <c r="H275" s="5">
        <f t="shared" si="4"/>
        <v>0</v>
      </c>
      <c r="I275" t="s">
        <v>145</v>
      </c>
      <c r="J275" t="s">
        <v>22</v>
      </c>
      <c r="K275" s="5">
        <f>20 / 86400</f>
        <v>2.3148148148148149E-4</v>
      </c>
      <c r="L275" s="5">
        <f>55 / 86400</f>
        <v>6.3657407407407413E-4</v>
      </c>
    </row>
    <row r="276" spans="1:12" x14ac:dyDescent="0.25">
      <c r="A276" s="3">
        <v>45713.808159722219</v>
      </c>
      <c r="B276" t="s">
        <v>236</v>
      </c>
      <c r="C276" s="3">
        <v>45713.808391203704</v>
      </c>
      <c r="D276" t="s">
        <v>236</v>
      </c>
      <c r="E276" s="4">
        <v>3.3488736689090727E-2</v>
      </c>
      <c r="F276" s="4">
        <v>350638.08069479791</v>
      </c>
      <c r="G276" s="4">
        <v>350638.11418353464</v>
      </c>
      <c r="H276" s="5">
        <f t="shared" si="4"/>
        <v>0</v>
      </c>
      <c r="I276" t="s">
        <v>146</v>
      </c>
      <c r="J276" t="s">
        <v>145</v>
      </c>
      <c r="K276" s="5">
        <f>20 / 86400</f>
        <v>2.3148148148148149E-4</v>
      </c>
      <c r="L276" s="5">
        <f>13 / 86400</f>
        <v>1.5046296296296297E-4</v>
      </c>
    </row>
    <row r="277" spans="1:12" x14ac:dyDescent="0.25">
      <c r="A277" s="3">
        <v>45713.808541666665</v>
      </c>
      <c r="B277" t="s">
        <v>236</v>
      </c>
      <c r="C277" s="3">
        <v>45713.809687500005</v>
      </c>
      <c r="D277" t="s">
        <v>237</v>
      </c>
      <c r="E277" s="4">
        <v>0.70708654707670215</v>
      </c>
      <c r="F277" s="4">
        <v>350638.12021935784</v>
      </c>
      <c r="G277" s="4">
        <v>350638.82730590494</v>
      </c>
      <c r="H277" s="5">
        <f t="shared" si="4"/>
        <v>0</v>
      </c>
      <c r="I277" t="s">
        <v>174</v>
      </c>
      <c r="J277" t="s">
        <v>150</v>
      </c>
      <c r="K277" s="5">
        <f>99 / 86400</f>
        <v>1.1458333333333333E-3</v>
      </c>
      <c r="L277" s="5">
        <f>9 / 86400</f>
        <v>1.0416666666666667E-4</v>
      </c>
    </row>
    <row r="278" spans="1:12" x14ac:dyDescent="0.25">
      <c r="A278" s="3">
        <v>45713.809791666667</v>
      </c>
      <c r="B278" t="s">
        <v>238</v>
      </c>
      <c r="C278" s="3">
        <v>45713.810023148151</v>
      </c>
      <c r="D278" t="s">
        <v>238</v>
      </c>
      <c r="E278" s="4">
        <v>0</v>
      </c>
      <c r="F278" s="4">
        <v>350639.12101572147</v>
      </c>
      <c r="G278" s="4">
        <v>350639.12101572147</v>
      </c>
      <c r="H278" s="5">
        <f t="shared" si="4"/>
        <v>0</v>
      </c>
      <c r="I278" t="s">
        <v>190</v>
      </c>
      <c r="J278" t="s">
        <v>22</v>
      </c>
      <c r="K278" s="5">
        <f>20 / 86400</f>
        <v>2.3148148148148149E-4</v>
      </c>
      <c r="L278" s="5">
        <f>60 / 86400</f>
        <v>6.9444444444444447E-4</v>
      </c>
    </row>
    <row r="279" spans="1:12" x14ac:dyDescent="0.25">
      <c r="A279" s="3">
        <v>45713.810717592598</v>
      </c>
      <c r="B279" t="s">
        <v>238</v>
      </c>
      <c r="C279" s="3">
        <v>45713.811180555553</v>
      </c>
      <c r="D279" t="s">
        <v>239</v>
      </c>
      <c r="E279" s="4">
        <v>0.32700323671102521</v>
      </c>
      <c r="F279" s="4">
        <v>350639.29183314933</v>
      </c>
      <c r="G279" s="4">
        <v>350639.61883638601</v>
      </c>
      <c r="H279" s="5">
        <f t="shared" si="4"/>
        <v>0</v>
      </c>
      <c r="I279" t="s">
        <v>176</v>
      </c>
      <c r="J279" t="s">
        <v>228</v>
      </c>
      <c r="K279" s="5">
        <f>40 / 86400</f>
        <v>4.6296296296296298E-4</v>
      </c>
      <c r="L279" s="5">
        <f>40 / 86400</f>
        <v>4.6296296296296298E-4</v>
      </c>
    </row>
    <row r="280" spans="1:12" x14ac:dyDescent="0.25">
      <c r="A280" s="3">
        <v>45713.811643518522</v>
      </c>
      <c r="B280" t="s">
        <v>240</v>
      </c>
      <c r="C280" s="3">
        <v>45713.811874999999</v>
      </c>
      <c r="D280" t="s">
        <v>240</v>
      </c>
      <c r="E280" s="4">
        <v>9.6652587532997131E-2</v>
      </c>
      <c r="F280" s="4">
        <v>350639.68523635372</v>
      </c>
      <c r="G280" s="4">
        <v>350639.78188894124</v>
      </c>
      <c r="H280" s="5">
        <f t="shared" si="4"/>
        <v>0</v>
      </c>
      <c r="I280" t="s">
        <v>105</v>
      </c>
      <c r="J280" t="s">
        <v>20</v>
      </c>
      <c r="K280" s="5">
        <f>20 / 86400</f>
        <v>2.3148148148148149E-4</v>
      </c>
      <c r="L280" s="5">
        <f>20 / 86400</f>
        <v>2.3148148148148149E-4</v>
      </c>
    </row>
    <row r="281" spans="1:12" x14ac:dyDescent="0.25">
      <c r="A281" s="3">
        <v>45713.812106481477</v>
      </c>
      <c r="B281" t="s">
        <v>241</v>
      </c>
      <c r="C281" s="3">
        <v>45713.816840277781</v>
      </c>
      <c r="D281" t="s">
        <v>242</v>
      </c>
      <c r="E281" s="4">
        <v>1.6666020326018334</v>
      </c>
      <c r="F281" s="4">
        <v>350639.8951752148</v>
      </c>
      <c r="G281" s="4">
        <v>350641.56177724741</v>
      </c>
      <c r="H281" s="5">
        <f t="shared" si="4"/>
        <v>0</v>
      </c>
      <c r="I281" t="s">
        <v>131</v>
      </c>
      <c r="J281" t="s">
        <v>76</v>
      </c>
      <c r="K281" s="5">
        <f>409 / 86400</f>
        <v>4.7337962962962967E-3</v>
      </c>
      <c r="L281" s="5">
        <f>20 / 86400</f>
        <v>2.3148148148148149E-4</v>
      </c>
    </row>
    <row r="282" spans="1:12" x14ac:dyDescent="0.25">
      <c r="A282" s="3">
        <v>45713.817071759258</v>
      </c>
      <c r="B282" t="s">
        <v>242</v>
      </c>
      <c r="C282" s="3">
        <v>45713.823321759264</v>
      </c>
      <c r="D282" t="s">
        <v>243</v>
      </c>
      <c r="E282" s="4">
        <v>2.1499820008277895</v>
      </c>
      <c r="F282" s="4">
        <v>350641.58397008409</v>
      </c>
      <c r="G282" s="4">
        <v>350643.73395208491</v>
      </c>
      <c r="H282" s="5">
        <f t="shared" si="4"/>
        <v>0</v>
      </c>
      <c r="I282" t="s">
        <v>176</v>
      </c>
      <c r="J282" t="s">
        <v>29</v>
      </c>
      <c r="K282" s="5">
        <f>540 / 86400</f>
        <v>6.2500000000000003E-3</v>
      </c>
      <c r="L282" s="5">
        <f>73 / 86400</f>
        <v>8.4490740740740739E-4</v>
      </c>
    </row>
    <row r="283" spans="1:12" x14ac:dyDescent="0.25">
      <c r="A283" s="3">
        <v>45713.824166666665</v>
      </c>
      <c r="B283" t="s">
        <v>243</v>
      </c>
      <c r="C283" s="3">
        <v>45713.825520833328</v>
      </c>
      <c r="D283" t="s">
        <v>244</v>
      </c>
      <c r="E283" s="4">
        <v>0.22113857001066209</v>
      </c>
      <c r="F283" s="4">
        <v>350643.74366151658</v>
      </c>
      <c r="G283" s="4">
        <v>350643.96480008663</v>
      </c>
      <c r="H283" s="5">
        <f t="shared" si="4"/>
        <v>0</v>
      </c>
      <c r="I283" t="s">
        <v>20</v>
      </c>
      <c r="J283" t="s">
        <v>34</v>
      </c>
      <c r="K283" s="5">
        <f>117 / 86400</f>
        <v>1.3541666666666667E-3</v>
      </c>
      <c r="L283" s="5">
        <f>20 / 86400</f>
        <v>2.3148148148148149E-4</v>
      </c>
    </row>
    <row r="284" spans="1:12" x14ac:dyDescent="0.25">
      <c r="A284" s="3">
        <v>45713.825752314813</v>
      </c>
      <c r="B284" t="s">
        <v>245</v>
      </c>
      <c r="C284" s="3">
        <v>45713.827835648146</v>
      </c>
      <c r="D284" t="s">
        <v>246</v>
      </c>
      <c r="E284" s="4">
        <v>1.7945486042499543</v>
      </c>
      <c r="F284" s="4">
        <v>350644.19030559051</v>
      </c>
      <c r="G284" s="4">
        <v>350645.98485419474</v>
      </c>
      <c r="H284" s="5">
        <f t="shared" si="4"/>
        <v>0</v>
      </c>
      <c r="I284" t="s">
        <v>247</v>
      </c>
      <c r="J284" t="s">
        <v>177</v>
      </c>
      <c r="K284" s="5">
        <f>180 / 86400</f>
        <v>2.0833333333333333E-3</v>
      </c>
      <c r="L284" s="5">
        <f>20 / 86400</f>
        <v>2.3148148148148149E-4</v>
      </c>
    </row>
    <row r="285" spans="1:12" x14ac:dyDescent="0.25">
      <c r="A285" s="3">
        <v>45713.828067129631</v>
      </c>
      <c r="B285" t="s">
        <v>248</v>
      </c>
      <c r="C285" s="3">
        <v>45713.829004629632</v>
      </c>
      <c r="D285" t="s">
        <v>249</v>
      </c>
      <c r="E285" s="4">
        <v>0.49785078650712966</v>
      </c>
      <c r="F285" s="4">
        <v>350646.13372935203</v>
      </c>
      <c r="G285" s="4">
        <v>350646.63158013858</v>
      </c>
      <c r="H285" s="5">
        <f t="shared" si="4"/>
        <v>0</v>
      </c>
      <c r="I285" t="s">
        <v>215</v>
      </c>
      <c r="J285" t="s">
        <v>136</v>
      </c>
      <c r="K285" s="5">
        <f>81 / 86400</f>
        <v>9.3749999999999997E-4</v>
      </c>
      <c r="L285" s="5">
        <f>20 / 86400</f>
        <v>2.3148148148148149E-4</v>
      </c>
    </row>
    <row r="286" spans="1:12" x14ac:dyDescent="0.25">
      <c r="A286" s="3">
        <v>45713.829236111109</v>
      </c>
      <c r="B286" t="s">
        <v>250</v>
      </c>
      <c r="C286" s="3">
        <v>45713.829467592594</v>
      </c>
      <c r="D286" t="s">
        <v>250</v>
      </c>
      <c r="E286" s="4">
        <v>6.7007220983505249E-3</v>
      </c>
      <c r="F286" s="4">
        <v>350646.65345414967</v>
      </c>
      <c r="G286" s="4">
        <v>350646.66015487176</v>
      </c>
      <c r="H286" s="5">
        <f t="shared" si="4"/>
        <v>0</v>
      </c>
      <c r="I286" t="s">
        <v>145</v>
      </c>
      <c r="J286" t="s">
        <v>144</v>
      </c>
      <c r="K286" s="5">
        <f>20 / 86400</f>
        <v>2.3148148148148149E-4</v>
      </c>
      <c r="L286" s="5">
        <f>129 / 86400</f>
        <v>1.4930555555555556E-3</v>
      </c>
    </row>
    <row r="287" spans="1:12" x14ac:dyDescent="0.25">
      <c r="A287" s="3">
        <v>45713.830960648149</v>
      </c>
      <c r="B287" t="s">
        <v>250</v>
      </c>
      <c r="C287" s="3">
        <v>45713.831238425926</v>
      </c>
      <c r="D287" t="s">
        <v>251</v>
      </c>
      <c r="E287" s="4">
        <v>2.9315525770187378E-2</v>
      </c>
      <c r="F287" s="4">
        <v>350646.67472230329</v>
      </c>
      <c r="G287" s="4">
        <v>350646.70403782907</v>
      </c>
      <c r="H287" s="5">
        <f t="shared" si="4"/>
        <v>0</v>
      </c>
      <c r="I287" t="s">
        <v>53</v>
      </c>
      <c r="J287" t="s">
        <v>141</v>
      </c>
      <c r="K287" s="5">
        <f>24 / 86400</f>
        <v>2.7777777777777778E-4</v>
      </c>
      <c r="L287" s="5">
        <f>94 / 86400</f>
        <v>1.0879629629629629E-3</v>
      </c>
    </row>
    <row r="288" spans="1:12" x14ac:dyDescent="0.25">
      <c r="A288" s="3">
        <v>45713.832326388889</v>
      </c>
      <c r="B288" t="s">
        <v>251</v>
      </c>
      <c r="C288" s="3">
        <v>45713.832997685182</v>
      </c>
      <c r="D288" t="s">
        <v>252</v>
      </c>
      <c r="E288" s="4">
        <v>8.2879224181175229E-2</v>
      </c>
      <c r="F288" s="4">
        <v>350646.71808516188</v>
      </c>
      <c r="G288" s="4">
        <v>350646.80096438603</v>
      </c>
      <c r="H288" s="5">
        <f t="shared" ref="H288:H319" si="6">0 / 86400</f>
        <v>0</v>
      </c>
      <c r="I288" t="s">
        <v>64</v>
      </c>
      <c r="J288" t="s">
        <v>146</v>
      </c>
      <c r="K288" s="5">
        <f>58 / 86400</f>
        <v>6.7129629629629625E-4</v>
      </c>
      <c r="L288" s="5">
        <f>20 / 86400</f>
        <v>2.3148148148148149E-4</v>
      </c>
    </row>
    <row r="289" spans="1:12" x14ac:dyDescent="0.25">
      <c r="A289" s="3">
        <v>45713.833229166667</v>
      </c>
      <c r="B289" t="s">
        <v>248</v>
      </c>
      <c r="C289" s="3">
        <v>45713.833692129629</v>
      </c>
      <c r="D289" t="s">
        <v>248</v>
      </c>
      <c r="E289" s="4">
        <v>3.1932287871837613E-2</v>
      </c>
      <c r="F289" s="4">
        <v>350646.81643016648</v>
      </c>
      <c r="G289" s="4">
        <v>350646.84836245433</v>
      </c>
      <c r="H289" s="5">
        <f t="shared" si="6"/>
        <v>0</v>
      </c>
      <c r="I289" t="s">
        <v>64</v>
      </c>
      <c r="J289" t="s">
        <v>106</v>
      </c>
      <c r="K289" s="5">
        <f>40 / 86400</f>
        <v>4.6296296296296298E-4</v>
      </c>
      <c r="L289" s="5">
        <f>20 / 86400</f>
        <v>2.3148148148148149E-4</v>
      </c>
    </row>
    <row r="290" spans="1:12" x14ac:dyDescent="0.25">
      <c r="A290" s="3">
        <v>45713.833923611106</v>
      </c>
      <c r="B290" t="s">
        <v>253</v>
      </c>
      <c r="C290" s="3">
        <v>45713.834687499999</v>
      </c>
      <c r="D290" t="s">
        <v>253</v>
      </c>
      <c r="E290" s="4">
        <v>0.48088280481100082</v>
      </c>
      <c r="F290" s="4">
        <v>350646.86401066853</v>
      </c>
      <c r="G290" s="4">
        <v>350647.34489347332</v>
      </c>
      <c r="H290" s="5">
        <f t="shared" si="6"/>
        <v>0</v>
      </c>
      <c r="I290" t="s">
        <v>208</v>
      </c>
      <c r="J290" t="s">
        <v>150</v>
      </c>
      <c r="K290" s="5">
        <f>66 / 86400</f>
        <v>7.6388888888888893E-4</v>
      </c>
      <c r="L290" s="5">
        <f>60 / 86400</f>
        <v>6.9444444444444447E-4</v>
      </c>
    </row>
    <row r="291" spans="1:12" x14ac:dyDescent="0.25">
      <c r="A291" s="3">
        <v>45713.835381944446</v>
      </c>
      <c r="B291" t="s">
        <v>254</v>
      </c>
      <c r="C291" s="3">
        <v>45713.835995370369</v>
      </c>
      <c r="D291" t="s">
        <v>255</v>
      </c>
      <c r="E291" s="4">
        <v>0.29088967984914782</v>
      </c>
      <c r="F291" s="4">
        <v>350647.36874343129</v>
      </c>
      <c r="G291" s="4">
        <v>350647.65963311109</v>
      </c>
      <c r="H291" s="5">
        <f t="shared" si="6"/>
        <v>0</v>
      </c>
      <c r="I291" t="s">
        <v>105</v>
      </c>
      <c r="J291" t="s">
        <v>111</v>
      </c>
      <c r="K291" s="5">
        <f>53 / 86400</f>
        <v>6.134259259259259E-4</v>
      </c>
      <c r="L291" s="5">
        <f>12 / 86400</f>
        <v>1.3888888888888889E-4</v>
      </c>
    </row>
    <row r="292" spans="1:12" x14ac:dyDescent="0.25">
      <c r="A292" s="3">
        <v>45713.836134259254</v>
      </c>
      <c r="B292" t="s">
        <v>256</v>
      </c>
      <c r="C292" s="3">
        <v>45713.836365740739</v>
      </c>
      <c r="D292" t="s">
        <v>256</v>
      </c>
      <c r="E292" s="4">
        <v>2.236721819639206E-2</v>
      </c>
      <c r="F292" s="4">
        <v>350647.68189229135</v>
      </c>
      <c r="G292" s="4">
        <v>350647.70425950957</v>
      </c>
      <c r="H292" s="5">
        <f t="shared" si="6"/>
        <v>0</v>
      </c>
      <c r="I292" t="s">
        <v>146</v>
      </c>
      <c r="J292" t="s">
        <v>141</v>
      </c>
      <c r="K292" s="5">
        <f>20 / 86400</f>
        <v>2.3148148148148149E-4</v>
      </c>
      <c r="L292" s="5">
        <f>11 / 86400</f>
        <v>1.273148148148148E-4</v>
      </c>
    </row>
    <row r="293" spans="1:12" x14ac:dyDescent="0.25">
      <c r="A293" s="3">
        <v>45713.836493055554</v>
      </c>
      <c r="B293" t="s">
        <v>256</v>
      </c>
      <c r="C293" s="3">
        <v>45713.836956018524</v>
      </c>
      <c r="D293" t="s">
        <v>253</v>
      </c>
      <c r="E293" s="4">
        <v>7.9155582964420323E-2</v>
      </c>
      <c r="F293" s="4">
        <v>350647.7170858992</v>
      </c>
      <c r="G293" s="4">
        <v>350647.79624148214</v>
      </c>
      <c r="H293" s="5">
        <f t="shared" si="6"/>
        <v>0</v>
      </c>
      <c r="I293" t="s">
        <v>146</v>
      </c>
      <c r="J293" t="s">
        <v>34</v>
      </c>
      <c r="K293" s="5">
        <f>40 / 86400</f>
        <v>4.6296296296296298E-4</v>
      </c>
      <c r="L293" s="5">
        <f>20 / 86400</f>
        <v>2.3148148148148149E-4</v>
      </c>
    </row>
    <row r="294" spans="1:12" x14ac:dyDescent="0.25">
      <c r="A294" s="3">
        <v>45713.837187500001</v>
      </c>
      <c r="B294" t="s">
        <v>257</v>
      </c>
      <c r="C294" s="3">
        <v>45713.837418981479</v>
      </c>
      <c r="D294" t="s">
        <v>257</v>
      </c>
      <c r="E294" s="4">
        <v>9.1599046587944027E-3</v>
      </c>
      <c r="F294" s="4">
        <v>350647.83031441161</v>
      </c>
      <c r="G294" s="4">
        <v>350647.83947431622</v>
      </c>
      <c r="H294" s="5">
        <f t="shared" si="6"/>
        <v>0</v>
      </c>
      <c r="I294" t="s">
        <v>141</v>
      </c>
      <c r="J294" t="s">
        <v>147</v>
      </c>
      <c r="K294" s="5">
        <f>20 / 86400</f>
        <v>2.3148148148148149E-4</v>
      </c>
      <c r="L294" s="5">
        <f>20 / 86400</f>
        <v>2.3148148148148149E-4</v>
      </c>
    </row>
    <row r="295" spans="1:12" x14ac:dyDescent="0.25">
      <c r="A295" s="3">
        <v>45713.837650462963</v>
      </c>
      <c r="B295" t="s">
        <v>258</v>
      </c>
      <c r="C295" s="3">
        <v>45713.837881944448</v>
      </c>
      <c r="D295" t="s">
        <v>258</v>
      </c>
      <c r="E295" s="4">
        <v>1.0894023895263671E-2</v>
      </c>
      <c r="F295" s="4">
        <v>350647.85699188244</v>
      </c>
      <c r="G295" s="4">
        <v>350647.86788590637</v>
      </c>
      <c r="H295" s="5">
        <f t="shared" si="6"/>
        <v>0</v>
      </c>
      <c r="I295" t="s">
        <v>144</v>
      </c>
      <c r="J295" t="s">
        <v>147</v>
      </c>
      <c r="K295" s="5">
        <f>20 / 86400</f>
        <v>2.3148148148148149E-4</v>
      </c>
      <c r="L295" s="5">
        <f>80 / 86400</f>
        <v>9.2592592592592596E-4</v>
      </c>
    </row>
    <row r="296" spans="1:12" x14ac:dyDescent="0.25">
      <c r="A296" s="3">
        <v>45713.838807870372</v>
      </c>
      <c r="B296" t="s">
        <v>259</v>
      </c>
      <c r="C296" s="3">
        <v>45713.839039351849</v>
      </c>
      <c r="D296" t="s">
        <v>259</v>
      </c>
      <c r="E296" s="4">
        <v>8.191860377788544E-3</v>
      </c>
      <c r="F296" s="4">
        <v>350647.91631353041</v>
      </c>
      <c r="G296" s="4">
        <v>350647.92450539075</v>
      </c>
      <c r="H296" s="5">
        <f t="shared" si="6"/>
        <v>0</v>
      </c>
      <c r="I296" t="s">
        <v>106</v>
      </c>
      <c r="J296" t="s">
        <v>144</v>
      </c>
      <c r="K296" s="5">
        <f>20 / 86400</f>
        <v>2.3148148148148149E-4</v>
      </c>
      <c r="L296" s="5">
        <f>20 / 86400</f>
        <v>2.3148148148148149E-4</v>
      </c>
    </row>
    <row r="297" spans="1:12" x14ac:dyDescent="0.25">
      <c r="A297" s="3">
        <v>45713.839270833334</v>
      </c>
      <c r="B297" t="s">
        <v>260</v>
      </c>
      <c r="C297" s="3">
        <v>45713.839502314819</v>
      </c>
      <c r="D297" t="s">
        <v>261</v>
      </c>
      <c r="E297" s="4">
        <v>1.0798153281211854E-2</v>
      </c>
      <c r="F297" s="4">
        <v>350647.95211279567</v>
      </c>
      <c r="G297" s="4">
        <v>350647.9629109489</v>
      </c>
      <c r="H297" s="5">
        <f t="shared" si="6"/>
        <v>0</v>
      </c>
      <c r="I297" t="s">
        <v>144</v>
      </c>
      <c r="J297" t="s">
        <v>147</v>
      </c>
      <c r="K297" s="5">
        <f>20 / 86400</f>
        <v>2.3148148148148149E-4</v>
      </c>
      <c r="L297" s="5">
        <f>34 / 86400</f>
        <v>3.9351851851851852E-4</v>
      </c>
    </row>
    <row r="298" spans="1:12" x14ac:dyDescent="0.25">
      <c r="A298" s="3">
        <v>45713.839895833335</v>
      </c>
      <c r="B298" t="s">
        <v>260</v>
      </c>
      <c r="C298" s="3">
        <v>45713.840127314819</v>
      </c>
      <c r="D298" t="s">
        <v>262</v>
      </c>
      <c r="E298" s="4">
        <v>2.7851044416427613E-2</v>
      </c>
      <c r="F298" s="4">
        <v>350647.97733932437</v>
      </c>
      <c r="G298" s="4">
        <v>350648.0051903688</v>
      </c>
      <c r="H298" s="5">
        <f t="shared" si="6"/>
        <v>0</v>
      </c>
      <c r="I298" t="s">
        <v>146</v>
      </c>
      <c r="J298" t="s">
        <v>146</v>
      </c>
      <c r="K298" s="5">
        <f>20 / 86400</f>
        <v>2.3148148148148149E-4</v>
      </c>
      <c r="L298" s="5">
        <f>96 / 86400</f>
        <v>1.1111111111111111E-3</v>
      </c>
    </row>
    <row r="299" spans="1:12" x14ac:dyDescent="0.25">
      <c r="A299" s="3">
        <v>45713.841238425928</v>
      </c>
      <c r="B299" t="s">
        <v>262</v>
      </c>
      <c r="C299" s="3">
        <v>45713.843402777777</v>
      </c>
      <c r="D299" t="s">
        <v>263</v>
      </c>
      <c r="E299" s="4">
        <v>1.2346271857023239</v>
      </c>
      <c r="F299" s="4">
        <v>350648.04990830238</v>
      </c>
      <c r="G299" s="4">
        <v>350649.28453548806</v>
      </c>
      <c r="H299" s="5">
        <f t="shared" si="6"/>
        <v>0</v>
      </c>
      <c r="I299" t="s">
        <v>189</v>
      </c>
      <c r="J299" t="s">
        <v>119</v>
      </c>
      <c r="K299" s="5">
        <f>187 / 86400</f>
        <v>2.1643518518518518E-3</v>
      </c>
      <c r="L299" s="5">
        <f>20 / 86400</f>
        <v>2.3148148148148149E-4</v>
      </c>
    </row>
    <row r="300" spans="1:12" x14ac:dyDescent="0.25">
      <c r="A300" s="3">
        <v>45713.843634259261</v>
      </c>
      <c r="B300" t="s">
        <v>263</v>
      </c>
      <c r="C300" s="3">
        <v>45713.844097222223</v>
      </c>
      <c r="D300" t="s">
        <v>264</v>
      </c>
      <c r="E300" s="4">
        <v>1.614992982149124E-2</v>
      </c>
      <c r="F300" s="4">
        <v>350649.29810257815</v>
      </c>
      <c r="G300" s="4">
        <v>350649.31425250799</v>
      </c>
      <c r="H300" s="5">
        <f t="shared" si="6"/>
        <v>0</v>
      </c>
      <c r="I300" t="s">
        <v>144</v>
      </c>
      <c r="J300" t="s">
        <v>144</v>
      </c>
      <c r="K300" s="5">
        <f>40 / 86400</f>
        <v>4.6296296296296298E-4</v>
      </c>
      <c r="L300" s="5">
        <f>20 / 86400</f>
        <v>2.3148148148148149E-4</v>
      </c>
    </row>
    <row r="301" spans="1:12" x14ac:dyDescent="0.25">
      <c r="A301" s="3">
        <v>45713.844328703708</v>
      </c>
      <c r="B301" t="s">
        <v>264</v>
      </c>
      <c r="C301" s="3">
        <v>45713.847025462965</v>
      </c>
      <c r="D301" t="s">
        <v>265</v>
      </c>
      <c r="E301" s="4">
        <v>1.0616135618686675</v>
      </c>
      <c r="F301" s="4">
        <v>350649.32768876321</v>
      </c>
      <c r="G301" s="4">
        <v>350650.38930232509</v>
      </c>
      <c r="H301" s="5">
        <f t="shared" si="6"/>
        <v>0</v>
      </c>
      <c r="I301" t="s">
        <v>215</v>
      </c>
      <c r="J301" t="s">
        <v>32</v>
      </c>
      <c r="K301" s="5">
        <f>233 / 86400</f>
        <v>2.6967592592592594E-3</v>
      </c>
      <c r="L301" s="5">
        <f>20 / 86400</f>
        <v>2.3148148148148149E-4</v>
      </c>
    </row>
    <row r="302" spans="1:12" x14ac:dyDescent="0.25">
      <c r="A302" s="3">
        <v>45713.847256944442</v>
      </c>
      <c r="B302" t="s">
        <v>265</v>
      </c>
      <c r="C302" s="3">
        <v>45713.85019675926</v>
      </c>
      <c r="D302" t="s">
        <v>266</v>
      </c>
      <c r="E302" s="4">
        <v>1.0467272780537604</v>
      </c>
      <c r="F302" s="4">
        <v>350650.40004828316</v>
      </c>
      <c r="G302" s="4">
        <v>350651.4467755612</v>
      </c>
      <c r="H302" s="5">
        <f t="shared" si="6"/>
        <v>0</v>
      </c>
      <c r="I302" t="s">
        <v>164</v>
      </c>
      <c r="J302" t="s">
        <v>76</v>
      </c>
      <c r="K302" s="5">
        <f>254 / 86400</f>
        <v>2.9398148148148148E-3</v>
      </c>
      <c r="L302" s="5">
        <f>5 / 86400</f>
        <v>5.7870370370370373E-5</v>
      </c>
    </row>
    <row r="303" spans="1:12" x14ac:dyDescent="0.25">
      <c r="A303" s="3">
        <v>45713.850254629629</v>
      </c>
      <c r="B303" t="s">
        <v>266</v>
      </c>
      <c r="C303" s="3">
        <v>45713.852719907409</v>
      </c>
      <c r="D303" t="s">
        <v>267</v>
      </c>
      <c r="E303" s="4">
        <v>1.7532482157945632</v>
      </c>
      <c r="F303" s="4">
        <v>350651.48024503846</v>
      </c>
      <c r="G303" s="4">
        <v>350653.23349325423</v>
      </c>
      <c r="H303" s="5">
        <f t="shared" si="6"/>
        <v>0</v>
      </c>
      <c r="I303" t="s">
        <v>211</v>
      </c>
      <c r="J303" t="s">
        <v>140</v>
      </c>
      <c r="K303" s="5">
        <f>213 / 86400</f>
        <v>2.4652777777777776E-3</v>
      </c>
      <c r="L303" s="5">
        <f>19 / 86400</f>
        <v>2.199074074074074E-4</v>
      </c>
    </row>
    <row r="304" spans="1:12" x14ac:dyDescent="0.25">
      <c r="A304" s="3">
        <v>45713.852939814809</v>
      </c>
      <c r="B304" t="s">
        <v>268</v>
      </c>
      <c r="C304" s="3">
        <v>45713.853402777779</v>
      </c>
      <c r="D304" t="s">
        <v>269</v>
      </c>
      <c r="E304" s="4">
        <v>0.23716455131769179</v>
      </c>
      <c r="F304" s="4">
        <v>350653.32309803541</v>
      </c>
      <c r="G304" s="4">
        <v>350653.56026258669</v>
      </c>
      <c r="H304" s="5">
        <f t="shared" si="6"/>
        <v>0</v>
      </c>
      <c r="I304" t="s">
        <v>216</v>
      </c>
      <c r="J304" t="s">
        <v>125</v>
      </c>
      <c r="K304" s="5">
        <f>40 / 86400</f>
        <v>4.6296296296296298E-4</v>
      </c>
      <c r="L304" s="5">
        <f>80 / 86400</f>
        <v>9.2592592592592596E-4</v>
      </c>
    </row>
    <row r="305" spans="1:12" x14ac:dyDescent="0.25">
      <c r="A305" s="3">
        <v>45713.854328703703</v>
      </c>
      <c r="B305" t="s">
        <v>270</v>
      </c>
      <c r="C305" s="3">
        <v>45713.855613425927</v>
      </c>
      <c r="D305" t="s">
        <v>238</v>
      </c>
      <c r="E305" s="4">
        <v>0.95985097700357436</v>
      </c>
      <c r="F305" s="4">
        <v>350653.62588066387</v>
      </c>
      <c r="G305" s="4">
        <v>350654.58573164087</v>
      </c>
      <c r="H305" s="5">
        <f t="shared" si="6"/>
        <v>0</v>
      </c>
      <c r="I305" t="s">
        <v>211</v>
      </c>
      <c r="J305" t="s">
        <v>105</v>
      </c>
      <c r="K305" s="5">
        <f>111 / 86400</f>
        <v>1.2847222222222223E-3</v>
      </c>
      <c r="L305" s="5">
        <f>68 / 86400</f>
        <v>7.8703703703703705E-4</v>
      </c>
    </row>
    <row r="306" spans="1:12" x14ac:dyDescent="0.25">
      <c r="A306" s="3">
        <v>45713.856400462959</v>
      </c>
      <c r="B306" t="s">
        <v>237</v>
      </c>
      <c r="C306" s="3">
        <v>45713.857523148152</v>
      </c>
      <c r="D306" t="s">
        <v>271</v>
      </c>
      <c r="E306" s="4">
        <v>0.69098067301511767</v>
      </c>
      <c r="F306" s="4">
        <v>350654.61521253036</v>
      </c>
      <c r="G306" s="4">
        <v>350655.30619320337</v>
      </c>
      <c r="H306" s="5">
        <f t="shared" si="6"/>
        <v>0</v>
      </c>
      <c r="I306" t="s">
        <v>179</v>
      </c>
      <c r="J306" t="s">
        <v>150</v>
      </c>
      <c r="K306" s="5">
        <f>97 / 86400</f>
        <v>1.1226851851851851E-3</v>
      </c>
      <c r="L306" s="5">
        <f>180 / 86400</f>
        <v>2.0833333333333333E-3</v>
      </c>
    </row>
    <row r="307" spans="1:12" x14ac:dyDescent="0.25">
      <c r="A307" s="3">
        <v>45713.859606481477</v>
      </c>
      <c r="B307" t="s">
        <v>272</v>
      </c>
      <c r="C307" s="3">
        <v>45713.860347222224</v>
      </c>
      <c r="D307" t="s">
        <v>234</v>
      </c>
      <c r="E307" s="4">
        <v>0.18825353771448136</v>
      </c>
      <c r="F307" s="4">
        <v>350655.41085975227</v>
      </c>
      <c r="G307" s="4">
        <v>350655.59911329002</v>
      </c>
      <c r="H307" s="5">
        <f t="shared" si="6"/>
        <v>0</v>
      </c>
      <c r="I307" t="s">
        <v>190</v>
      </c>
      <c r="J307" t="s">
        <v>53</v>
      </c>
      <c r="K307" s="5">
        <f>64 / 86400</f>
        <v>7.407407407407407E-4</v>
      </c>
      <c r="L307" s="5">
        <f>5 / 86400</f>
        <v>5.7870370370370373E-5</v>
      </c>
    </row>
    <row r="308" spans="1:12" x14ac:dyDescent="0.25">
      <c r="A308" s="3">
        <v>45713.860405092593</v>
      </c>
      <c r="B308" t="s">
        <v>234</v>
      </c>
      <c r="C308" s="3">
        <v>45713.862025462964</v>
      </c>
      <c r="D308" t="s">
        <v>273</v>
      </c>
      <c r="E308" s="4">
        <v>0.81343699079751963</v>
      </c>
      <c r="F308" s="4">
        <v>350655.60550428584</v>
      </c>
      <c r="G308" s="4">
        <v>350656.41894127661</v>
      </c>
      <c r="H308" s="5">
        <f t="shared" si="6"/>
        <v>0</v>
      </c>
      <c r="I308" t="s">
        <v>162</v>
      </c>
      <c r="J308" t="s">
        <v>125</v>
      </c>
      <c r="K308" s="5">
        <f>140 / 86400</f>
        <v>1.6203703703703703E-3</v>
      </c>
      <c r="L308" s="5">
        <f>31 / 86400</f>
        <v>3.5879629629629629E-4</v>
      </c>
    </row>
    <row r="309" spans="1:12" x14ac:dyDescent="0.25">
      <c r="A309" s="3">
        <v>45713.862384259264</v>
      </c>
      <c r="B309" t="s">
        <v>274</v>
      </c>
      <c r="C309" s="3">
        <v>45713.863495370373</v>
      </c>
      <c r="D309" t="s">
        <v>275</v>
      </c>
      <c r="E309" s="4">
        <v>0.51155749839544296</v>
      </c>
      <c r="F309" s="4">
        <v>350656.42642420036</v>
      </c>
      <c r="G309" s="4">
        <v>350656.93798169878</v>
      </c>
      <c r="H309" s="5">
        <f t="shared" si="6"/>
        <v>0</v>
      </c>
      <c r="I309" t="s">
        <v>153</v>
      </c>
      <c r="J309" t="s">
        <v>92</v>
      </c>
      <c r="K309" s="5">
        <f>96 / 86400</f>
        <v>1.1111111111111111E-3</v>
      </c>
      <c r="L309" s="5">
        <f>8 / 86400</f>
        <v>9.2592592592592588E-5</v>
      </c>
    </row>
    <row r="310" spans="1:12" x14ac:dyDescent="0.25">
      <c r="A310" s="3">
        <v>45713.863587962958</v>
      </c>
      <c r="B310" t="s">
        <v>275</v>
      </c>
      <c r="C310" s="3">
        <v>45713.864745370374</v>
      </c>
      <c r="D310" t="s">
        <v>276</v>
      </c>
      <c r="E310" s="4">
        <v>0.5108725623488426</v>
      </c>
      <c r="F310" s="4">
        <v>350656.96138562978</v>
      </c>
      <c r="G310" s="4">
        <v>350657.47225819214</v>
      </c>
      <c r="H310" s="5">
        <f t="shared" si="6"/>
        <v>0</v>
      </c>
      <c r="I310" t="s">
        <v>201</v>
      </c>
      <c r="J310" t="s">
        <v>26</v>
      </c>
      <c r="K310" s="5">
        <f>100 / 86400</f>
        <v>1.1574074074074073E-3</v>
      </c>
      <c r="L310" s="5">
        <f>20 / 86400</f>
        <v>2.3148148148148149E-4</v>
      </c>
    </row>
    <row r="311" spans="1:12" x14ac:dyDescent="0.25">
      <c r="A311" s="3">
        <v>45713.864976851852</v>
      </c>
      <c r="B311" t="s">
        <v>276</v>
      </c>
      <c r="C311" s="3">
        <v>45713.865671296298</v>
      </c>
      <c r="D311" t="s">
        <v>276</v>
      </c>
      <c r="E311" s="4">
        <v>0.36659884786605834</v>
      </c>
      <c r="F311" s="4">
        <v>350657.54734487773</v>
      </c>
      <c r="G311" s="4">
        <v>350657.91394372558</v>
      </c>
      <c r="H311" s="5">
        <f t="shared" si="6"/>
        <v>0</v>
      </c>
      <c r="I311" t="s">
        <v>166</v>
      </c>
      <c r="J311" t="s">
        <v>136</v>
      </c>
      <c r="K311" s="5">
        <f>60 / 86400</f>
        <v>6.9444444444444447E-4</v>
      </c>
      <c r="L311" s="5">
        <f>40 / 86400</f>
        <v>4.6296296296296298E-4</v>
      </c>
    </row>
    <row r="312" spans="1:12" x14ac:dyDescent="0.25">
      <c r="A312" s="3">
        <v>45713.86613425926</v>
      </c>
      <c r="B312" t="s">
        <v>277</v>
      </c>
      <c r="C312" s="3">
        <v>45713.868101851855</v>
      </c>
      <c r="D312" t="s">
        <v>230</v>
      </c>
      <c r="E312" s="4">
        <v>1.0642274045944213</v>
      </c>
      <c r="F312" s="4">
        <v>350657.98857072793</v>
      </c>
      <c r="G312" s="4">
        <v>350659.05279813253</v>
      </c>
      <c r="H312" s="5">
        <f t="shared" si="6"/>
        <v>0</v>
      </c>
      <c r="I312" t="s">
        <v>153</v>
      </c>
      <c r="J312" t="s">
        <v>38</v>
      </c>
      <c r="K312" s="5">
        <f>170 / 86400</f>
        <v>1.9675925925925924E-3</v>
      </c>
      <c r="L312" s="5">
        <f>3 / 86400</f>
        <v>3.4722222222222222E-5</v>
      </c>
    </row>
    <row r="313" spans="1:12" x14ac:dyDescent="0.25">
      <c r="A313" s="3">
        <v>45713.868136574078</v>
      </c>
      <c r="B313" t="s">
        <v>230</v>
      </c>
      <c r="C313" s="3">
        <v>45713.87232638889</v>
      </c>
      <c r="D313" t="s">
        <v>278</v>
      </c>
      <c r="E313" s="4">
        <v>2.6238925743699073</v>
      </c>
      <c r="F313" s="4">
        <v>350659.05629380711</v>
      </c>
      <c r="G313" s="4">
        <v>350661.68018638145</v>
      </c>
      <c r="H313" s="5">
        <f t="shared" si="6"/>
        <v>0</v>
      </c>
      <c r="I313" t="s">
        <v>213</v>
      </c>
      <c r="J313" t="s">
        <v>150</v>
      </c>
      <c r="K313" s="5">
        <f>362 / 86400</f>
        <v>4.1898148148148146E-3</v>
      </c>
      <c r="L313" s="5">
        <f>20 / 86400</f>
        <v>2.3148148148148149E-4</v>
      </c>
    </row>
    <row r="314" spans="1:12" x14ac:dyDescent="0.25">
      <c r="A314" s="3">
        <v>45713.872557870374</v>
      </c>
      <c r="B314" t="s">
        <v>278</v>
      </c>
      <c r="C314" s="3">
        <v>45713.873483796298</v>
      </c>
      <c r="D314" t="s">
        <v>278</v>
      </c>
      <c r="E314" s="4">
        <v>0.77177353799343107</v>
      </c>
      <c r="F314" s="4">
        <v>350661.68279373413</v>
      </c>
      <c r="G314" s="4">
        <v>350662.4545672721</v>
      </c>
      <c r="H314" s="5">
        <f t="shared" si="6"/>
        <v>0</v>
      </c>
      <c r="I314" t="s">
        <v>117</v>
      </c>
      <c r="J314" t="s">
        <v>33</v>
      </c>
      <c r="K314" s="5">
        <f>80 / 86400</f>
        <v>9.2592592592592596E-4</v>
      </c>
      <c r="L314" s="5">
        <f>40 / 86400</f>
        <v>4.6296296296296298E-4</v>
      </c>
    </row>
    <row r="315" spans="1:12" x14ac:dyDescent="0.25">
      <c r="A315" s="3">
        <v>45713.87394675926</v>
      </c>
      <c r="B315" t="s">
        <v>278</v>
      </c>
      <c r="C315" s="3">
        <v>45713.874409722222</v>
      </c>
      <c r="D315" t="s">
        <v>278</v>
      </c>
      <c r="E315" s="4">
        <v>0.19717297917604446</v>
      </c>
      <c r="F315" s="4">
        <v>350662.55155712203</v>
      </c>
      <c r="G315" s="4">
        <v>350662.74873010122</v>
      </c>
      <c r="H315" s="5">
        <f t="shared" si="6"/>
        <v>0</v>
      </c>
      <c r="I315" t="s">
        <v>138</v>
      </c>
      <c r="J315" t="s">
        <v>26</v>
      </c>
      <c r="K315" s="5">
        <f>40 / 86400</f>
        <v>4.6296296296296298E-4</v>
      </c>
      <c r="L315" s="5">
        <f>20 / 86400</f>
        <v>2.3148148148148149E-4</v>
      </c>
    </row>
    <row r="316" spans="1:12" x14ac:dyDescent="0.25">
      <c r="A316" s="3">
        <v>45713.8746412037</v>
      </c>
      <c r="B316" t="s">
        <v>278</v>
      </c>
      <c r="C316" s="3">
        <v>45713.875335648147</v>
      </c>
      <c r="D316" t="s">
        <v>278</v>
      </c>
      <c r="E316" s="4">
        <v>8.2421344935894009E-2</v>
      </c>
      <c r="F316" s="4">
        <v>350662.76195671572</v>
      </c>
      <c r="G316" s="4">
        <v>350662.84437806066</v>
      </c>
      <c r="H316" s="5">
        <f t="shared" si="6"/>
        <v>0</v>
      </c>
      <c r="I316" t="s">
        <v>97</v>
      </c>
      <c r="J316" t="s">
        <v>146</v>
      </c>
      <c r="K316" s="5">
        <f>60 / 86400</f>
        <v>6.9444444444444447E-4</v>
      </c>
      <c r="L316" s="5">
        <f>40 / 86400</f>
        <v>4.6296296296296298E-4</v>
      </c>
    </row>
    <row r="317" spans="1:12" x14ac:dyDescent="0.25">
      <c r="A317" s="3">
        <v>45713.875798611116</v>
      </c>
      <c r="B317" t="s">
        <v>278</v>
      </c>
      <c r="C317" s="3">
        <v>45713.876030092593</v>
      </c>
      <c r="D317" t="s">
        <v>279</v>
      </c>
      <c r="E317" s="4">
        <v>3.1813977956771849E-2</v>
      </c>
      <c r="F317" s="4">
        <v>350662.87685757963</v>
      </c>
      <c r="G317" s="4">
        <v>350662.90867155761</v>
      </c>
      <c r="H317" s="5">
        <f t="shared" si="6"/>
        <v>0</v>
      </c>
      <c r="I317" t="s">
        <v>158</v>
      </c>
      <c r="J317" t="s">
        <v>145</v>
      </c>
      <c r="K317" s="5">
        <f>20 / 86400</f>
        <v>2.3148148148148149E-4</v>
      </c>
      <c r="L317" s="5">
        <f>20 / 86400</f>
        <v>2.3148148148148149E-4</v>
      </c>
    </row>
    <row r="318" spans="1:12" x14ac:dyDescent="0.25">
      <c r="A318" s="3">
        <v>45713.876261574071</v>
      </c>
      <c r="B318" t="s">
        <v>280</v>
      </c>
      <c r="C318" s="3">
        <v>45713.877187499995</v>
      </c>
      <c r="D318" t="s">
        <v>281</v>
      </c>
      <c r="E318" s="4">
        <v>0.345637309551239</v>
      </c>
      <c r="F318" s="4">
        <v>350662.96543532849</v>
      </c>
      <c r="G318" s="4">
        <v>350663.31107263803</v>
      </c>
      <c r="H318" s="5">
        <f t="shared" si="6"/>
        <v>0</v>
      </c>
      <c r="I318" t="s">
        <v>190</v>
      </c>
      <c r="J318" t="s">
        <v>32</v>
      </c>
      <c r="K318" s="5">
        <f>80 / 86400</f>
        <v>9.2592592592592596E-4</v>
      </c>
      <c r="L318" s="5">
        <f>33 / 86400</f>
        <v>3.8194444444444446E-4</v>
      </c>
    </row>
    <row r="319" spans="1:12" x14ac:dyDescent="0.25">
      <c r="A319" s="3">
        <v>45713.877569444448</v>
      </c>
      <c r="B319" t="s">
        <v>281</v>
      </c>
      <c r="C319" s="3">
        <v>45713.879282407404</v>
      </c>
      <c r="D319" t="s">
        <v>222</v>
      </c>
      <c r="E319" s="4">
        <v>0.414897824883461</v>
      </c>
      <c r="F319" s="4">
        <v>350663.31998874812</v>
      </c>
      <c r="G319" s="4">
        <v>350663.73488657305</v>
      </c>
      <c r="H319" s="5">
        <f t="shared" si="6"/>
        <v>0</v>
      </c>
      <c r="I319" t="s">
        <v>92</v>
      </c>
      <c r="J319" t="s">
        <v>134</v>
      </c>
      <c r="K319" s="5">
        <f>148 / 86400</f>
        <v>1.712962962962963E-3</v>
      </c>
      <c r="L319" s="5">
        <f>400 / 86400</f>
        <v>4.6296296296296294E-3</v>
      </c>
    </row>
    <row r="320" spans="1:12" x14ac:dyDescent="0.25">
      <c r="A320" s="3">
        <v>45713.883912037039</v>
      </c>
      <c r="B320" t="s">
        <v>222</v>
      </c>
      <c r="C320" s="3">
        <v>45713.886226851857</v>
      </c>
      <c r="D320" t="s">
        <v>278</v>
      </c>
      <c r="E320" s="4">
        <v>1.5555417335629462</v>
      </c>
      <c r="F320" s="4">
        <v>350663.76086511492</v>
      </c>
      <c r="G320" s="4">
        <v>350665.31640684849</v>
      </c>
      <c r="H320" s="5">
        <f t="shared" ref="H320:H351" si="7">0 / 86400</f>
        <v>0</v>
      </c>
      <c r="I320" t="s">
        <v>153</v>
      </c>
      <c r="J320" t="s">
        <v>166</v>
      </c>
      <c r="K320" s="5">
        <f>200 / 86400</f>
        <v>2.3148148148148147E-3</v>
      </c>
      <c r="L320" s="5">
        <f>20 / 86400</f>
        <v>2.3148148148148149E-4</v>
      </c>
    </row>
    <row r="321" spans="1:12" x14ac:dyDescent="0.25">
      <c r="A321" s="3">
        <v>45713.886458333334</v>
      </c>
      <c r="B321" t="s">
        <v>223</v>
      </c>
      <c r="C321" s="3">
        <v>45713.887152777781</v>
      </c>
      <c r="D321" t="s">
        <v>223</v>
      </c>
      <c r="E321" s="4">
        <v>0.61133763891458515</v>
      </c>
      <c r="F321" s="4">
        <v>350665.5239139942</v>
      </c>
      <c r="G321" s="4">
        <v>350666.13525163312</v>
      </c>
      <c r="H321" s="5">
        <f t="shared" si="7"/>
        <v>0</v>
      </c>
      <c r="I321" t="s">
        <v>142</v>
      </c>
      <c r="J321" t="s">
        <v>156</v>
      </c>
      <c r="K321" s="5">
        <f>60 / 86400</f>
        <v>6.9444444444444447E-4</v>
      </c>
      <c r="L321" s="5">
        <f>20 / 86400</f>
        <v>2.3148148148148149E-4</v>
      </c>
    </row>
    <row r="322" spans="1:12" x14ac:dyDescent="0.25">
      <c r="A322" s="3">
        <v>45713.887384259258</v>
      </c>
      <c r="B322" t="s">
        <v>223</v>
      </c>
      <c r="C322" s="3">
        <v>45713.888773148152</v>
      </c>
      <c r="D322" t="s">
        <v>224</v>
      </c>
      <c r="E322" s="4">
        <v>0.58982178151607512</v>
      </c>
      <c r="F322" s="4">
        <v>350666.14415868005</v>
      </c>
      <c r="G322" s="4">
        <v>350666.73398046155</v>
      </c>
      <c r="H322" s="5">
        <f t="shared" si="7"/>
        <v>0</v>
      </c>
      <c r="I322" t="s">
        <v>216</v>
      </c>
      <c r="J322" t="s">
        <v>26</v>
      </c>
      <c r="K322" s="5">
        <f>120 / 86400</f>
        <v>1.3888888888888889E-3</v>
      </c>
      <c r="L322" s="5">
        <f>20 / 86400</f>
        <v>2.3148148148148149E-4</v>
      </c>
    </row>
    <row r="323" spans="1:12" x14ac:dyDescent="0.25">
      <c r="A323" s="3">
        <v>45713.889004629629</v>
      </c>
      <c r="B323" t="s">
        <v>282</v>
      </c>
      <c r="C323" s="3">
        <v>45713.889699074076</v>
      </c>
      <c r="D323" t="s">
        <v>224</v>
      </c>
      <c r="E323" s="4">
        <v>0.31975963068008423</v>
      </c>
      <c r="F323" s="4">
        <v>350666.79708271002</v>
      </c>
      <c r="G323" s="4">
        <v>350667.11684234074</v>
      </c>
      <c r="H323" s="5">
        <f t="shared" si="7"/>
        <v>0</v>
      </c>
      <c r="I323" t="s">
        <v>105</v>
      </c>
      <c r="J323" t="s">
        <v>92</v>
      </c>
      <c r="K323" s="5">
        <f>60 / 86400</f>
        <v>6.9444444444444447E-4</v>
      </c>
      <c r="L323" s="5">
        <f>20 / 86400</f>
        <v>2.3148148148148149E-4</v>
      </c>
    </row>
    <row r="324" spans="1:12" x14ac:dyDescent="0.25">
      <c r="A324" s="3">
        <v>45713.889930555553</v>
      </c>
      <c r="B324" t="s">
        <v>224</v>
      </c>
      <c r="C324" s="3">
        <v>45713.890393518523</v>
      </c>
      <c r="D324" t="s">
        <v>227</v>
      </c>
      <c r="E324" s="4">
        <v>0.24926603299379349</v>
      </c>
      <c r="F324" s="4">
        <v>350667.25454885571</v>
      </c>
      <c r="G324" s="4">
        <v>350667.50381488871</v>
      </c>
      <c r="H324" s="5">
        <f t="shared" si="7"/>
        <v>0</v>
      </c>
      <c r="I324" t="s">
        <v>131</v>
      </c>
      <c r="J324" t="s">
        <v>136</v>
      </c>
      <c r="K324" s="5">
        <f>40 / 86400</f>
        <v>4.6296296296296298E-4</v>
      </c>
      <c r="L324" s="5">
        <f>20 / 86400</f>
        <v>2.3148148148148149E-4</v>
      </c>
    </row>
    <row r="325" spans="1:12" x14ac:dyDescent="0.25">
      <c r="A325" s="3">
        <v>45713.890625</v>
      </c>
      <c r="B325" t="s">
        <v>227</v>
      </c>
      <c r="C325" s="3">
        <v>45713.895787037036</v>
      </c>
      <c r="D325" t="s">
        <v>233</v>
      </c>
      <c r="E325" s="4">
        <v>3.1163146064281464</v>
      </c>
      <c r="F325" s="4">
        <v>350667.5362193464</v>
      </c>
      <c r="G325" s="4">
        <v>350670.65253395285</v>
      </c>
      <c r="H325" s="5">
        <f t="shared" si="7"/>
        <v>0</v>
      </c>
      <c r="I325" t="s">
        <v>153</v>
      </c>
      <c r="J325" t="s">
        <v>190</v>
      </c>
      <c r="K325" s="5">
        <f>446 / 86400</f>
        <v>5.162037037037037E-3</v>
      </c>
      <c r="L325" s="5">
        <f>40 / 86400</f>
        <v>4.6296296296296298E-4</v>
      </c>
    </row>
    <row r="326" spans="1:12" x14ac:dyDescent="0.25">
      <c r="A326" s="3">
        <v>45713.896250000005</v>
      </c>
      <c r="B326" t="s">
        <v>232</v>
      </c>
      <c r="C326" s="3">
        <v>45713.896608796298</v>
      </c>
      <c r="D326" t="s">
        <v>234</v>
      </c>
      <c r="E326" s="4">
        <v>7.3990042150020599E-2</v>
      </c>
      <c r="F326" s="4">
        <v>350670.67641318106</v>
      </c>
      <c r="G326" s="4">
        <v>350670.75040322321</v>
      </c>
      <c r="H326" s="5">
        <f t="shared" si="7"/>
        <v>0</v>
      </c>
      <c r="I326" t="s">
        <v>76</v>
      </c>
      <c r="J326" t="s">
        <v>64</v>
      </c>
      <c r="K326" s="5">
        <f>31 / 86400</f>
        <v>3.5879629629629629E-4</v>
      </c>
      <c r="L326" s="5">
        <f>20 / 86400</f>
        <v>2.3148148148148149E-4</v>
      </c>
    </row>
    <row r="327" spans="1:12" x14ac:dyDescent="0.25">
      <c r="A327" s="3">
        <v>45713.896840277783</v>
      </c>
      <c r="B327" t="s">
        <v>232</v>
      </c>
      <c r="C327" s="3">
        <v>45713.897245370375</v>
      </c>
      <c r="D327" t="s">
        <v>233</v>
      </c>
      <c r="E327" s="4">
        <v>1.2175132036209107E-2</v>
      </c>
      <c r="F327" s="4">
        <v>350670.75429576053</v>
      </c>
      <c r="G327" s="4">
        <v>350670.76647089253</v>
      </c>
      <c r="H327" s="5">
        <f t="shared" si="7"/>
        <v>0</v>
      </c>
      <c r="I327" t="s">
        <v>134</v>
      </c>
      <c r="J327" t="s">
        <v>144</v>
      </c>
      <c r="K327" s="5">
        <f>35 / 86400</f>
        <v>4.0509259259259258E-4</v>
      </c>
      <c r="L327" s="5">
        <f>190 / 86400</f>
        <v>2.1990740740740742E-3</v>
      </c>
    </row>
    <row r="328" spans="1:12" x14ac:dyDescent="0.25">
      <c r="A328" s="3">
        <v>45713.89944444444</v>
      </c>
      <c r="B328" t="s">
        <v>233</v>
      </c>
      <c r="C328" s="3">
        <v>45713.899907407409</v>
      </c>
      <c r="D328" t="s">
        <v>283</v>
      </c>
      <c r="E328" s="4">
        <v>0.24672006279230119</v>
      </c>
      <c r="F328" s="4">
        <v>350670.80292890384</v>
      </c>
      <c r="G328" s="4">
        <v>350671.04964896658</v>
      </c>
      <c r="H328" s="5">
        <f t="shared" si="7"/>
        <v>0</v>
      </c>
      <c r="I328" t="s">
        <v>189</v>
      </c>
      <c r="J328" t="s">
        <v>136</v>
      </c>
      <c r="K328" s="5">
        <f>40 / 86400</f>
        <v>4.6296296296296298E-4</v>
      </c>
      <c r="L328" s="5">
        <f>260 / 86400</f>
        <v>3.0092592592592593E-3</v>
      </c>
    </row>
    <row r="329" spans="1:12" x14ac:dyDescent="0.25">
      <c r="A329" s="3">
        <v>45713.902916666666</v>
      </c>
      <c r="B329" t="s">
        <v>236</v>
      </c>
      <c r="C329" s="3">
        <v>45713.903148148151</v>
      </c>
      <c r="D329" t="s">
        <v>236</v>
      </c>
      <c r="E329" s="4">
        <v>1.7146442532539367E-3</v>
      </c>
      <c r="F329" s="4">
        <v>350671.10869766382</v>
      </c>
      <c r="G329" s="4">
        <v>350671.11041230807</v>
      </c>
      <c r="H329" s="5">
        <f t="shared" si="7"/>
        <v>0</v>
      </c>
      <c r="I329" t="s">
        <v>144</v>
      </c>
      <c r="J329" t="s">
        <v>22</v>
      </c>
      <c r="K329" s="5">
        <f>20 / 86400</f>
        <v>2.3148148148148149E-4</v>
      </c>
      <c r="L329" s="5">
        <f>80 / 86400</f>
        <v>9.2592592592592596E-4</v>
      </c>
    </row>
    <row r="330" spans="1:12" x14ac:dyDescent="0.25">
      <c r="A330" s="3">
        <v>45713.904074074075</v>
      </c>
      <c r="B330" t="s">
        <v>284</v>
      </c>
      <c r="C330" s="3">
        <v>45713.913541666669</v>
      </c>
      <c r="D330" t="s">
        <v>285</v>
      </c>
      <c r="E330" s="4">
        <v>4.5265229049324986</v>
      </c>
      <c r="F330" s="4">
        <v>350671.11814184429</v>
      </c>
      <c r="G330" s="4">
        <v>350675.64466474921</v>
      </c>
      <c r="H330" s="5">
        <f t="shared" si="7"/>
        <v>0</v>
      </c>
      <c r="I330" t="s">
        <v>211</v>
      </c>
      <c r="J330" t="s">
        <v>111</v>
      </c>
      <c r="K330" s="5">
        <f>818 / 86400</f>
        <v>9.4675925925925934E-3</v>
      </c>
      <c r="L330" s="5">
        <f>9 / 86400</f>
        <v>1.0416666666666667E-4</v>
      </c>
    </row>
    <row r="331" spans="1:12" x14ac:dyDescent="0.25">
      <c r="A331" s="3">
        <v>45713.913645833338</v>
      </c>
      <c r="B331" t="s">
        <v>285</v>
      </c>
      <c r="C331" s="3">
        <v>45713.916018518517</v>
      </c>
      <c r="D331" t="s">
        <v>286</v>
      </c>
      <c r="E331" s="4">
        <v>1.1550657185912132</v>
      </c>
      <c r="F331" s="4">
        <v>350675.65224664088</v>
      </c>
      <c r="G331" s="4">
        <v>350676.80731235945</v>
      </c>
      <c r="H331" s="5">
        <f t="shared" si="7"/>
        <v>0</v>
      </c>
      <c r="I331" t="s">
        <v>187</v>
      </c>
      <c r="J331" t="s">
        <v>111</v>
      </c>
      <c r="K331" s="5">
        <f>205 / 86400</f>
        <v>2.3726851851851851E-3</v>
      </c>
      <c r="L331" s="5">
        <f>114 / 86400</f>
        <v>1.3194444444444445E-3</v>
      </c>
    </row>
    <row r="332" spans="1:12" x14ac:dyDescent="0.25">
      <c r="A332" s="3">
        <v>45713.917337962965</v>
      </c>
      <c r="B332" t="s">
        <v>286</v>
      </c>
      <c r="C332" s="3">
        <v>45713.91783564815</v>
      </c>
      <c r="D332" t="s">
        <v>287</v>
      </c>
      <c r="E332" s="4">
        <v>0.21768269598484039</v>
      </c>
      <c r="F332" s="4">
        <v>350676.84303033067</v>
      </c>
      <c r="G332" s="4">
        <v>350677.06071302661</v>
      </c>
      <c r="H332" s="5">
        <f t="shared" si="7"/>
        <v>0</v>
      </c>
      <c r="I332" t="s">
        <v>166</v>
      </c>
      <c r="J332" t="s">
        <v>26</v>
      </c>
      <c r="K332" s="5">
        <f>43 / 86400</f>
        <v>4.9768518518518521E-4</v>
      </c>
      <c r="L332" s="5">
        <f>71 / 86400</f>
        <v>8.2175925925925927E-4</v>
      </c>
    </row>
    <row r="333" spans="1:12" x14ac:dyDescent="0.25">
      <c r="A333" s="3">
        <v>45713.918657407412</v>
      </c>
      <c r="B333" t="s">
        <v>288</v>
      </c>
      <c r="C333" s="3">
        <v>45713.919224537036</v>
      </c>
      <c r="D333" t="s">
        <v>289</v>
      </c>
      <c r="E333" s="4">
        <v>0.42029518097639085</v>
      </c>
      <c r="F333" s="4">
        <v>350677.07911294774</v>
      </c>
      <c r="G333" s="4">
        <v>350677.49940812873</v>
      </c>
      <c r="H333" s="5">
        <f t="shared" si="7"/>
        <v>0</v>
      </c>
      <c r="I333" t="s">
        <v>187</v>
      </c>
      <c r="J333" t="s">
        <v>105</v>
      </c>
      <c r="K333" s="5">
        <f>49 / 86400</f>
        <v>5.6712962962962967E-4</v>
      </c>
      <c r="L333" s="5">
        <f>40 / 86400</f>
        <v>4.6296296296296298E-4</v>
      </c>
    </row>
    <row r="334" spans="1:12" x14ac:dyDescent="0.25">
      <c r="A334" s="3">
        <v>45713.919687500005</v>
      </c>
      <c r="B334" t="s">
        <v>289</v>
      </c>
      <c r="C334" s="3">
        <v>45713.919918981483</v>
      </c>
      <c r="D334" t="s">
        <v>263</v>
      </c>
      <c r="E334" s="4">
        <v>0.10136474871635437</v>
      </c>
      <c r="F334" s="4">
        <v>350677.51107944816</v>
      </c>
      <c r="G334" s="4">
        <v>350677.61244419689</v>
      </c>
      <c r="H334" s="5">
        <f t="shared" si="7"/>
        <v>0</v>
      </c>
      <c r="I334" t="s">
        <v>134</v>
      </c>
      <c r="J334" t="s">
        <v>26</v>
      </c>
      <c r="K334" s="5">
        <f>20 / 86400</f>
        <v>2.3148148148148149E-4</v>
      </c>
      <c r="L334" s="5">
        <f>36 / 86400</f>
        <v>4.1666666666666669E-4</v>
      </c>
    </row>
    <row r="335" spans="1:12" x14ac:dyDescent="0.25">
      <c r="A335" s="3">
        <v>45713.920335648145</v>
      </c>
      <c r="B335" t="s">
        <v>263</v>
      </c>
      <c r="C335" s="3">
        <v>45713.923136574071</v>
      </c>
      <c r="D335" t="s">
        <v>290</v>
      </c>
      <c r="E335" s="4">
        <v>1.8023308776021003</v>
      </c>
      <c r="F335" s="4">
        <v>350677.61453401775</v>
      </c>
      <c r="G335" s="4">
        <v>350679.41686489532</v>
      </c>
      <c r="H335" s="5">
        <f t="shared" si="7"/>
        <v>0</v>
      </c>
      <c r="I335" t="s">
        <v>142</v>
      </c>
      <c r="J335" t="s">
        <v>164</v>
      </c>
      <c r="K335" s="5">
        <f>242 / 86400</f>
        <v>2.8009259259259259E-3</v>
      </c>
      <c r="L335" s="5">
        <f>40 / 86400</f>
        <v>4.6296296296296298E-4</v>
      </c>
    </row>
    <row r="336" spans="1:12" x14ac:dyDescent="0.25">
      <c r="A336" s="3">
        <v>45713.92359953704</v>
      </c>
      <c r="B336" t="s">
        <v>291</v>
      </c>
      <c r="C336" s="3">
        <v>45713.924884259264</v>
      </c>
      <c r="D336" t="s">
        <v>291</v>
      </c>
      <c r="E336" s="4">
        <v>0.46774271243810656</v>
      </c>
      <c r="F336" s="4">
        <v>350679.61617740901</v>
      </c>
      <c r="G336" s="4">
        <v>350680.08392012143</v>
      </c>
      <c r="H336" s="5">
        <f t="shared" si="7"/>
        <v>0</v>
      </c>
      <c r="I336" t="s">
        <v>151</v>
      </c>
      <c r="J336" t="s">
        <v>76</v>
      </c>
      <c r="K336" s="5">
        <f>111 / 86400</f>
        <v>1.2847222222222223E-3</v>
      </c>
      <c r="L336" s="5">
        <f>40 / 86400</f>
        <v>4.6296296296296298E-4</v>
      </c>
    </row>
    <row r="337" spans="1:12" x14ac:dyDescent="0.25">
      <c r="A337" s="3">
        <v>45713.925347222219</v>
      </c>
      <c r="B337" t="s">
        <v>291</v>
      </c>
      <c r="C337" s="3">
        <v>45713.92586805555</v>
      </c>
      <c r="D337" t="s">
        <v>291</v>
      </c>
      <c r="E337" s="4">
        <v>9.6913960158824919E-2</v>
      </c>
      <c r="F337" s="4">
        <v>350680.09084286465</v>
      </c>
      <c r="G337" s="4">
        <v>350680.18775682477</v>
      </c>
      <c r="H337" s="5">
        <f t="shared" si="7"/>
        <v>0</v>
      </c>
      <c r="I337" t="s">
        <v>26</v>
      </c>
      <c r="J337" t="s">
        <v>97</v>
      </c>
      <c r="K337" s="5">
        <f>45 / 86400</f>
        <v>5.2083333333333333E-4</v>
      </c>
      <c r="L337" s="5">
        <f>38 / 86400</f>
        <v>4.3981481481481481E-4</v>
      </c>
    </row>
    <row r="338" spans="1:12" x14ac:dyDescent="0.25">
      <c r="A338" s="3">
        <v>45713.926307870366</v>
      </c>
      <c r="B338" t="s">
        <v>290</v>
      </c>
      <c r="C338" s="3">
        <v>45713.926539351851</v>
      </c>
      <c r="D338" t="s">
        <v>249</v>
      </c>
      <c r="E338" s="4">
        <v>2.8082320690155029E-3</v>
      </c>
      <c r="F338" s="4">
        <v>350680.2064851842</v>
      </c>
      <c r="G338" s="4">
        <v>350680.20929341624</v>
      </c>
      <c r="H338" s="5">
        <f t="shared" si="7"/>
        <v>0</v>
      </c>
      <c r="I338" t="s">
        <v>146</v>
      </c>
      <c r="J338" t="s">
        <v>144</v>
      </c>
      <c r="K338" s="5">
        <f>20 / 86400</f>
        <v>2.3148148148148149E-4</v>
      </c>
      <c r="L338" s="5">
        <f>100 / 86400</f>
        <v>1.1574074074074073E-3</v>
      </c>
    </row>
    <row r="339" spans="1:12" x14ac:dyDescent="0.25">
      <c r="A339" s="3">
        <v>45713.92769675926</v>
      </c>
      <c r="B339" t="s">
        <v>251</v>
      </c>
      <c r="C339" s="3">
        <v>45713.928020833337</v>
      </c>
      <c r="D339" t="s">
        <v>252</v>
      </c>
      <c r="E339" s="4">
        <v>7.0866281926631927E-2</v>
      </c>
      <c r="F339" s="4">
        <v>350680.30670427065</v>
      </c>
      <c r="G339" s="4">
        <v>350680.37757055258</v>
      </c>
      <c r="H339" s="5">
        <f t="shared" si="7"/>
        <v>0</v>
      </c>
      <c r="I339" t="s">
        <v>105</v>
      </c>
      <c r="J339" t="s">
        <v>64</v>
      </c>
      <c r="K339" s="5">
        <f>28 / 86400</f>
        <v>3.2407407407407406E-4</v>
      </c>
      <c r="L339" s="5">
        <f>40 / 86400</f>
        <v>4.6296296296296298E-4</v>
      </c>
    </row>
    <row r="340" spans="1:12" x14ac:dyDescent="0.25">
      <c r="A340" s="3">
        <v>45713.928483796291</v>
      </c>
      <c r="B340" t="s">
        <v>252</v>
      </c>
      <c r="C340" s="3">
        <v>45713.928715277776</v>
      </c>
      <c r="D340" t="s">
        <v>253</v>
      </c>
      <c r="E340" s="4">
        <v>4.2328205943107607E-2</v>
      </c>
      <c r="F340" s="4">
        <v>350680.3921598912</v>
      </c>
      <c r="G340" s="4">
        <v>350680.43448809715</v>
      </c>
      <c r="H340" s="5">
        <f t="shared" si="7"/>
        <v>0</v>
      </c>
      <c r="I340" t="s">
        <v>92</v>
      </c>
      <c r="J340" t="s">
        <v>97</v>
      </c>
      <c r="K340" s="5">
        <f>20 / 86400</f>
        <v>2.3148148148148149E-4</v>
      </c>
      <c r="L340" s="5">
        <f>100 / 86400</f>
        <v>1.1574074074074073E-3</v>
      </c>
    </row>
    <row r="341" spans="1:12" x14ac:dyDescent="0.25">
      <c r="A341" s="3">
        <v>45713.929872685185</v>
      </c>
      <c r="B341" t="s">
        <v>253</v>
      </c>
      <c r="C341" s="3">
        <v>45713.930868055555</v>
      </c>
      <c r="D341" t="s">
        <v>292</v>
      </c>
      <c r="E341" s="4">
        <v>0.51935675454139707</v>
      </c>
      <c r="F341" s="4">
        <v>350680.45083771081</v>
      </c>
      <c r="G341" s="4">
        <v>350680.97019446536</v>
      </c>
      <c r="H341" s="5">
        <f t="shared" si="7"/>
        <v>0</v>
      </c>
      <c r="I341" t="s">
        <v>160</v>
      </c>
      <c r="J341" t="s">
        <v>136</v>
      </c>
      <c r="K341" s="5">
        <f>86 / 86400</f>
        <v>9.9537037037037042E-4</v>
      </c>
      <c r="L341" s="5">
        <f>180 / 86400</f>
        <v>2.0833333333333333E-3</v>
      </c>
    </row>
    <row r="342" spans="1:12" x14ac:dyDescent="0.25">
      <c r="A342" s="3">
        <v>45713.932951388888</v>
      </c>
      <c r="B342" t="s">
        <v>253</v>
      </c>
      <c r="C342" s="3">
        <v>45713.933645833335</v>
      </c>
      <c r="D342" t="s">
        <v>262</v>
      </c>
      <c r="E342" s="4">
        <v>0.41998290723562243</v>
      </c>
      <c r="F342" s="4">
        <v>350681.07465823571</v>
      </c>
      <c r="G342" s="4">
        <v>350681.49464114296</v>
      </c>
      <c r="H342" s="5">
        <f t="shared" si="7"/>
        <v>0</v>
      </c>
      <c r="I342" t="s">
        <v>193</v>
      </c>
      <c r="J342" t="s">
        <v>190</v>
      </c>
      <c r="K342" s="5">
        <f>60 / 86400</f>
        <v>6.9444444444444447E-4</v>
      </c>
      <c r="L342" s="5">
        <f>20 / 86400</f>
        <v>2.3148148148148149E-4</v>
      </c>
    </row>
    <row r="343" spans="1:12" x14ac:dyDescent="0.25">
      <c r="A343" s="3">
        <v>45713.933877314819</v>
      </c>
      <c r="B343" t="s">
        <v>262</v>
      </c>
      <c r="C343" s="3">
        <v>45713.936087962968</v>
      </c>
      <c r="D343" t="s">
        <v>293</v>
      </c>
      <c r="E343" s="4">
        <v>1.0345168530941009</v>
      </c>
      <c r="F343" s="4">
        <v>350681.50207996077</v>
      </c>
      <c r="G343" s="4">
        <v>350682.53659681388</v>
      </c>
      <c r="H343" s="5">
        <f t="shared" si="7"/>
        <v>0</v>
      </c>
      <c r="I343" t="s">
        <v>156</v>
      </c>
      <c r="J343" t="s">
        <v>92</v>
      </c>
      <c r="K343" s="5">
        <f>191 / 86400</f>
        <v>2.2106481481481482E-3</v>
      </c>
      <c r="L343" s="5">
        <f>20 / 86400</f>
        <v>2.3148148148148149E-4</v>
      </c>
    </row>
    <row r="344" spans="1:12" x14ac:dyDescent="0.25">
      <c r="A344" s="3">
        <v>45713.936319444445</v>
      </c>
      <c r="B344" t="s">
        <v>293</v>
      </c>
      <c r="C344" s="3">
        <v>45713.937013888892</v>
      </c>
      <c r="D344" t="s">
        <v>263</v>
      </c>
      <c r="E344" s="4">
        <v>0.39900100016593931</v>
      </c>
      <c r="F344" s="4">
        <v>350682.54079469159</v>
      </c>
      <c r="G344" s="4">
        <v>350682.93979569181</v>
      </c>
      <c r="H344" s="5">
        <f t="shared" si="7"/>
        <v>0</v>
      </c>
      <c r="I344" t="s">
        <v>215</v>
      </c>
      <c r="J344" t="s">
        <v>119</v>
      </c>
      <c r="K344" s="5">
        <f>60 / 86400</f>
        <v>6.9444444444444447E-4</v>
      </c>
      <c r="L344" s="5">
        <f>35 / 86400</f>
        <v>4.0509259259259258E-4</v>
      </c>
    </row>
    <row r="345" spans="1:12" x14ac:dyDescent="0.25">
      <c r="A345" s="3">
        <v>45713.937418981484</v>
      </c>
      <c r="B345" t="s">
        <v>264</v>
      </c>
      <c r="C345" s="3">
        <v>45713.942557870367</v>
      </c>
      <c r="D345" t="s">
        <v>294</v>
      </c>
      <c r="E345" s="4">
        <v>2.6297745860815049</v>
      </c>
      <c r="F345" s="4">
        <v>350683.01659486099</v>
      </c>
      <c r="G345" s="4">
        <v>350685.64636944706</v>
      </c>
      <c r="H345" s="5">
        <f t="shared" si="7"/>
        <v>0</v>
      </c>
      <c r="I345" t="s">
        <v>187</v>
      </c>
      <c r="J345" t="s">
        <v>125</v>
      </c>
      <c r="K345" s="5">
        <f>444 / 86400</f>
        <v>5.138888888888889E-3</v>
      </c>
      <c r="L345" s="5">
        <f>40 / 86400</f>
        <v>4.6296296296296298E-4</v>
      </c>
    </row>
    <row r="346" spans="1:12" x14ac:dyDescent="0.25">
      <c r="A346" s="3">
        <v>45713.943020833336</v>
      </c>
      <c r="B346" t="s">
        <v>294</v>
      </c>
      <c r="C346" s="3">
        <v>45713.947418981479</v>
      </c>
      <c r="D346" t="s">
        <v>295</v>
      </c>
      <c r="E346" s="4">
        <v>3.0991516349315642</v>
      </c>
      <c r="F346" s="4">
        <v>350685.80066352885</v>
      </c>
      <c r="G346" s="4">
        <v>350688.89981516381</v>
      </c>
      <c r="H346" s="5">
        <f t="shared" si="7"/>
        <v>0</v>
      </c>
      <c r="I346" t="s">
        <v>296</v>
      </c>
      <c r="J346" t="s">
        <v>228</v>
      </c>
      <c r="K346" s="5">
        <f>380 / 86400</f>
        <v>4.3981481481481484E-3</v>
      </c>
      <c r="L346" s="5">
        <f>200 / 86400</f>
        <v>2.3148148148148147E-3</v>
      </c>
    </row>
    <row r="347" spans="1:12" x14ac:dyDescent="0.25">
      <c r="A347" s="3">
        <v>45713.949733796297</v>
      </c>
      <c r="B347" t="s">
        <v>295</v>
      </c>
      <c r="C347" s="3">
        <v>45713.950567129628</v>
      </c>
      <c r="D347" t="s">
        <v>80</v>
      </c>
      <c r="E347" s="4">
        <v>0.11391794770956039</v>
      </c>
      <c r="F347" s="4">
        <v>350688.99218966695</v>
      </c>
      <c r="G347" s="4">
        <v>350689.10610761464</v>
      </c>
      <c r="H347" s="5">
        <f t="shared" si="7"/>
        <v>0</v>
      </c>
      <c r="I347" t="s">
        <v>20</v>
      </c>
      <c r="J347" t="s">
        <v>145</v>
      </c>
      <c r="K347" s="5">
        <f>72 / 86400</f>
        <v>8.3333333333333339E-4</v>
      </c>
      <c r="L347" s="5">
        <f>40 / 86400</f>
        <v>4.6296296296296298E-4</v>
      </c>
    </row>
    <row r="348" spans="1:12" x14ac:dyDescent="0.25">
      <c r="A348" s="3">
        <v>45713.95103009259</v>
      </c>
      <c r="B348" t="s">
        <v>80</v>
      </c>
      <c r="C348" s="3">
        <v>45713.951574074075</v>
      </c>
      <c r="D348" t="s">
        <v>234</v>
      </c>
      <c r="E348" s="4">
        <v>0.10646437585353852</v>
      </c>
      <c r="F348" s="4">
        <v>350689.11757018103</v>
      </c>
      <c r="G348" s="4">
        <v>350689.22403455689</v>
      </c>
      <c r="H348" s="5">
        <f t="shared" si="7"/>
        <v>0</v>
      </c>
      <c r="I348" t="s">
        <v>158</v>
      </c>
      <c r="J348" t="s">
        <v>97</v>
      </c>
      <c r="K348" s="5">
        <f>47 / 86400</f>
        <v>5.4398148148148144E-4</v>
      </c>
      <c r="L348" s="5">
        <f>10 / 86400</f>
        <v>1.1574074074074075E-4</v>
      </c>
    </row>
    <row r="349" spans="1:12" x14ac:dyDescent="0.25">
      <c r="A349" s="3">
        <v>45713.951689814814</v>
      </c>
      <c r="B349" t="s">
        <v>234</v>
      </c>
      <c r="C349" s="3">
        <v>45713.955532407403</v>
      </c>
      <c r="D349" t="s">
        <v>276</v>
      </c>
      <c r="E349" s="4">
        <v>1.8648697678446771</v>
      </c>
      <c r="F349" s="4">
        <v>350689.23140304681</v>
      </c>
      <c r="G349" s="4">
        <v>350691.09627281461</v>
      </c>
      <c r="H349" s="5">
        <f t="shared" si="7"/>
        <v>0</v>
      </c>
      <c r="I349" t="s">
        <v>196</v>
      </c>
      <c r="J349" t="s">
        <v>111</v>
      </c>
      <c r="K349" s="5">
        <f>332 / 86400</f>
        <v>3.8425925925925928E-3</v>
      </c>
      <c r="L349" s="5">
        <f>20 / 86400</f>
        <v>2.3148148148148149E-4</v>
      </c>
    </row>
    <row r="350" spans="1:12" x14ac:dyDescent="0.25">
      <c r="A350" s="3">
        <v>45713.955763888887</v>
      </c>
      <c r="B350" t="s">
        <v>276</v>
      </c>
      <c r="C350" s="3">
        <v>45713.957326388889</v>
      </c>
      <c r="D350" t="s">
        <v>230</v>
      </c>
      <c r="E350" s="4">
        <v>0.92336371916532511</v>
      </c>
      <c r="F350" s="4">
        <v>350691.10563644511</v>
      </c>
      <c r="G350" s="4">
        <v>350692.02900016424</v>
      </c>
      <c r="H350" s="5">
        <f t="shared" si="7"/>
        <v>0</v>
      </c>
      <c r="I350" t="s">
        <v>216</v>
      </c>
      <c r="J350" t="s">
        <v>190</v>
      </c>
      <c r="K350" s="5">
        <f>135 / 86400</f>
        <v>1.5625000000000001E-3</v>
      </c>
      <c r="L350" s="5">
        <f>20 / 86400</f>
        <v>2.3148148148148149E-4</v>
      </c>
    </row>
    <row r="351" spans="1:12" x14ac:dyDescent="0.25">
      <c r="A351" s="3">
        <v>45713.957557870366</v>
      </c>
      <c r="B351" t="s">
        <v>230</v>
      </c>
      <c r="C351" s="3">
        <v>45713.964537037042</v>
      </c>
      <c r="D351" t="s">
        <v>297</v>
      </c>
      <c r="E351" s="4">
        <v>4.1830042692422866</v>
      </c>
      <c r="F351" s="4">
        <v>350692.15120321582</v>
      </c>
      <c r="G351" s="4">
        <v>350696.33420748508</v>
      </c>
      <c r="H351" s="5">
        <f t="shared" si="7"/>
        <v>0</v>
      </c>
      <c r="I351" t="s">
        <v>176</v>
      </c>
      <c r="J351" t="s">
        <v>190</v>
      </c>
      <c r="K351" s="5">
        <f>603 / 86400</f>
        <v>6.9791666666666665E-3</v>
      </c>
      <c r="L351" s="5">
        <f>20 / 86400</f>
        <v>2.3148148148148149E-4</v>
      </c>
    </row>
    <row r="352" spans="1:12" x14ac:dyDescent="0.25">
      <c r="A352" s="3">
        <v>45713.964768518519</v>
      </c>
      <c r="B352" t="s">
        <v>297</v>
      </c>
      <c r="C352" s="3">
        <v>45713.965462962966</v>
      </c>
      <c r="D352" t="s">
        <v>298</v>
      </c>
      <c r="E352" s="4">
        <v>2.7664077877998353E-2</v>
      </c>
      <c r="F352" s="4">
        <v>350696.34201694484</v>
      </c>
      <c r="G352" s="4">
        <v>350696.36968102271</v>
      </c>
      <c r="H352" s="5">
        <f t="shared" ref="H352:H370" si="8">0 / 86400</f>
        <v>0</v>
      </c>
      <c r="I352" t="s">
        <v>106</v>
      </c>
      <c r="J352" t="s">
        <v>147</v>
      </c>
      <c r="K352" s="5">
        <f>60 / 86400</f>
        <v>6.9444444444444447E-4</v>
      </c>
      <c r="L352" s="5">
        <f>11 / 86400</f>
        <v>1.273148148148148E-4</v>
      </c>
    </row>
    <row r="353" spans="1:12" x14ac:dyDescent="0.25">
      <c r="A353" s="3">
        <v>45713.965590277774</v>
      </c>
      <c r="B353" t="s">
        <v>298</v>
      </c>
      <c r="C353" s="3">
        <v>45713.966180555552</v>
      </c>
      <c r="D353" t="s">
        <v>299</v>
      </c>
      <c r="E353" s="4">
        <v>0.19657441538572312</v>
      </c>
      <c r="F353" s="4">
        <v>350696.37224988139</v>
      </c>
      <c r="G353" s="4">
        <v>350696.56882429676</v>
      </c>
      <c r="H353" s="5">
        <f t="shared" si="8"/>
        <v>0</v>
      </c>
      <c r="I353" t="s">
        <v>111</v>
      </c>
      <c r="J353" t="s">
        <v>29</v>
      </c>
      <c r="K353" s="5">
        <f>51 / 86400</f>
        <v>5.9027777777777778E-4</v>
      </c>
      <c r="L353" s="5">
        <f>49 / 86400</f>
        <v>5.6712962962962967E-4</v>
      </c>
    </row>
    <row r="354" spans="1:12" x14ac:dyDescent="0.25">
      <c r="A354" s="3">
        <v>45713.96674768519</v>
      </c>
      <c r="B354" t="s">
        <v>299</v>
      </c>
      <c r="C354" s="3">
        <v>45713.967442129629</v>
      </c>
      <c r="D354" t="s">
        <v>219</v>
      </c>
      <c r="E354" s="4">
        <v>0.23766455370187758</v>
      </c>
      <c r="F354" s="4">
        <v>350696.57738098822</v>
      </c>
      <c r="G354" s="4">
        <v>350696.81504554197</v>
      </c>
      <c r="H354" s="5">
        <f t="shared" si="8"/>
        <v>0</v>
      </c>
      <c r="I354" t="s">
        <v>156</v>
      </c>
      <c r="J354" t="s">
        <v>29</v>
      </c>
      <c r="K354" s="5">
        <f>60 / 86400</f>
        <v>6.9444444444444447E-4</v>
      </c>
      <c r="L354" s="5">
        <f>12 / 86400</f>
        <v>1.3888888888888889E-4</v>
      </c>
    </row>
    <row r="355" spans="1:12" x14ac:dyDescent="0.25">
      <c r="A355" s="3">
        <v>45713.967581018514</v>
      </c>
      <c r="B355" t="s">
        <v>219</v>
      </c>
      <c r="C355" s="3">
        <v>45713.969594907408</v>
      </c>
      <c r="D355" t="s">
        <v>300</v>
      </c>
      <c r="E355" s="4">
        <v>1.1164297502636908</v>
      </c>
      <c r="F355" s="4">
        <v>350696.81710215972</v>
      </c>
      <c r="G355" s="4">
        <v>350697.93353191001</v>
      </c>
      <c r="H355" s="5">
        <f t="shared" si="8"/>
        <v>0</v>
      </c>
      <c r="I355" t="s">
        <v>69</v>
      </c>
      <c r="J355" t="s">
        <v>38</v>
      </c>
      <c r="K355" s="5">
        <f>174 / 86400</f>
        <v>2.0138888888888888E-3</v>
      </c>
      <c r="L355" s="5">
        <f>60 / 86400</f>
        <v>6.9444444444444447E-4</v>
      </c>
    </row>
    <row r="356" spans="1:12" x14ac:dyDescent="0.25">
      <c r="A356" s="3">
        <v>45713.970289351855</v>
      </c>
      <c r="B356" t="s">
        <v>220</v>
      </c>
      <c r="C356" s="3">
        <v>45713.970520833333</v>
      </c>
      <c r="D356" t="s">
        <v>220</v>
      </c>
      <c r="E356" s="4">
        <v>5.3085497617721559E-3</v>
      </c>
      <c r="F356" s="4">
        <v>350697.93888430687</v>
      </c>
      <c r="G356" s="4">
        <v>350697.94419285661</v>
      </c>
      <c r="H356" s="5">
        <f t="shared" si="8"/>
        <v>0</v>
      </c>
      <c r="I356" t="s">
        <v>144</v>
      </c>
      <c r="J356" t="s">
        <v>144</v>
      </c>
      <c r="K356" s="5">
        <f>20 / 86400</f>
        <v>2.3148148148148149E-4</v>
      </c>
      <c r="L356" s="5">
        <f>15 / 86400</f>
        <v>1.7361111111111112E-4</v>
      </c>
    </row>
    <row r="357" spans="1:12" x14ac:dyDescent="0.25">
      <c r="A357" s="3">
        <v>45713.970694444448</v>
      </c>
      <c r="B357" t="s">
        <v>220</v>
      </c>
      <c r="C357" s="3">
        <v>45713.971620370372</v>
      </c>
      <c r="D357" t="s">
        <v>301</v>
      </c>
      <c r="E357" s="4">
        <v>0.45400559592247008</v>
      </c>
      <c r="F357" s="4">
        <v>350697.95103994681</v>
      </c>
      <c r="G357" s="4">
        <v>350698.40504554269</v>
      </c>
      <c r="H357" s="5">
        <f t="shared" si="8"/>
        <v>0</v>
      </c>
      <c r="I357" t="s">
        <v>150</v>
      </c>
      <c r="J357" t="s">
        <v>111</v>
      </c>
      <c r="K357" s="5">
        <f>80 / 86400</f>
        <v>9.2592592592592596E-4</v>
      </c>
      <c r="L357" s="5">
        <f>20 / 86400</f>
        <v>2.3148148148148149E-4</v>
      </c>
    </row>
    <row r="358" spans="1:12" x14ac:dyDescent="0.25">
      <c r="A358" s="3">
        <v>45713.971851851849</v>
      </c>
      <c r="B358" t="s">
        <v>302</v>
      </c>
      <c r="C358" s="3">
        <v>45713.973240740743</v>
      </c>
      <c r="D358" t="s">
        <v>219</v>
      </c>
      <c r="E358" s="4">
        <v>0.73001134276390078</v>
      </c>
      <c r="F358" s="4">
        <v>350698.4363974086</v>
      </c>
      <c r="G358" s="4">
        <v>350699.16640875139</v>
      </c>
      <c r="H358" s="5">
        <f t="shared" si="8"/>
        <v>0</v>
      </c>
      <c r="I358" t="s">
        <v>179</v>
      </c>
      <c r="J358" t="s">
        <v>136</v>
      </c>
      <c r="K358" s="5">
        <f>120 / 86400</f>
        <v>1.3888888888888889E-3</v>
      </c>
      <c r="L358" s="5">
        <f>20 / 86400</f>
        <v>2.3148148148148149E-4</v>
      </c>
    </row>
    <row r="359" spans="1:12" x14ac:dyDescent="0.25">
      <c r="A359" s="3">
        <v>45713.97347222222</v>
      </c>
      <c r="B359" t="s">
        <v>219</v>
      </c>
      <c r="C359" s="3">
        <v>45713.975324074076</v>
      </c>
      <c r="D359" t="s">
        <v>99</v>
      </c>
      <c r="E359" s="4">
        <v>1.4740295135378838</v>
      </c>
      <c r="F359" s="4">
        <v>350699.17994652293</v>
      </c>
      <c r="G359" s="4">
        <v>350700.65397603647</v>
      </c>
      <c r="H359" s="5">
        <f t="shared" si="8"/>
        <v>0</v>
      </c>
      <c r="I359" t="s">
        <v>203</v>
      </c>
      <c r="J359" t="s">
        <v>201</v>
      </c>
      <c r="K359" s="5">
        <f>160 / 86400</f>
        <v>1.8518518518518519E-3</v>
      </c>
      <c r="L359" s="5">
        <f>20 / 86400</f>
        <v>2.3148148148148149E-4</v>
      </c>
    </row>
    <row r="360" spans="1:12" x14ac:dyDescent="0.25">
      <c r="A360" s="3">
        <v>45713.97555555556</v>
      </c>
      <c r="B360" t="s">
        <v>99</v>
      </c>
      <c r="C360" s="3">
        <v>45713.977407407408</v>
      </c>
      <c r="D360" t="s">
        <v>212</v>
      </c>
      <c r="E360" s="4">
        <v>1.7389849428534507</v>
      </c>
      <c r="F360" s="4">
        <v>350700.65612788824</v>
      </c>
      <c r="G360" s="4">
        <v>350702.39511283109</v>
      </c>
      <c r="H360" s="5">
        <f t="shared" si="8"/>
        <v>0</v>
      </c>
      <c r="I360" t="s">
        <v>208</v>
      </c>
      <c r="J360" t="s">
        <v>138</v>
      </c>
      <c r="K360" s="5">
        <f>160 / 86400</f>
        <v>1.8518518518518519E-3</v>
      </c>
      <c r="L360" s="5">
        <f>40 / 86400</f>
        <v>4.6296296296296298E-4</v>
      </c>
    </row>
    <row r="361" spans="1:12" x14ac:dyDescent="0.25">
      <c r="A361" s="3">
        <v>45713.977870370371</v>
      </c>
      <c r="B361" t="s">
        <v>212</v>
      </c>
      <c r="C361" s="3">
        <v>45713.981574074074</v>
      </c>
      <c r="D361" t="s">
        <v>303</v>
      </c>
      <c r="E361" s="4">
        <v>3.6517656399011611</v>
      </c>
      <c r="F361" s="4">
        <v>350702.4213804896</v>
      </c>
      <c r="G361" s="4">
        <v>350706.07314612949</v>
      </c>
      <c r="H361" s="5">
        <f t="shared" si="8"/>
        <v>0</v>
      </c>
      <c r="I361" t="s">
        <v>247</v>
      </c>
      <c r="J361" t="s">
        <v>215</v>
      </c>
      <c r="K361" s="5">
        <f>320 / 86400</f>
        <v>3.7037037037037038E-3</v>
      </c>
      <c r="L361" s="5">
        <f>60 / 86400</f>
        <v>6.9444444444444447E-4</v>
      </c>
    </row>
    <row r="362" spans="1:12" x14ac:dyDescent="0.25">
      <c r="A362" s="3">
        <v>45713.982268518521</v>
      </c>
      <c r="B362" t="s">
        <v>304</v>
      </c>
      <c r="C362" s="3">
        <v>45713.98265046296</v>
      </c>
      <c r="D362" t="s">
        <v>304</v>
      </c>
      <c r="E362" s="4">
        <v>4.2226036012172702E-2</v>
      </c>
      <c r="F362" s="4">
        <v>350706.11840022472</v>
      </c>
      <c r="G362" s="4">
        <v>350706.16062626074</v>
      </c>
      <c r="H362" s="5">
        <f t="shared" si="8"/>
        <v>0</v>
      </c>
      <c r="I362" t="s">
        <v>136</v>
      </c>
      <c r="J362" t="s">
        <v>146</v>
      </c>
      <c r="K362" s="5">
        <f>33 / 86400</f>
        <v>3.8194444444444446E-4</v>
      </c>
      <c r="L362" s="5">
        <f>535 / 86400</f>
        <v>6.1921296296296299E-3</v>
      </c>
    </row>
    <row r="363" spans="1:12" x14ac:dyDescent="0.25">
      <c r="A363" s="3">
        <v>45713.988842592589</v>
      </c>
      <c r="B363" t="s">
        <v>303</v>
      </c>
      <c r="C363" s="3">
        <v>45713.990520833337</v>
      </c>
      <c r="D363" t="s">
        <v>172</v>
      </c>
      <c r="E363" s="4">
        <v>0.39511362171173098</v>
      </c>
      <c r="F363" s="4">
        <v>350706.18901987548</v>
      </c>
      <c r="G363" s="4">
        <v>350706.58413349721</v>
      </c>
      <c r="H363" s="5">
        <f t="shared" si="8"/>
        <v>0</v>
      </c>
      <c r="I363" t="s">
        <v>92</v>
      </c>
      <c r="J363" t="s">
        <v>134</v>
      </c>
      <c r="K363" s="5">
        <f>145 / 86400</f>
        <v>1.6782407407407408E-3</v>
      </c>
      <c r="L363" s="5">
        <f>20 / 86400</f>
        <v>2.3148148148148149E-4</v>
      </c>
    </row>
    <row r="364" spans="1:12" x14ac:dyDescent="0.25">
      <c r="A364" s="3">
        <v>45713.990752314814</v>
      </c>
      <c r="B364" t="s">
        <v>305</v>
      </c>
      <c r="C364" s="3">
        <v>45713.991215277776</v>
      </c>
      <c r="D364" t="s">
        <v>172</v>
      </c>
      <c r="E364" s="4">
        <v>1.4284409880638123E-2</v>
      </c>
      <c r="F364" s="4">
        <v>350706.59014002833</v>
      </c>
      <c r="G364" s="4">
        <v>350706.60442443826</v>
      </c>
      <c r="H364" s="5">
        <f t="shared" si="8"/>
        <v>0</v>
      </c>
      <c r="I364" t="s">
        <v>147</v>
      </c>
      <c r="J364" t="s">
        <v>144</v>
      </c>
      <c r="K364" s="5">
        <f>40 / 86400</f>
        <v>4.6296296296296298E-4</v>
      </c>
      <c r="L364" s="5">
        <f>40 / 86400</f>
        <v>4.6296296296296298E-4</v>
      </c>
    </row>
    <row r="365" spans="1:12" x14ac:dyDescent="0.25">
      <c r="A365" s="3">
        <v>45713.991678240738</v>
      </c>
      <c r="B365" t="s">
        <v>172</v>
      </c>
      <c r="C365" s="3">
        <v>45713.991909722223</v>
      </c>
      <c r="D365" t="s">
        <v>172</v>
      </c>
      <c r="E365" s="4">
        <v>3.8114428520202638E-3</v>
      </c>
      <c r="F365" s="4">
        <v>350706.60776256624</v>
      </c>
      <c r="G365" s="4">
        <v>350706.61157400912</v>
      </c>
      <c r="H365" s="5">
        <f t="shared" si="8"/>
        <v>0</v>
      </c>
      <c r="I365" t="s">
        <v>144</v>
      </c>
      <c r="J365" t="s">
        <v>144</v>
      </c>
      <c r="K365" s="5">
        <f>20 / 86400</f>
        <v>2.3148148148148149E-4</v>
      </c>
      <c r="L365" s="5">
        <f>6 / 86400</f>
        <v>6.9444444444444444E-5</v>
      </c>
    </row>
    <row r="366" spans="1:12" x14ac:dyDescent="0.25">
      <c r="A366" s="3">
        <v>45713.991979166662</v>
      </c>
      <c r="B366" t="s">
        <v>305</v>
      </c>
      <c r="C366" s="3">
        <v>45713.99255787037</v>
      </c>
      <c r="D366" t="s">
        <v>305</v>
      </c>
      <c r="E366" s="4">
        <v>2.4689252853393556E-2</v>
      </c>
      <c r="F366" s="4">
        <v>350706.61467737867</v>
      </c>
      <c r="G366" s="4">
        <v>350706.63936663151</v>
      </c>
      <c r="H366" s="5">
        <f t="shared" si="8"/>
        <v>0</v>
      </c>
      <c r="I366" t="s">
        <v>146</v>
      </c>
      <c r="J366" t="s">
        <v>147</v>
      </c>
      <c r="K366" s="5">
        <f>50 / 86400</f>
        <v>5.7870370370370367E-4</v>
      </c>
      <c r="L366" s="5">
        <f>67 / 86400</f>
        <v>7.7546296296296293E-4</v>
      </c>
    </row>
    <row r="367" spans="1:12" x14ac:dyDescent="0.25">
      <c r="A367" s="3">
        <v>45713.993333333332</v>
      </c>
      <c r="B367" t="s">
        <v>305</v>
      </c>
      <c r="C367" s="3">
        <v>45713.993807870371</v>
      </c>
      <c r="D367" t="s">
        <v>66</v>
      </c>
      <c r="E367" s="4">
        <v>3.6844130635261534E-2</v>
      </c>
      <c r="F367" s="4">
        <v>350706.65891598241</v>
      </c>
      <c r="G367" s="4">
        <v>350706.69576011307</v>
      </c>
      <c r="H367" s="5">
        <f t="shared" si="8"/>
        <v>0</v>
      </c>
      <c r="I367" t="s">
        <v>97</v>
      </c>
      <c r="J367" t="s">
        <v>106</v>
      </c>
      <c r="K367" s="5">
        <f>41 / 86400</f>
        <v>4.7453703703703704E-4</v>
      </c>
      <c r="L367" s="5">
        <f>11 / 86400</f>
        <v>1.273148148148148E-4</v>
      </c>
    </row>
    <row r="368" spans="1:12" x14ac:dyDescent="0.25">
      <c r="A368" s="3">
        <v>45713.993935185186</v>
      </c>
      <c r="B368" t="s">
        <v>66</v>
      </c>
      <c r="C368" s="3">
        <v>45713.994166666671</v>
      </c>
      <c r="D368" t="s">
        <v>305</v>
      </c>
      <c r="E368" s="4">
        <v>2.7102490782737732E-2</v>
      </c>
      <c r="F368" s="4">
        <v>350706.70220740046</v>
      </c>
      <c r="G368" s="4">
        <v>350706.72930989123</v>
      </c>
      <c r="H368" s="5">
        <f t="shared" si="8"/>
        <v>0</v>
      </c>
      <c r="I368" t="s">
        <v>34</v>
      </c>
      <c r="J368" t="s">
        <v>146</v>
      </c>
      <c r="K368" s="5">
        <f>20 / 86400</f>
        <v>2.3148148148148149E-4</v>
      </c>
      <c r="L368" s="5">
        <f>3 / 86400</f>
        <v>3.4722222222222222E-5</v>
      </c>
    </row>
    <row r="369" spans="1:12" x14ac:dyDescent="0.25">
      <c r="A369" s="3">
        <v>45713.994201388894</v>
      </c>
      <c r="B369" t="s">
        <v>305</v>
      </c>
      <c r="C369" s="3">
        <v>45713.995659722219</v>
      </c>
      <c r="D369" t="s">
        <v>27</v>
      </c>
      <c r="E369" s="4">
        <v>0.37487023127079011</v>
      </c>
      <c r="F369" s="4">
        <v>350706.73231045535</v>
      </c>
      <c r="G369" s="4">
        <v>350707.10718068661</v>
      </c>
      <c r="H369" s="5">
        <f t="shared" si="8"/>
        <v>0</v>
      </c>
      <c r="I369" t="s">
        <v>29</v>
      </c>
      <c r="J369" t="s">
        <v>53</v>
      </c>
      <c r="K369" s="5">
        <f>126 / 86400</f>
        <v>1.4583333333333334E-3</v>
      </c>
      <c r="L369" s="5">
        <f>100 / 86400</f>
        <v>1.1574074074074073E-3</v>
      </c>
    </row>
    <row r="370" spans="1:12" x14ac:dyDescent="0.25">
      <c r="A370" s="3">
        <v>45713.996817129635</v>
      </c>
      <c r="B370" t="s">
        <v>27</v>
      </c>
      <c r="C370" s="3">
        <v>45713.997106481482</v>
      </c>
      <c r="D370" t="s">
        <v>36</v>
      </c>
      <c r="E370" s="4">
        <v>3.2030501842498782E-2</v>
      </c>
      <c r="F370" s="4">
        <v>350707.12238792574</v>
      </c>
      <c r="G370" s="4">
        <v>350707.15441842761</v>
      </c>
      <c r="H370" s="5">
        <f t="shared" si="8"/>
        <v>0</v>
      </c>
      <c r="I370" t="s">
        <v>147</v>
      </c>
      <c r="J370" t="s">
        <v>146</v>
      </c>
      <c r="K370" s="5">
        <f>25 / 86400</f>
        <v>2.8935185185185184E-4</v>
      </c>
      <c r="L370" s="5">
        <f>249 / 86400</f>
        <v>2.8819444444444444E-3</v>
      </c>
    </row>
    <row r="371" spans="1:12" x14ac:dyDescent="0.25">
      <c r="A371" s="12"/>
      <c r="B371" s="12"/>
      <c r="C371" s="12"/>
      <c r="D371" s="12"/>
      <c r="E371" s="12"/>
      <c r="F371" s="12"/>
      <c r="G371" s="12"/>
      <c r="H371" s="12"/>
      <c r="I371" s="12"/>
      <c r="J371" s="12"/>
    </row>
    <row r="372" spans="1:12" x14ac:dyDescent="0.25">
      <c r="A372" s="12"/>
      <c r="B372" s="12"/>
      <c r="C372" s="12"/>
      <c r="D372" s="12"/>
      <c r="E372" s="12"/>
      <c r="F372" s="12"/>
      <c r="G372" s="12"/>
      <c r="H372" s="12"/>
      <c r="I372" s="12"/>
      <c r="J372" s="12"/>
    </row>
    <row r="373" spans="1:12" s="10" customFormat="1" ht="20.100000000000001" customHeight="1" x14ac:dyDescent="0.35">
      <c r="A373" s="15" t="s">
        <v>399</v>
      </c>
      <c r="B373" s="15"/>
      <c r="C373" s="15"/>
      <c r="D373" s="15"/>
      <c r="E373" s="15"/>
      <c r="F373" s="15"/>
      <c r="G373" s="15"/>
      <c r="H373" s="15"/>
      <c r="I373" s="15"/>
      <c r="J373" s="15"/>
    </row>
    <row r="374" spans="1:12" x14ac:dyDescent="0.25">
      <c r="A374" s="12"/>
      <c r="B374" s="12"/>
      <c r="C374" s="12"/>
      <c r="D374" s="12"/>
      <c r="E374" s="12"/>
      <c r="F374" s="12"/>
      <c r="G374" s="12"/>
      <c r="H374" s="12"/>
      <c r="I374" s="12"/>
      <c r="J374" s="12"/>
    </row>
    <row r="375" spans="1:12" ht="30" x14ac:dyDescent="0.25">
      <c r="A375" s="2" t="s">
        <v>6</v>
      </c>
      <c r="B375" s="2" t="s">
        <v>7</v>
      </c>
      <c r="C375" s="2" t="s">
        <v>8</v>
      </c>
      <c r="D375" s="2" t="s">
        <v>9</v>
      </c>
      <c r="E375" s="2" t="s">
        <v>10</v>
      </c>
      <c r="F375" s="2" t="s">
        <v>11</v>
      </c>
      <c r="G375" s="2" t="s">
        <v>12</v>
      </c>
      <c r="H375" s="2" t="s">
        <v>13</v>
      </c>
      <c r="I375" s="2" t="s">
        <v>14</v>
      </c>
      <c r="J375" s="2" t="s">
        <v>15</v>
      </c>
      <c r="K375" s="2" t="s">
        <v>16</v>
      </c>
      <c r="L375" s="2" t="s">
        <v>17</v>
      </c>
    </row>
    <row r="376" spans="1:12" x14ac:dyDescent="0.25">
      <c r="A376" s="3">
        <v>45713.169108796297</v>
      </c>
      <c r="B376" t="s">
        <v>39</v>
      </c>
      <c r="C376" s="3">
        <v>45713.357025462959</v>
      </c>
      <c r="D376" t="s">
        <v>306</v>
      </c>
      <c r="E376" s="4">
        <v>82.096999999999994</v>
      </c>
      <c r="F376" s="4">
        <v>485713.54700000002</v>
      </c>
      <c r="G376" s="4">
        <v>485795.64399999997</v>
      </c>
      <c r="H376" s="5">
        <f>4198 / 86400</f>
        <v>4.8587962962962965E-2</v>
      </c>
      <c r="I376" t="s">
        <v>168</v>
      </c>
      <c r="J376" t="s">
        <v>26</v>
      </c>
      <c r="K376" s="5">
        <f>16235 / 86400</f>
        <v>0.18790509259259258</v>
      </c>
      <c r="L376" s="5">
        <f>15409 / 86400</f>
        <v>0.17834490740740741</v>
      </c>
    </row>
    <row r="377" spans="1:12" x14ac:dyDescent="0.25">
      <c r="A377" s="3">
        <v>45713.366261574076</v>
      </c>
      <c r="B377" t="s">
        <v>306</v>
      </c>
      <c r="C377" s="3">
        <v>45713.369641203702</v>
      </c>
      <c r="D377" t="s">
        <v>307</v>
      </c>
      <c r="E377" s="4">
        <v>1.1559999999999999</v>
      </c>
      <c r="F377" s="4">
        <v>485795.64399999997</v>
      </c>
      <c r="G377" s="4">
        <v>485796.8</v>
      </c>
      <c r="H377" s="5">
        <f>19 / 86400</f>
        <v>2.199074074074074E-4</v>
      </c>
      <c r="I377" t="s">
        <v>164</v>
      </c>
      <c r="J377" t="s">
        <v>29</v>
      </c>
      <c r="K377" s="5">
        <f>291 / 86400</f>
        <v>3.3680555555555556E-3</v>
      </c>
      <c r="L377" s="5">
        <f>3097 / 86400</f>
        <v>3.5844907407407409E-2</v>
      </c>
    </row>
    <row r="378" spans="1:12" x14ac:dyDescent="0.25">
      <c r="A378" s="3">
        <v>45713.405486111107</v>
      </c>
      <c r="B378" t="s">
        <v>307</v>
      </c>
      <c r="C378" s="3">
        <v>45713.662673611107</v>
      </c>
      <c r="D378" t="s">
        <v>39</v>
      </c>
      <c r="E378" s="4">
        <v>93.540999999999997</v>
      </c>
      <c r="F378" s="4">
        <v>485796.8</v>
      </c>
      <c r="G378" s="4">
        <v>485890.34100000001</v>
      </c>
      <c r="H378" s="5">
        <f>7828 / 86400</f>
        <v>9.060185185185185E-2</v>
      </c>
      <c r="I378" t="s">
        <v>40</v>
      </c>
      <c r="J378" t="s">
        <v>76</v>
      </c>
      <c r="K378" s="5">
        <f>22221 / 86400</f>
        <v>0.25718750000000001</v>
      </c>
      <c r="L378" s="5">
        <f>29144 / 86400</f>
        <v>0.33731481481481479</v>
      </c>
    </row>
    <row r="379" spans="1:12" x14ac:dyDescent="0.25">
      <c r="A379" s="12"/>
      <c r="B379" s="12"/>
      <c r="C379" s="12"/>
      <c r="D379" s="12"/>
      <c r="E379" s="12"/>
      <c r="F379" s="12"/>
      <c r="G379" s="12"/>
      <c r="H379" s="12"/>
      <c r="I379" s="12"/>
      <c r="J379" s="12"/>
    </row>
    <row r="380" spans="1:12" x14ac:dyDescent="0.25">
      <c r="A380" s="12"/>
      <c r="B380" s="12"/>
      <c r="C380" s="12"/>
      <c r="D380" s="12"/>
      <c r="E380" s="12"/>
      <c r="F380" s="12"/>
      <c r="G380" s="12"/>
      <c r="H380" s="12"/>
      <c r="I380" s="12"/>
      <c r="J380" s="12"/>
    </row>
    <row r="381" spans="1:12" s="10" customFormat="1" ht="20.100000000000001" customHeight="1" x14ac:dyDescent="0.35">
      <c r="A381" s="15" t="s">
        <v>400</v>
      </c>
      <c r="B381" s="15"/>
      <c r="C381" s="15"/>
      <c r="D381" s="15"/>
      <c r="E381" s="15"/>
      <c r="F381" s="15"/>
      <c r="G381" s="15"/>
      <c r="H381" s="15"/>
      <c r="I381" s="15"/>
      <c r="J381" s="15"/>
    </row>
    <row r="382" spans="1:12" x14ac:dyDescent="0.25">
      <c r="A382" s="12"/>
      <c r="B382" s="12"/>
      <c r="C382" s="12"/>
      <c r="D382" s="12"/>
      <c r="E382" s="12"/>
      <c r="F382" s="12"/>
      <c r="G382" s="12"/>
      <c r="H382" s="12"/>
      <c r="I382" s="12"/>
      <c r="J382" s="12"/>
    </row>
    <row r="383" spans="1:12" ht="30" x14ac:dyDescent="0.25">
      <c r="A383" s="2" t="s">
        <v>6</v>
      </c>
      <c r="B383" s="2" t="s">
        <v>7</v>
      </c>
      <c r="C383" s="2" t="s">
        <v>8</v>
      </c>
      <c r="D383" s="2" t="s">
        <v>9</v>
      </c>
      <c r="E383" s="2" t="s">
        <v>10</v>
      </c>
      <c r="F383" s="2" t="s">
        <v>11</v>
      </c>
      <c r="G383" s="2" t="s">
        <v>12</v>
      </c>
      <c r="H383" s="2" t="s">
        <v>13</v>
      </c>
      <c r="I383" s="2" t="s">
        <v>14</v>
      </c>
      <c r="J383" s="2" t="s">
        <v>15</v>
      </c>
      <c r="K383" s="2" t="s">
        <v>16</v>
      </c>
      <c r="L383" s="2" t="s">
        <v>17</v>
      </c>
    </row>
    <row r="384" spans="1:12" x14ac:dyDescent="0.25">
      <c r="A384" s="3">
        <v>45713.129849537036</v>
      </c>
      <c r="B384" t="s">
        <v>41</v>
      </c>
      <c r="C384" s="3">
        <v>45713.595254629632</v>
      </c>
      <c r="D384" t="s">
        <v>82</v>
      </c>
      <c r="E384" s="4">
        <v>202.93100000000001</v>
      </c>
      <c r="F384" s="4">
        <v>510180.92</v>
      </c>
      <c r="G384" s="4">
        <v>510383.85100000002</v>
      </c>
      <c r="H384" s="5">
        <f>12650 / 86400</f>
        <v>0.14641203703703703</v>
      </c>
      <c r="I384" t="s">
        <v>43</v>
      </c>
      <c r="J384" t="s">
        <v>26</v>
      </c>
      <c r="K384" s="5">
        <f>40210 / 86400</f>
        <v>0.46539351851851851</v>
      </c>
      <c r="L384" s="5">
        <f>11502 / 86400</f>
        <v>0.13312499999999999</v>
      </c>
    </row>
    <row r="385" spans="1:12" x14ac:dyDescent="0.25">
      <c r="A385" s="3">
        <v>45713.598530092597</v>
      </c>
      <c r="B385" t="s">
        <v>82</v>
      </c>
      <c r="C385" s="3">
        <v>45713.600960648153</v>
      </c>
      <c r="D385" t="s">
        <v>133</v>
      </c>
      <c r="E385" s="4">
        <v>0.67100000000000004</v>
      </c>
      <c r="F385" s="4">
        <v>510383.85100000002</v>
      </c>
      <c r="G385" s="4">
        <v>510384.522</v>
      </c>
      <c r="H385" s="5">
        <f>20 / 86400</f>
        <v>2.3148148148148149E-4</v>
      </c>
      <c r="I385" t="s">
        <v>201</v>
      </c>
      <c r="J385" t="s">
        <v>158</v>
      </c>
      <c r="K385" s="5">
        <f>209 / 86400</f>
        <v>2.4189814814814816E-3</v>
      </c>
      <c r="L385" s="5">
        <f>118 / 86400</f>
        <v>1.3657407407407407E-3</v>
      </c>
    </row>
    <row r="386" spans="1:12" x14ac:dyDescent="0.25">
      <c r="A386" s="3">
        <v>45713.602326388893</v>
      </c>
      <c r="B386" t="s">
        <v>133</v>
      </c>
      <c r="C386" s="3">
        <v>45713.719849537039</v>
      </c>
      <c r="D386" t="s">
        <v>308</v>
      </c>
      <c r="E386" s="4">
        <v>47.685000000000002</v>
      </c>
      <c r="F386" s="4">
        <v>510384.522</v>
      </c>
      <c r="G386" s="4">
        <v>510432.20699999999</v>
      </c>
      <c r="H386" s="5">
        <f>3220 / 86400</f>
        <v>3.726851851851852E-2</v>
      </c>
      <c r="I386" t="s">
        <v>117</v>
      </c>
      <c r="J386" t="s">
        <v>20</v>
      </c>
      <c r="K386" s="5">
        <f>10154 / 86400</f>
        <v>0.11752314814814815</v>
      </c>
      <c r="L386" s="5">
        <f>91 / 86400</f>
        <v>1.0532407407407407E-3</v>
      </c>
    </row>
    <row r="387" spans="1:12" x14ac:dyDescent="0.25">
      <c r="A387" s="3">
        <v>45713.720902777779</v>
      </c>
      <c r="B387" t="s">
        <v>253</v>
      </c>
      <c r="C387" s="3">
        <v>45713.866805555561</v>
      </c>
      <c r="D387" t="s">
        <v>82</v>
      </c>
      <c r="E387" s="4">
        <v>45.548999999999999</v>
      </c>
      <c r="F387" s="4">
        <v>510432.20699999999</v>
      </c>
      <c r="G387" s="4">
        <v>510477.75599999999</v>
      </c>
      <c r="H387" s="5">
        <f>4499 / 86400</f>
        <v>5.2071759259259262E-2</v>
      </c>
      <c r="I387" t="s">
        <v>309</v>
      </c>
      <c r="J387" t="s">
        <v>45</v>
      </c>
      <c r="K387" s="5">
        <f>12605 / 86400</f>
        <v>0.1458912037037037</v>
      </c>
      <c r="L387" s="5">
        <f>574 / 86400</f>
        <v>6.6435185185185182E-3</v>
      </c>
    </row>
    <row r="388" spans="1:12" x14ac:dyDescent="0.25">
      <c r="A388" s="3">
        <v>45713.873449074075</v>
      </c>
      <c r="B388" t="s">
        <v>82</v>
      </c>
      <c r="C388" s="3">
        <v>45713.884421296301</v>
      </c>
      <c r="D388" t="s">
        <v>42</v>
      </c>
      <c r="E388" s="4">
        <v>3.8090000000000002</v>
      </c>
      <c r="F388" s="4">
        <v>510477.75599999999</v>
      </c>
      <c r="G388" s="4">
        <v>510481.565</v>
      </c>
      <c r="H388" s="5">
        <f>60 / 86400</f>
        <v>6.9444444444444447E-4</v>
      </c>
      <c r="I388" t="s">
        <v>201</v>
      </c>
      <c r="J388" t="s">
        <v>29</v>
      </c>
      <c r="K388" s="5">
        <f>947 / 86400</f>
        <v>1.0960648148148148E-2</v>
      </c>
      <c r="L388" s="5">
        <f>9985 / 86400</f>
        <v>0.11556712962962963</v>
      </c>
    </row>
    <row r="389" spans="1:12" x14ac:dyDescent="0.25">
      <c r="A389" s="12"/>
      <c r="B389" s="12"/>
      <c r="C389" s="12"/>
      <c r="D389" s="12"/>
      <c r="E389" s="12"/>
      <c r="F389" s="12"/>
      <c r="G389" s="12"/>
      <c r="H389" s="12"/>
      <c r="I389" s="12"/>
      <c r="J389" s="12"/>
    </row>
    <row r="390" spans="1:12" x14ac:dyDescent="0.25">
      <c r="A390" s="12"/>
      <c r="B390" s="12"/>
      <c r="C390" s="12"/>
      <c r="D390" s="12"/>
      <c r="E390" s="12"/>
      <c r="F390" s="12"/>
      <c r="G390" s="12"/>
      <c r="H390" s="12"/>
      <c r="I390" s="12"/>
      <c r="J390" s="12"/>
    </row>
    <row r="391" spans="1:12" s="10" customFormat="1" ht="20.100000000000001" customHeight="1" x14ac:dyDescent="0.35">
      <c r="A391" s="15" t="s">
        <v>401</v>
      </c>
      <c r="B391" s="15"/>
      <c r="C391" s="15"/>
      <c r="D391" s="15"/>
      <c r="E391" s="15"/>
      <c r="F391" s="15"/>
      <c r="G391" s="15"/>
      <c r="H391" s="15"/>
      <c r="I391" s="15"/>
      <c r="J391" s="15"/>
    </row>
    <row r="392" spans="1:12" x14ac:dyDescent="0.25">
      <c r="A392" s="12"/>
      <c r="B392" s="12"/>
      <c r="C392" s="12"/>
      <c r="D392" s="12"/>
      <c r="E392" s="12"/>
      <c r="F392" s="12"/>
      <c r="G392" s="12"/>
      <c r="H392" s="12"/>
      <c r="I392" s="12"/>
      <c r="J392" s="12"/>
    </row>
    <row r="393" spans="1:12" ht="30" x14ac:dyDescent="0.25">
      <c r="A393" s="2" t="s">
        <v>6</v>
      </c>
      <c r="B393" s="2" t="s">
        <v>7</v>
      </c>
      <c r="C393" s="2" t="s">
        <v>8</v>
      </c>
      <c r="D393" s="2" t="s">
        <v>9</v>
      </c>
      <c r="E393" s="2" t="s">
        <v>10</v>
      </c>
      <c r="F393" s="2" t="s">
        <v>11</v>
      </c>
      <c r="G393" s="2" t="s">
        <v>12</v>
      </c>
      <c r="H393" s="2" t="s">
        <v>13</v>
      </c>
      <c r="I393" s="2" t="s">
        <v>14</v>
      </c>
      <c r="J393" s="2" t="s">
        <v>15</v>
      </c>
      <c r="K393" s="2" t="s">
        <v>16</v>
      </c>
      <c r="L393" s="2" t="s">
        <v>17</v>
      </c>
    </row>
    <row r="394" spans="1:12" x14ac:dyDescent="0.25">
      <c r="A394" s="3">
        <v>45713.238298611112</v>
      </c>
      <c r="B394" t="s">
        <v>44</v>
      </c>
      <c r="C394" s="3">
        <v>45713.238333333335</v>
      </c>
      <c r="D394" t="s">
        <v>44</v>
      </c>
      <c r="E394" s="4">
        <v>3.0000000000000001E-3</v>
      </c>
      <c r="F394" s="4">
        <v>409275.33500000002</v>
      </c>
      <c r="G394" s="4">
        <v>409275.33799999999</v>
      </c>
      <c r="H394" s="5">
        <f t="shared" ref="H394:H401" si="9">0 / 86400</f>
        <v>0</v>
      </c>
      <c r="I394" t="s">
        <v>145</v>
      </c>
      <c r="J394" t="s">
        <v>141</v>
      </c>
      <c r="K394" s="5">
        <f>3 / 86400</f>
        <v>3.4722222222222222E-5</v>
      </c>
      <c r="L394" s="5">
        <f>20623 / 86400</f>
        <v>0.23869212962962963</v>
      </c>
    </row>
    <row r="395" spans="1:12" x14ac:dyDescent="0.25">
      <c r="A395" s="3">
        <v>45713.238726851851</v>
      </c>
      <c r="B395" t="s">
        <v>98</v>
      </c>
      <c r="C395" s="3">
        <v>45713.239282407405</v>
      </c>
      <c r="D395" t="s">
        <v>310</v>
      </c>
      <c r="E395" s="4">
        <v>0.14099999999999999</v>
      </c>
      <c r="F395" s="4">
        <v>409275.34100000001</v>
      </c>
      <c r="G395" s="4">
        <v>409275.48200000002</v>
      </c>
      <c r="H395" s="5">
        <f t="shared" si="9"/>
        <v>0</v>
      </c>
      <c r="I395" t="s">
        <v>20</v>
      </c>
      <c r="J395" t="s">
        <v>53</v>
      </c>
      <c r="K395" s="5">
        <f>48 / 86400</f>
        <v>5.5555555555555556E-4</v>
      </c>
      <c r="L395" s="5">
        <f>15 / 86400</f>
        <v>1.7361111111111112E-4</v>
      </c>
    </row>
    <row r="396" spans="1:12" x14ac:dyDescent="0.25">
      <c r="A396" s="3">
        <v>45713.23945601852</v>
      </c>
      <c r="B396" t="s">
        <v>310</v>
      </c>
      <c r="C396" s="3">
        <v>45713.239872685182</v>
      </c>
      <c r="D396" t="s">
        <v>311</v>
      </c>
      <c r="E396" s="4">
        <v>0.155</v>
      </c>
      <c r="F396" s="4">
        <v>409275.51</v>
      </c>
      <c r="G396" s="4">
        <v>409275.66499999998</v>
      </c>
      <c r="H396" s="5">
        <f t="shared" si="9"/>
        <v>0</v>
      </c>
      <c r="I396" t="s">
        <v>32</v>
      </c>
      <c r="J396" t="s">
        <v>32</v>
      </c>
      <c r="K396" s="5">
        <f>36 / 86400</f>
        <v>4.1666666666666669E-4</v>
      </c>
      <c r="L396" s="5">
        <f>3 / 86400</f>
        <v>3.4722222222222222E-5</v>
      </c>
    </row>
    <row r="397" spans="1:12" x14ac:dyDescent="0.25">
      <c r="A397" s="3">
        <v>45713.239907407406</v>
      </c>
      <c r="B397" t="s">
        <v>311</v>
      </c>
      <c r="C397" s="3">
        <v>45713.24009259259</v>
      </c>
      <c r="D397" t="s">
        <v>311</v>
      </c>
      <c r="E397" s="4">
        <v>3.6999999999999998E-2</v>
      </c>
      <c r="F397" s="4">
        <v>409275.66700000002</v>
      </c>
      <c r="G397" s="4">
        <v>409275.70400000003</v>
      </c>
      <c r="H397" s="5">
        <f t="shared" si="9"/>
        <v>0</v>
      </c>
      <c r="I397" t="s">
        <v>53</v>
      </c>
      <c r="J397" t="s">
        <v>97</v>
      </c>
      <c r="K397" s="5">
        <f>16 / 86400</f>
        <v>1.8518518518518518E-4</v>
      </c>
      <c r="L397" s="5">
        <f>3 / 86400</f>
        <v>3.4722222222222222E-5</v>
      </c>
    </row>
    <row r="398" spans="1:12" x14ac:dyDescent="0.25">
      <c r="A398" s="3">
        <v>45713.240127314813</v>
      </c>
      <c r="B398" t="s">
        <v>311</v>
      </c>
      <c r="C398" s="3">
        <v>45713.241111111114</v>
      </c>
      <c r="D398" t="s">
        <v>312</v>
      </c>
      <c r="E398" s="4">
        <v>0.29299999999999998</v>
      </c>
      <c r="F398" s="4">
        <v>409275.70400000003</v>
      </c>
      <c r="G398" s="4">
        <v>409275.99699999997</v>
      </c>
      <c r="H398" s="5">
        <f t="shared" si="9"/>
        <v>0</v>
      </c>
      <c r="I398" t="s">
        <v>111</v>
      </c>
      <c r="J398" t="s">
        <v>158</v>
      </c>
      <c r="K398" s="5">
        <f>85 / 86400</f>
        <v>9.837962962962962E-4</v>
      </c>
      <c r="L398" s="5">
        <f>4 / 86400</f>
        <v>4.6296296296296294E-5</v>
      </c>
    </row>
    <row r="399" spans="1:12" x14ac:dyDescent="0.25">
      <c r="A399" s="3">
        <v>45713.241157407407</v>
      </c>
      <c r="B399" t="s">
        <v>312</v>
      </c>
      <c r="C399" s="3">
        <v>45713.241215277776</v>
      </c>
      <c r="D399" t="s">
        <v>312</v>
      </c>
      <c r="E399" s="4">
        <v>5.0000000000000001E-3</v>
      </c>
      <c r="F399" s="4">
        <v>409276.00199999998</v>
      </c>
      <c r="G399" s="4">
        <v>409276.00699999998</v>
      </c>
      <c r="H399" s="5">
        <f t="shared" si="9"/>
        <v>0</v>
      </c>
      <c r="I399" t="s">
        <v>29</v>
      </c>
      <c r="J399" t="s">
        <v>141</v>
      </c>
      <c r="K399" s="5">
        <f>5 / 86400</f>
        <v>5.7870370370370373E-5</v>
      </c>
      <c r="L399" s="5">
        <f>7 / 86400</f>
        <v>8.1018518518518516E-5</v>
      </c>
    </row>
    <row r="400" spans="1:12" x14ac:dyDescent="0.25">
      <c r="A400" s="3">
        <v>45713.241296296299</v>
      </c>
      <c r="B400" t="s">
        <v>312</v>
      </c>
      <c r="C400" s="3">
        <v>45713.242592592593</v>
      </c>
      <c r="D400" t="s">
        <v>313</v>
      </c>
      <c r="E400" s="4">
        <v>0.34599999999999997</v>
      </c>
      <c r="F400" s="4">
        <v>409276.00799999997</v>
      </c>
      <c r="G400" s="4">
        <v>409276.35399999999</v>
      </c>
      <c r="H400" s="5">
        <f t="shared" si="9"/>
        <v>0</v>
      </c>
      <c r="I400" t="s">
        <v>92</v>
      </c>
      <c r="J400" t="s">
        <v>53</v>
      </c>
      <c r="K400" s="5">
        <f>112 / 86400</f>
        <v>1.2962962962962963E-3</v>
      </c>
      <c r="L400" s="5">
        <f>4 / 86400</f>
        <v>4.6296296296296294E-5</v>
      </c>
    </row>
    <row r="401" spans="1:12" x14ac:dyDescent="0.25">
      <c r="A401" s="3">
        <v>45713.242638888885</v>
      </c>
      <c r="B401" t="s">
        <v>313</v>
      </c>
      <c r="C401" s="3">
        <v>45713.243657407409</v>
      </c>
      <c r="D401" t="s">
        <v>132</v>
      </c>
      <c r="E401" s="4">
        <v>0.21099999999999999</v>
      </c>
      <c r="F401" s="4">
        <v>409276.364</v>
      </c>
      <c r="G401" s="4">
        <v>409276.57500000001</v>
      </c>
      <c r="H401" s="5">
        <f t="shared" si="9"/>
        <v>0</v>
      </c>
      <c r="I401" t="s">
        <v>32</v>
      </c>
      <c r="J401" t="s">
        <v>64</v>
      </c>
      <c r="K401" s="5">
        <f>88 / 86400</f>
        <v>1.0185185185185184E-3</v>
      </c>
      <c r="L401" s="5">
        <f>1225 / 86400</f>
        <v>1.4178240740740741E-2</v>
      </c>
    </row>
    <row r="402" spans="1:12" x14ac:dyDescent="0.25">
      <c r="A402" s="3">
        <v>45713.257835648154</v>
      </c>
      <c r="B402" t="s">
        <v>132</v>
      </c>
      <c r="C402" s="3">
        <v>45713.260798611111</v>
      </c>
      <c r="D402" t="s">
        <v>165</v>
      </c>
      <c r="E402" s="4">
        <v>0.39200000000000002</v>
      </c>
      <c r="F402" s="4">
        <v>409276.57500000001</v>
      </c>
      <c r="G402" s="4">
        <v>409276.967</v>
      </c>
      <c r="H402" s="5">
        <f>160 / 86400</f>
        <v>1.8518518518518519E-3</v>
      </c>
      <c r="I402" t="s">
        <v>190</v>
      </c>
      <c r="J402" t="s">
        <v>145</v>
      </c>
      <c r="K402" s="5">
        <f>256 / 86400</f>
        <v>2.9629629629629628E-3</v>
      </c>
      <c r="L402" s="5">
        <f>1 / 86400</f>
        <v>1.1574074074074073E-5</v>
      </c>
    </row>
    <row r="403" spans="1:12" x14ac:dyDescent="0.25">
      <c r="A403" s="3">
        <v>45713.26081018518</v>
      </c>
      <c r="B403" t="s">
        <v>165</v>
      </c>
      <c r="C403" s="3">
        <v>45713.269282407404</v>
      </c>
      <c r="D403" t="s">
        <v>21</v>
      </c>
      <c r="E403" s="4">
        <v>3.048</v>
      </c>
      <c r="F403" s="4">
        <v>409276.96899999998</v>
      </c>
      <c r="G403" s="4">
        <v>409280.01699999999</v>
      </c>
      <c r="H403" s="5">
        <f>200 / 86400</f>
        <v>2.3148148148148147E-3</v>
      </c>
      <c r="I403" t="s">
        <v>138</v>
      </c>
      <c r="J403" t="s">
        <v>76</v>
      </c>
      <c r="K403" s="5">
        <f>732 / 86400</f>
        <v>8.472222222222223E-3</v>
      </c>
      <c r="L403" s="5">
        <f>3 / 86400</f>
        <v>3.4722222222222222E-5</v>
      </c>
    </row>
    <row r="404" spans="1:12" x14ac:dyDescent="0.25">
      <c r="A404" s="3">
        <v>45713.269317129627</v>
      </c>
      <c r="B404" t="s">
        <v>21</v>
      </c>
      <c r="C404" s="3">
        <v>45713.399942129632</v>
      </c>
      <c r="D404" t="s">
        <v>314</v>
      </c>
      <c r="E404" s="4">
        <v>46.893000000000001</v>
      </c>
      <c r="F404" s="4">
        <v>409280.02</v>
      </c>
      <c r="G404" s="4">
        <v>409326.913</v>
      </c>
      <c r="H404" s="5">
        <f>4213 / 86400</f>
        <v>4.8761574074074075E-2</v>
      </c>
      <c r="I404" t="s">
        <v>40</v>
      </c>
      <c r="J404" t="s">
        <v>76</v>
      </c>
      <c r="K404" s="5">
        <f>11286 / 86400</f>
        <v>0.13062499999999999</v>
      </c>
      <c r="L404" s="5">
        <f>217 / 86400</f>
        <v>2.5115740740740741E-3</v>
      </c>
    </row>
    <row r="405" spans="1:12" x14ac:dyDescent="0.25">
      <c r="A405" s="3">
        <v>45713.402453703704</v>
      </c>
      <c r="B405" t="s">
        <v>314</v>
      </c>
      <c r="C405" s="3">
        <v>45713.405266203699</v>
      </c>
      <c r="D405" t="s">
        <v>315</v>
      </c>
      <c r="E405" s="4">
        <v>0.309</v>
      </c>
      <c r="F405" s="4">
        <v>409326.913</v>
      </c>
      <c r="G405" s="4">
        <v>409327.22200000001</v>
      </c>
      <c r="H405" s="5">
        <f>120 / 86400</f>
        <v>1.3888888888888889E-3</v>
      </c>
      <c r="I405" t="s">
        <v>76</v>
      </c>
      <c r="J405" t="s">
        <v>146</v>
      </c>
      <c r="K405" s="5">
        <f>243 / 86400</f>
        <v>2.8124999999999999E-3</v>
      </c>
      <c r="L405" s="5">
        <f>4502 / 86400</f>
        <v>5.2106481481481483E-2</v>
      </c>
    </row>
    <row r="406" spans="1:12" x14ac:dyDescent="0.25">
      <c r="A406" s="3">
        <v>45713.457372685181</v>
      </c>
      <c r="B406" t="s">
        <v>315</v>
      </c>
      <c r="C406" s="3">
        <v>45713.622060185182</v>
      </c>
      <c r="D406" t="s">
        <v>126</v>
      </c>
      <c r="E406" s="4">
        <v>50.37</v>
      </c>
      <c r="F406" s="4">
        <v>409327.22200000001</v>
      </c>
      <c r="G406" s="4">
        <v>409377.592</v>
      </c>
      <c r="H406" s="5">
        <f>5698 / 86400</f>
        <v>6.5949074074074077E-2</v>
      </c>
      <c r="I406" t="s">
        <v>211</v>
      </c>
      <c r="J406" t="s">
        <v>45</v>
      </c>
      <c r="K406" s="5">
        <f>14229 / 86400</f>
        <v>0.16468749999999999</v>
      </c>
      <c r="L406" s="5">
        <f>3811 / 86400</f>
        <v>4.4108796296296299E-2</v>
      </c>
    </row>
    <row r="407" spans="1:12" x14ac:dyDescent="0.25">
      <c r="A407" s="3">
        <v>45713.666168981479</v>
      </c>
      <c r="B407" t="s">
        <v>126</v>
      </c>
      <c r="C407" s="3">
        <v>45713.671296296292</v>
      </c>
      <c r="D407" t="s">
        <v>316</v>
      </c>
      <c r="E407" s="4">
        <v>0.96299999999999997</v>
      </c>
      <c r="F407" s="4">
        <v>409377.592</v>
      </c>
      <c r="G407" s="4">
        <v>409378.55499999999</v>
      </c>
      <c r="H407" s="5">
        <f>219 / 86400</f>
        <v>2.5347222222222221E-3</v>
      </c>
      <c r="I407" t="s">
        <v>150</v>
      </c>
      <c r="J407" t="s">
        <v>97</v>
      </c>
      <c r="K407" s="5">
        <f>443 / 86400</f>
        <v>5.1273148148148146E-3</v>
      </c>
      <c r="L407" s="5">
        <f>620 / 86400</f>
        <v>7.1759259259259259E-3</v>
      </c>
    </row>
    <row r="408" spans="1:12" x14ac:dyDescent="0.25">
      <c r="A408" s="3">
        <v>45713.678472222222</v>
      </c>
      <c r="B408" t="s">
        <v>316</v>
      </c>
      <c r="C408" s="3">
        <v>45713.679571759261</v>
      </c>
      <c r="D408" t="s">
        <v>82</v>
      </c>
      <c r="E408" s="4">
        <v>0.05</v>
      </c>
      <c r="F408" s="4">
        <v>409378.55499999999</v>
      </c>
      <c r="G408" s="4">
        <v>409378.60499999998</v>
      </c>
      <c r="H408" s="5">
        <f>59 / 86400</f>
        <v>6.8287037037037036E-4</v>
      </c>
      <c r="I408" t="s">
        <v>145</v>
      </c>
      <c r="J408" t="s">
        <v>147</v>
      </c>
      <c r="K408" s="5">
        <f>95 / 86400</f>
        <v>1.0995370370370371E-3</v>
      </c>
      <c r="L408" s="5">
        <f>405 / 86400</f>
        <v>4.6874999999999998E-3</v>
      </c>
    </row>
    <row r="409" spans="1:12" x14ac:dyDescent="0.25">
      <c r="A409" s="3">
        <v>45713.684259259258</v>
      </c>
      <c r="B409" t="s">
        <v>82</v>
      </c>
      <c r="C409" s="3">
        <v>45713.694548611107</v>
      </c>
      <c r="D409" t="s">
        <v>104</v>
      </c>
      <c r="E409" s="4">
        <v>0.66900000000000004</v>
      </c>
      <c r="F409" s="4">
        <v>409378.60499999998</v>
      </c>
      <c r="G409" s="4">
        <v>409379.27399999998</v>
      </c>
      <c r="H409" s="5">
        <f>600 / 86400</f>
        <v>6.9444444444444441E-3</v>
      </c>
      <c r="I409" t="s">
        <v>20</v>
      </c>
      <c r="J409" t="s">
        <v>106</v>
      </c>
      <c r="K409" s="5">
        <f>889 / 86400</f>
        <v>1.0289351851851852E-2</v>
      </c>
      <c r="L409" s="5">
        <f>37 / 86400</f>
        <v>4.2824074074074075E-4</v>
      </c>
    </row>
    <row r="410" spans="1:12" x14ac:dyDescent="0.25">
      <c r="A410" s="3">
        <v>45713.694976851853</v>
      </c>
      <c r="B410" t="s">
        <v>104</v>
      </c>
      <c r="C410" s="3">
        <v>45713.701412037037</v>
      </c>
      <c r="D410" t="s">
        <v>104</v>
      </c>
      <c r="E410" s="4">
        <v>4.0000000000000001E-3</v>
      </c>
      <c r="F410" s="4">
        <v>409379.27399999998</v>
      </c>
      <c r="G410" s="4">
        <v>409379.27799999999</v>
      </c>
      <c r="H410" s="5">
        <f>539 / 86400</f>
        <v>6.2384259259259259E-3</v>
      </c>
      <c r="I410" t="s">
        <v>22</v>
      </c>
      <c r="J410" t="s">
        <v>22</v>
      </c>
      <c r="K410" s="5">
        <f>555 / 86400</f>
        <v>6.4236111111111108E-3</v>
      </c>
      <c r="L410" s="5">
        <f>171 / 86400</f>
        <v>1.9791666666666668E-3</v>
      </c>
    </row>
    <row r="411" spans="1:12" x14ac:dyDescent="0.25">
      <c r="A411" s="3">
        <v>45713.7033912037</v>
      </c>
      <c r="B411" t="s">
        <v>104</v>
      </c>
      <c r="C411" s="3">
        <v>45713.704097222224</v>
      </c>
      <c r="D411" t="s">
        <v>104</v>
      </c>
      <c r="E411" s="4">
        <v>0</v>
      </c>
      <c r="F411" s="4">
        <v>409379.27799999999</v>
      </c>
      <c r="G411" s="4">
        <v>409379.27799999999</v>
      </c>
      <c r="H411" s="5">
        <f>39 / 86400</f>
        <v>4.5138888888888887E-4</v>
      </c>
      <c r="I411" t="s">
        <v>144</v>
      </c>
      <c r="J411" t="s">
        <v>22</v>
      </c>
      <c r="K411" s="5">
        <f>61 / 86400</f>
        <v>7.0601851851851847E-4</v>
      </c>
      <c r="L411" s="5">
        <f>2730 / 86400</f>
        <v>3.1597222222222221E-2</v>
      </c>
    </row>
    <row r="412" spans="1:12" x14ac:dyDescent="0.25">
      <c r="A412" s="3">
        <v>45713.735694444447</v>
      </c>
      <c r="B412" t="s">
        <v>104</v>
      </c>
      <c r="C412" s="3">
        <v>45713.738877314812</v>
      </c>
      <c r="D412" t="s">
        <v>82</v>
      </c>
      <c r="E412" s="4">
        <v>0.54300000000000004</v>
      </c>
      <c r="F412" s="4">
        <v>409379.27799999999</v>
      </c>
      <c r="G412" s="4">
        <v>409379.821</v>
      </c>
      <c r="H412" s="5">
        <f>139 / 86400</f>
        <v>1.6087962962962963E-3</v>
      </c>
      <c r="I412" t="s">
        <v>164</v>
      </c>
      <c r="J412" t="s">
        <v>34</v>
      </c>
      <c r="K412" s="5">
        <f>275 / 86400</f>
        <v>3.1828703703703702E-3</v>
      </c>
      <c r="L412" s="5">
        <f>1289 / 86400</f>
        <v>1.4918981481481481E-2</v>
      </c>
    </row>
    <row r="413" spans="1:12" x14ac:dyDescent="0.25">
      <c r="A413" s="3">
        <v>45713.753796296296</v>
      </c>
      <c r="B413" t="s">
        <v>82</v>
      </c>
      <c r="C413" s="3">
        <v>45713.760717592595</v>
      </c>
      <c r="D413" t="s">
        <v>44</v>
      </c>
      <c r="E413" s="4">
        <v>1.4750000000000001</v>
      </c>
      <c r="F413" s="4">
        <v>409379.821</v>
      </c>
      <c r="G413" s="4">
        <v>409381.29599999997</v>
      </c>
      <c r="H413" s="5">
        <f>139 / 86400</f>
        <v>1.6087962962962963E-3</v>
      </c>
      <c r="I413" t="s">
        <v>119</v>
      </c>
      <c r="J413" t="s">
        <v>64</v>
      </c>
      <c r="K413" s="5">
        <f>598 / 86400</f>
        <v>6.9212962962962961E-3</v>
      </c>
      <c r="L413" s="5">
        <f>20673 / 86400</f>
        <v>0.23927083333333332</v>
      </c>
    </row>
    <row r="414" spans="1:12" x14ac:dyDescent="0.25">
      <c r="A414" s="12"/>
      <c r="B414" s="12"/>
      <c r="C414" s="12"/>
      <c r="D414" s="12"/>
      <c r="E414" s="12"/>
      <c r="F414" s="12"/>
      <c r="G414" s="12"/>
      <c r="H414" s="12"/>
      <c r="I414" s="12"/>
      <c r="J414" s="12"/>
    </row>
    <row r="415" spans="1:12" x14ac:dyDescent="0.25">
      <c r="A415" s="12"/>
      <c r="B415" s="12"/>
      <c r="C415" s="12"/>
      <c r="D415" s="12"/>
      <c r="E415" s="12"/>
      <c r="F415" s="12"/>
      <c r="G415" s="12"/>
      <c r="H415" s="12"/>
      <c r="I415" s="12"/>
      <c r="J415" s="12"/>
    </row>
    <row r="416" spans="1:12" s="10" customFormat="1" ht="20.100000000000001" customHeight="1" x14ac:dyDescent="0.35">
      <c r="A416" s="15" t="s">
        <v>402</v>
      </c>
      <c r="B416" s="15"/>
      <c r="C416" s="15"/>
      <c r="D416" s="15"/>
      <c r="E416" s="15"/>
      <c r="F416" s="15"/>
      <c r="G416" s="15"/>
      <c r="H416" s="15"/>
      <c r="I416" s="15"/>
      <c r="J416" s="15"/>
    </row>
    <row r="417" spans="1:12" x14ac:dyDescent="0.25">
      <c r="A417" s="12"/>
      <c r="B417" s="12"/>
      <c r="C417" s="12"/>
      <c r="D417" s="12"/>
      <c r="E417" s="12"/>
      <c r="F417" s="12"/>
      <c r="G417" s="12"/>
      <c r="H417" s="12"/>
      <c r="I417" s="12"/>
      <c r="J417" s="12"/>
    </row>
    <row r="418" spans="1:12" ht="30" x14ac:dyDescent="0.25">
      <c r="A418" s="2" t="s">
        <v>6</v>
      </c>
      <c r="B418" s="2" t="s">
        <v>7</v>
      </c>
      <c r="C418" s="2" t="s">
        <v>8</v>
      </c>
      <c r="D418" s="2" t="s">
        <v>9</v>
      </c>
      <c r="E418" s="2" t="s">
        <v>10</v>
      </c>
      <c r="F418" s="2" t="s">
        <v>11</v>
      </c>
      <c r="G418" s="2" t="s">
        <v>12</v>
      </c>
      <c r="H418" s="2" t="s">
        <v>13</v>
      </c>
      <c r="I418" s="2" t="s">
        <v>14</v>
      </c>
      <c r="J418" s="2" t="s">
        <v>15</v>
      </c>
      <c r="K418" s="2" t="s">
        <v>16</v>
      </c>
      <c r="L418" s="2" t="s">
        <v>17</v>
      </c>
    </row>
    <row r="419" spans="1:12" x14ac:dyDescent="0.25">
      <c r="A419" s="3">
        <v>45713.27065972222</v>
      </c>
      <c r="B419" t="s">
        <v>46</v>
      </c>
      <c r="C419" s="3">
        <v>45713.283368055556</v>
      </c>
      <c r="D419" t="s">
        <v>165</v>
      </c>
      <c r="E419" s="4">
        <v>0.78600000000000003</v>
      </c>
      <c r="F419" s="4">
        <v>439104.91800000001</v>
      </c>
      <c r="G419" s="4">
        <v>439105.70400000003</v>
      </c>
      <c r="H419" s="5">
        <f>859 / 86400</f>
        <v>9.9421296296296289E-3</v>
      </c>
      <c r="I419" t="s">
        <v>33</v>
      </c>
      <c r="J419" t="s">
        <v>106</v>
      </c>
      <c r="K419" s="5">
        <f>1097 / 86400</f>
        <v>1.269675925925926E-2</v>
      </c>
      <c r="L419" s="5">
        <f>25238 / 86400</f>
        <v>0.29210648148148149</v>
      </c>
    </row>
    <row r="420" spans="1:12" x14ac:dyDescent="0.25">
      <c r="A420" s="3">
        <v>45713.304814814815</v>
      </c>
      <c r="B420" t="s">
        <v>165</v>
      </c>
      <c r="C420" s="3">
        <v>45713.570694444439</v>
      </c>
      <c r="D420" t="s">
        <v>82</v>
      </c>
      <c r="E420" s="4">
        <v>101.039</v>
      </c>
      <c r="F420" s="4">
        <v>439105.70400000003</v>
      </c>
      <c r="G420" s="4">
        <v>439206.74300000002</v>
      </c>
      <c r="H420" s="5">
        <f>8419 / 86400</f>
        <v>9.7442129629629629E-2</v>
      </c>
      <c r="I420" t="s">
        <v>47</v>
      </c>
      <c r="J420" t="s">
        <v>32</v>
      </c>
      <c r="K420" s="5">
        <f>22972 / 86400</f>
        <v>0.26587962962962963</v>
      </c>
      <c r="L420" s="5">
        <f>520 / 86400</f>
        <v>6.0185185185185185E-3</v>
      </c>
    </row>
    <row r="421" spans="1:12" x14ac:dyDescent="0.25">
      <c r="A421" s="3">
        <v>45713.576712962968</v>
      </c>
      <c r="B421" t="s">
        <v>82</v>
      </c>
      <c r="C421" s="3">
        <v>45713.579155092593</v>
      </c>
      <c r="D421" t="s">
        <v>82</v>
      </c>
      <c r="E421" s="4">
        <v>0.20699999999999999</v>
      </c>
      <c r="F421" s="4">
        <v>439206.74300000002</v>
      </c>
      <c r="G421" s="4">
        <v>439206.95</v>
      </c>
      <c r="H421" s="5">
        <f>40 / 86400</f>
        <v>4.6296296296296298E-4</v>
      </c>
      <c r="I421" t="s">
        <v>29</v>
      </c>
      <c r="J421" t="s">
        <v>141</v>
      </c>
      <c r="K421" s="5">
        <f>210 / 86400</f>
        <v>2.4305555555555556E-3</v>
      </c>
      <c r="L421" s="5">
        <f>474 / 86400</f>
        <v>5.4861111111111109E-3</v>
      </c>
    </row>
    <row r="422" spans="1:12" x14ac:dyDescent="0.25">
      <c r="A422" s="3">
        <v>45713.584641203706</v>
      </c>
      <c r="B422" t="s">
        <v>82</v>
      </c>
      <c r="C422" s="3">
        <v>45713.588078703702</v>
      </c>
      <c r="D422" t="s">
        <v>46</v>
      </c>
      <c r="E422" s="4">
        <v>0.97199999999999998</v>
      </c>
      <c r="F422" s="4">
        <v>439206.95</v>
      </c>
      <c r="G422" s="4">
        <v>439207.92200000002</v>
      </c>
      <c r="H422" s="5">
        <f>39 / 86400</f>
        <v>4.5138888888888887E-4</v>
      </c>
      <c r="I422" t="s">
        <v>196</v>
      </c>
      <c r="J422" t="s">
        <v>158</v>
      </c>
      <c r="K422" s="5">
        <f>296 / 86400</f>
        <v>3.425925925925926E-3</v>
      </c>
      <c r="L422" s="5">
        <f>1819 / 86400</f>
        <v>2.105324074074074E-2</v>
      </c>
    </row>
    <row r="423" spans="1:12" x14ac:dyDescent="0.25">
      <c r="A423" s="3">
        <v>45713.609131944446</v>
      </c>
      <c r="B423" t="s">
        <v>46</v>
      </c>
      <c r="C423" s="3">
        <v>45713.610451388886</v>
      </c>
      <c r="D423" t="s">
        <v>165</v>
      </c>
      <c r="E423" s="4">
        <v>0.17</v>
      </c>
      <c r="F423" s="4">
        <v>439207.92200000002</v>
      </c>
      <c r="G423" s="4">
        <v>439208.092</v>
      </c>
      <c r="H423" s="5">
        <f>59 / 86400</f>
        <v>6.8287037037037036E-4</v>
      </c>
      <c r="I423" t="s">
        <v>45</v>
      </c>
      <c r="J423" t="s">
        <v>146</v>
      </c>
      <c r="K423" s="5">
        <f>113 / 86400</f>
        <v>1.3078703703703703E-3</v>
      </c>
      <c r="L423" s="5">
        <f>2038 / 86400</f>
        <v>2.3587962962962963E-2</v>
      </c>
    </row>
    <row r="424" spans="1:12" x14ac:dyDescent="0.25">
      <c r="A424" s="3">
        <v>45713.634039351848</v>
      </c>
      <c r="B424" t="s">
        <v>165</v>
      </c>
      <c r="C424" s="3">
        <v>45713.92732638889</v>
      </c>
      <c r="D424" t="s">
        <v>115</v>
      </c>
      <c r="E424" s="4">
        <v>100.65300000000001</v>
      </c>
      <c r="F424" s="4">
        <v>439208.092</v>
      </c>
      <c r="G424" s="4">
        <v>439308.745</v>
      </c>
      <c r="H424" s="5">
        <f>10199 / 86400</f>
        <v>0.11804398148148149</v>
      </c>
      <c r="I424" t="s">
        <v>317</v>
      </c>
      <c r="J424" t="s">
        <v>29</v>
      </c>
      <c r="K424" s="5">
        <f>25339 / 86400</f>
        <v>0.29327546296296297</v>
      </c>
      <c r="L424" s="5">
        <f>438 / 86400</f>
        <v>5.0694444444444441E-3</v>
      </c>
    </row>
    <row r="425" spans="1:12" x14ac:dyDescent="0.25">
      <c r="A425" s="3">
        <v>45713.932395833333</v>
      </c>
      <c r="B425" t="s">
        <v>115</v>
      </c>
      <c r="C425" s="3">
        <v>45713.948599537034</v>
      </c>
      <c r="D425" t="s">
        <v>46</v>
      </c>
      <c r="E425" s="4">
        <v>0.77</v>
      </c>
      <c r="F425" s="4">
        <v>439308.745</v>
      </c>
      <c r="G425" s="4">
        <v>439309.51500000001</v>
      </c>
      <c r="H425" s="5">
        <f>1160 / 86400</f>
        <v>1.3425925925925926E-2</v>
      </c>
      <c r="I425" t="s">
        <v>190</v>
      </c>
      <c r="J425" t="s">
        <v>147</v>
      </c>
      <c r="K425" s="5">
        <f>1399 / 86400</f>
        <v>1.6192129629629629E-2</v>
      </c>
      <c r="L425" s="5">
        <f>4440 / 86400</f>
        <v>5.1388888888888887E-2</v>
      </c>
    </row>
    <row r="426" spans="1:12" x14ac:dyDescent="0.25">
      <c r="A426" s="12"/>
      <c r="B426" s="12"/>
      <c r="C426" s="12"/>
      <c r="D426" s="12"/>
      <c r="E426" s="12"/>
      <c r="F426" s="12"/>
      <c r="G426" s="12"/>
      <c r="H426" s="12"/>
      <c r="I426" s="12"/>
      <c r="J426" s="12"/>
    </row>
    <row r="427" spans="1:12" x14ac:dyDescent="0.25">
      <c r="A427" s="12"/>
      <c r="B427" s="12"/>
      <c r="C427" s="12"/>
      <c r="D427" s="12"/>
      <c r="E427" s="12"/>
      <c r="F427" s="12"/>
      <c r="G427" s="12"/>
      <c r="H427" s="12"/>
      <c r="I427" s="12"/>
      <c r="J427" s="12"/>
    </row>
    <row r="428" spans="1:12" s="10" customFormat="1" ht="20.100000000000001" customHeight="1" x14ac:dyDescent="0.35">
      <c r="A428" s="15" t="s">
        <v>403</v>
      </c>
      <c r="B428" s="15"/>
      <c r="C428" s="15"/>
      <c r="D428" s="15"/>
      <c r="E428" s="15"/>
      <c r="F428" s="15"/>
      <c r="G428" s="15"/>
      <c r="H428" s="15"/>
      <c r="I428" s="15"/>
      <c r="J428" s="15"/>
    </row>
    <row r="429" spans="1:12" x14ac:dyDescent="0.25">
      <c r="A429" s="12"/>
      <c r="B429" s="12"/>
      <c r="C429" s="12"/>
      <c r="D429" s="12"/>
      <c r="E429" s="12"/>
      <c r="F429" s="12"/>
      <c r="G429" s="12"/>
      <c r="H429" s="12"/>
      <c r="I429" s="12"/>
      <c r="J429" s="12"/>
    </row>
    <row r="430" spans="1:12" ht="30" x14ac:dyDescent="0.25">
      <c r="A430" s="2" t="s">
        <v>6</v>
      </c>
      <c r="B430" s="2" t="s">
        <v>7</v>
      </c>
      <c r="C430" s="2" t="s">
        <v>8</v>
      </c>
      <c r="D430" s="2" t="s">
        <v>9</v>
      </c>
      <c r="E430" s="2" t="s">
        <v>10</v>
      </c>
      <c r="F430" s="2" t="s">
        <v>11</v>
      </c>
      <c r="G430" s="2" t="s">
        <v>12</v>
      </c>
      <c r="H430" s="2" t="s">
        <v>13</v>
      </c>
      <c r="I430" s="2" t="s">
        <v>14</v>
      </c>
      <c r="J430" s="2" t="s">
        <v>15</v>
      </c>
      <c r="K430" s="2" t="s">
        <v>16</v>
      </c>
      <c r="L430" s="2" t="s">
        <v>17</v>
      </c>
    </row>
    <row r="431" spans="1:12" x14ac:dyDescent="0.25">
      <c r="A431" s="3">
        <v>45713.202141203699</v>
      </c>
      <c r="B431" t="s">
        <v>48</v>
      </c>
      <c r="C431" s="3">
        <v>45713.202928240746</v>
      </c>
      <c r="D431" t="s">
        <v>48</v>
      </c>
      <c r="E431" s="4">
        <v>1.7000000000000001E-2</v>
      </c>
      <c r="F431" s="4">
        <v>56661.148999999998</v>
      </c>
      <c r="G431" s="4">
        <v>56661.165999999997</v>
      </c>
      <c r="H431" s="5">
        <f>39 / 86400</f>
        <v>4.5138888888888887E-4</v>
      </c>
      <c r="I431" t="s">
        <v>144</v>
      </c>
      <c r="J431" t="s">
        <v>144</v>
      </c>
      <c r="K431" s="5">
        <f>67 / 86400</f>
        <v>7.7546296296296293E-4</v>
      </c>
      <c r="L431" s="5">
        <f>31767 / 86400</f>
        <v>0.36767361111111113</v>
      </c>
    </row>
    <row r="432" spans="1:12" x14ac:dyDescent="0.25">
      <c r="A432" s="3">
        <v>45713.368460648147</v>
      </c>
      <c r="B432" t="s">
        <v>48</v>
      </c>
      <c r="C432" s="3">
        <v>45713.36881944444</v>
      </c>
      <c r="D432" t="s">
        <v>48</v>
      </c>
      <c r="E432" s="4">
        <v>0</v>
      </c>
      <c r="F432" s="4">
        <v>56661.165999999997</v>
      </c>
      <c r="G432" s="4">
        <v>56661.165999999997</v>
      </c>
      <c r="H432" s="5">
        <f>19 / 86400</f>
        <v>2.199074074074074E-4</v>
      </c>
      <c r="I432" t="s">
        <v>22</v>
      </c>
      <c r="J432" t="s">
        <v>22</v>
      </c>
      <c r="K432" s="5">
        <f>31 / 86400</f>
        <v>3.5879629629629629E-4</v>
      </c>
      <c r="L432" s="5">
        <f>64 / 86400</f>
        <v>7.407407407407407E-4</v>
      </c>
    </row>
    <row r="433" spans="1:12" x14ac:dyDescent="0.25">
      <c r="A433" s="3">
        <v>45713.369560185187</v>
      </c>
      <c r="B433" t="s">
        <v>48</v>
      </c>
      <c r="C433" s="3">
        <v>45713.370451388888</v>
      </c>
      <c r="D433" t="s">
        <v>48</v>
      </c>
      <c r="E433" s="4">
        <v>2.7E-2</v>
      </c>
      <c r="F433" s="4">
        <v>56661.165999999997</v>
      </c>
      <c r="G433" s="4">
        <v>56661.192999999999</v>
      </c>
      <c r="H433" s="5">
        <f>40 / 86400</f>
        <v>4.6296296296296298E-4</v>
      </c>
      <c r="I433" t="s">
        <v>145</v>
      </c>
      <c r="J433" t="s">
        <v>144</v>
      </c>
      <c r="K433" s="5">
        <f>77 / 86400</f>
        <v>8.9120370370370373E-4</v>
      </c>
      <c r="L433" s="5">
        <f>261 / 86400</f>
        <v>3.0208333333333333E-3</v>
      </c>
    </row>
    <row r="434" spans="1:12" x14ac:dyDescent="0.25">
      <c r="A434" s="3">
        <v>45713.373472222222</v>
      </c>
      <c r="B434" t="s">
        <v>48</v>
      </c>
      <c r="C434" s="3">
        <v>45713.374942129631</v>
      </c>
      <c r="D434" t="s">
        <v>82</v>
      </c>
      <c r="E434" s="4">
        <v>0.495</v>
      </c>
      <c r="F434" s="4">
        <v>56661.192999999999</v>
      </c>
      <c r="G434" s="4">
        <v>56661.688000000002</v>
      </c>
      <c r="H434" s="5">
        <f>60 / 86400</f>
        <v>6.9444444444444447E-4</v>
      </c>
      <c r="I434" t="s">
        <v>196</v>
      </c>
      <c r="J434" t="s">
        <v>29</v>
      </c>
      <c r="K434" s="5">
        <f>127 / 86400</f>
        <v>1.4699074074074074E-3</v>
      </c>
      <c r="L434" s="5">
        <f>317 / 86400</f>
        <v>3.6689814814814814E-3</v>
      </c>
    </row>
    <row r="435" spans="1:12" x14ac:dyDescent="0.25">
      <c r="A435" s="3">
        <v>45713.378611111111</v>
      </c>
      <c r="B435" t="s">
        <v>82</v>
      </c>
      <c r="C435" s="3">
        <v>45713.381574074076</v>
      </c>
      <c r="D435" t="s">
        <v>132</v>
      </c>
      <c r="E435" s="4">
        <v>1.2649999999999999</v>
      </c>
      <c r="F435" s="4">
        <v>56661.688000000002</v>
      </c>
      <c r="G435" s="4">
        <v>56662.953000000001</v>
      </c>
      <c r="H435" s="5">
        <f>19 / 86400</f>
        <v>2.199074074074074E-4</v>
      </c>
      <c r="I435" t="s">
        <v>156</v>
      </c>
      <c r="J435" t="s">
        <v>26</v>
      </c>
      <c r="K435" s="5">
        <f>256 / 86400</f>
        <v>2.9629629629629628E-3</v>
      </c>
      <c r="L435" s="5">
        <f>144 / 86400</f>
        <v>1.6666666666666668E-3</v>
      </c>
    </row>
    <row r="436" spans="1:12" x14ac:dyDescent="0.25">
      <c r="A436" s="3">
        <v>45713.383240740739</v>
      </c>
      <c r="B436" t="s">
        <v>132</v>
      </c>
      <c r="C436" s="3">
        <v>45713.383715277778</v>
      </c>
      <c r="D436" t="s">
        <v>132</v>
      </c>
      <c r="E436" s="4">
        <v>6.3E-2</v>
      </c>
      <c r="F436" s="4">
        <v>56662.953000000001</v>
      </c>
      <c r="G436" s="4">
        <v>56663.016000000003</v>
      </c>
      <c r="H436" s="5">
        <f>0 / 86400</f>
        <v>0</v>
      </c>
      <c r="I436" t="s">
        <v>64</v>
      </c>
      <c r="J436" t="s">
        <v>145</v>
      </c>
      <c r="K436" s="5">
        <f>41 / 86400</f>
        <v>4.7453703703703704E-4</v>
      </c>
      <c r="L436" s="5">
        <f>869 / 86400</f>
        <v>1.005787037037037E-2</v>
      </c>
    </row>
    <row r="437" spans="1:12" x14ac:dyDescent="0.25">
      <c r="A437" s="3">
        <v>45713.393773148149</v>
      </c>
      <c r="B437" t="s">
        <v>132</v>
      </c>
      <c r="C437" s="3">
        <v>45713.535787037035</v>
      </c>
      <c r="D437" t="s">
        <v>253</v>
      </c>
      <c r="E437" s="4">
        <v>48.244999999999997</v>
      </c>
      <c r="F437" s="4">
        <v>56663.016000000003</v>
      </c>
      <c r="G437" s="4">
        <v>56711.260999999999</v>
      </c>
      <c r="H437" s="5">
        <f>5380 / 86400</f>
        <v>6.2268518518518522E-2</v>
      </c>
      <c r="I437" t="s">
        <v>19</v>
      </c>
      <c r="J437" t="s">
        <v>29</v>
      </c>
      <c r="K437" s="5">
        <f>12269 / 86400</f>
        <v>0.14200231481481482</v>
      </c>
      <c r="L437" s="5">
        <f>328 / 86400</f>
        <v>3.7962962962962963E-3</v>
      </c>
    </row>
    <row r="438" spans="1:12" x14ac:dyDescent="0.25">
      <c r="A438" s="3">
        <v>45713.539583333331</v>
      </c>
      <c r="B438" t="s">
        <v>248</v>
      </c>
      <c r="C438" s="3">
        <v>45713.539849537032</v>
      </c>
      <c r="D438" t="s">
        <v>248</v>
      </c>
      <c r="E438" s="4">
        <v>4.9000000000000002E-2</v>
      </c>
      <c r="F438" s="4">
        <v>56711.260999999999</v>
      </c>
      <c r="G438" s="4">
        <v>56711.31</v>
      </c>
      <c r="H438" s="5">
        <f>19 / 86400</f>
        <v>2.199074074074074E-4</v>
      </c>
      <c r="I438" t="s">
        <v>22</v>
      </c>
      <c r="J438" t="s">
        <v>97</v>
      </c>
      <c r="K438" s="5">
        <f>23 / 86400</f>
        <v>2.6620370370370372E-4</v>
      </c>
      <c r="L438" s="5">
        <f>243 / 86400</f>
        <v>2.8124999999999999E-3</v>
      </c>
    </row>
    <row r="439" spans="1:12" x14ac:dyDescent="0.25">
      <c r="A439" s="3">
        <v>45713.542662037042</v>
      </c>
      <c r="B439" t="s">
        <v>248</v>
      </c>
      <c r="C439" s="3">
        <v>45713.674502314811</v>
      </c>
      <c r="D439" t="s">
        <v>88</v>
      </c>
      <c r="E439" s="4">
        <v>42.365000000000002</v>
      </c>
      <c r="F439" s="4">
        <v>56711.31</v>
      </c>
      <c r="G439" s="4">
        <v>56753.675000000003</v>
      </c>
      <c r="H439" s="5">
        <f>5000 / 86400</f>
        <v>5.7870370370370371E-2</v>
      </c>
      <c r="I439" t="s">
        <v>181</v>
      </c>
      <c r="J439" t="s">
        <v>45</v>
      </c>
      <c r="K439" s="5">
        <f>11390 / 86400</f>
        <v>0.1318287037037037</v>
      </c>
      <c r="L439" s="5">
        <f>1268 / 86400</f>
        <v>1.4675925925925926E-2</v>
      </c>
    </row>
    <row r="440" spans="1:12" x14ac:dyDescent="0.25">
      <c r="A440" s="3">
        <v>45713.68917824074</v>
      </c>
      <c r="B440" t="s">
        <v>116</v>
      </c>
      <c r="C440" s="3">
        <v>45713.690428240741</v>
      </c>
      <c r="D440" t="s">
        <v>318</v>
      </c>
      <c r="E440" s="4">
        <v>0.13100000000000001</v>
      </c>
      <c r="F440" s="4">
        <v>56753.675000000003</v>
      </c>
      <c r="G440" s="4">
        <v>56753.805999999997</v>
      </c>
      <c r="H440" s="5">
        <f>80 / 86400</f>
        <v>9.2592592592592596E-4</v>
      </c>
      <c r="I440" t="s">
        <v>134</v>
      </c>
      <c r="J440" t="s">
        <v>141</v>
      </c>
      <c r="K440" s="5">
        <f>108 / 86400</f>
        <v>1.25E-3</v>
      </c>
      <c r="L440" s="5">
        <f>40 / 86400</f>
        <v>4.6296296296296298E-4</v>
      </c>
    </row>
    <row r="441" spans="1:12" x14ac:dyDescent="0.25">
      <c r="A441" s="3">
        <v>45713.690891203703</v>
      </c>
      <c r="B441" t="s">
        <v>318</v>
      </c>
      <c r="C441" s="3">
        <v>45713.694745370369</v>
      </c>
      <c r="D441" t="s">
        <v>88</v>
      </c>
      <c r="E441" s="4">
        <v>0.46</v>
      </c>
      <c r="F441" s="4">
        <v>56753.805999999997</v>
      </c>
      <c r="G441" s="4">
        <v>56754.266000000003</v>
      </c>
      <c r="H441" s="5">
        <f>99 / 86400</f>
        <v>1.1458333333333333E-3</v>
      </c>
      <c r="I441" t="s">
        <v>32</v>
      </c>
      <c r="J441" t="s">
        <v>146</v>
      </c>
      <c r="K441" s="5">
        <f>333 / 86400</f>
        <v>3.8541666666666668E-3</v>
      </c>
      <c r="L441" s="5">
        <f>63 / 86400</f>
        <v>7.291666666666667E-4</v>
      </c>
    </row>
    <row r="442" spans="1:12" x14ac:dyDescent="0.25">
      <c r="A442" s="3">
        <v>45713.695474537039</v>
      </c>
      <c r="B442" t="s">
        <v>88</v>
      </c>
      <c r="C442" s="3">
        <v>45713.812175925923</v>
      </c>
      <c r="D442" t="s">
        <v>248</v>
      </c>
      <c r="E442" s="4">
        <v>43.466999999999999</v>
      </c>
      <c r="F442" s="4">
        <v>56754.266000000003</v>
      </c>
      <c r="G442" s="4">
        <v>56797.733</v>
      </c>
      <c r="H442" s="5">
        <f>4016 / 86400</f>
        <v>4.6481481481481485E-2</v>
      </c>
      <c r="I442" t="s">
        <v>25</v>
      </c>
      <c r="J442" t="s">
        <v>32</v>
      </c>
      <c r="K442" s="5">
        <f>10083 / 86400</f>
        <v>0.11670138888888888</v>
      </c>
      <c r="L442" s="5">
        <f>60 / 86400</f>
        <v>6.9444444444444447E-4</v>
      </c>
    </row>
    <row r="443" spans="1:12" x14ac:dyDescent="0.25">
      <c r="A443" s="3">
        <v>45713.81287037037</v>
      </c>
      <c r="B443" t="s">
        <v>248</v>
      </c>
      <c r="C443" s="3">
        <v>45713.933645833335</v>
      </c>
      <c r="D443" t="s">
        <v>82</v>
      </c>
      <c r="E443" s="4">
        <v>46.326000000000001</v>
      </c>
      <c r="F443" s="4">
        <v>56797.733</v>
      </c>
      <c r="G443" s="4">
        <v>56844.059000000001</v>
      </c>
      <c r="H443" s="5">
        <f>3320 / 86400</f>
        <v>3.8425925925925926E-2</v>
      </c>
      <c r="I443" t="s">
        <v>168</v>
      </c>
      <c r="J443" t="s">
        <v>32</v>
      </c>
      <c r="K443" s="5">
        <f>10434 / 86400</f>
        <v>0.12076388888888889</v>
      </c>
      <c r="L443" s="5">
        <f>158 / 86400</f>
        <v>1.8287037037037037E-3</v>
      </c>
    </row>
    <row r="444" spans="1:12" x14ac:dyDescent="0.25">
      <c r="A444" s="3">
        <v>45713.935474537036</v>
      </c>
      <c r="B444" t="s">
        <v>82</v>
      </c>
      <c r="C444" s="3">
        <v>45713.936018518521</v>
      </c>
      <c r="D444" t="s">
        <v>82</v>
      </c>
      <c r="E444" s="4">
        <v>6.0000000000000001E-3</v>
      </c>
      <c r="F444" s="4">
        <v>56844.059000000001</v>
      </c>
      <c r="G444" s="4">
        <v>56844.065000000002</v>
      </c>
      <c r="H444" s="5">
        <f>19 / 86400</f>
        <v>2.199074074074074E-4</v>
      </c>
      <c r="I444" t="s">
        <v>146</v>
      </c>
      <c r="J444" t="s">
        <v>22</v>
      </c>
      <c r="K444" s="5">
        <f>46 / 86400</f>
        <v>5.3240740740740744E-4</v>
      </c>
      <c r="L444" s="5">
        <f>934 / 86400</f>
        <v>1.0810185185185185E-2</v>
      </c>
    </row>
    <row r="445" spans="1:12" x14ac:dyDescent="0.25">
      <c r="A445" s="3">
        <v>45713.946828703702</v>
      </c>
      <c r="B445" t="s">
        <v>82</v>
      </c>
      <c r="C445" s="3">
        <v>45713.965081018519</v>
      </c>
      <c r="D445" t="s">
        <v>49</v>
      </c>
      <c r="E445" s="4">
        <v>5.0540000000000003</v>
      </c>
      <c r="F445" s="4">
        <v>56844.065000000002</v>
      </c>
      <c r="G445" s="4">
        <v>56849.118999999999</v>
      </c>
      <c r="H445" s="5">
        <f>280 / 86400</f>
        <v>3.2407407407407406E-3</v>
      </c>
      <c r="I445" t="s">
        <v>228</v>
      </c>
      <c r="J445" t="s">
        <v>158</v>
      </c>
      <c r="K445" s="5">
        <f>1576 / 86400</f>
        <v>1.8240740740740741E-2</v>
      </c>
      <c r="L445" s="5">
        <f>3016 / 86400</f>
        <v>3.4907407407407408E-2</v>
      </c>
    </row>
    <row r="446" spans="1:12" x14ac:dyDescent="0.25">
      <c r="A446" s="12"/>
      <c r="B446" s="12"/>
      <c r="C446" s="12"/>
      <c r="D446" s="12"/>
      <c r="E446" s="12"/>
      <c r="F446" s="12"/>
      <c r="G446" s="12"/>
      <c r="H446" s="12"/>
      <c r="I446" s="12"/>
      <c r="J446" s="12"/>
    </row>
    <row r="447" spans="1:12" x14ac:dyDescent="0.25">
      <c r="A447" s="12"/>
      <c r="B447" s="12"/>
      <c r="C447" s="12"/>
      <c r="D447" s="12"/>
      <c r="E447" s="12"/>
      <c r="F447" s="12"/>
      <c r="G447" s="12"/>
      <c r="H447" s="12"/>
      <c r="I447" s="12"/>
      <c r="J447" s="12"/>
    </row>
    <row r="448" spans="1:12" s="10" customFormat="1" ht="20.100000000000001" customHeight="1" x14ac:dyDescent="0.35">
      <c r="A448" s="15" t="s">
        <v>404</v>
      </c>
      <c r="B448" s="15"/>
      <c r="C448" s="15"/>
      <c r="D448" s="15"/>
      <c r="E448" s="15"/>
      <c r="F448" s="15"/>
      <c r="G448" s="15"/>
      <c r="H448" s="15"/>
      <c r="I448" s="15"/>
      <c r="J448" s="15"/>
    </row>
    <row r="449" spans="1:12" x14ac:dyDescent="0.25">
      <c r="A449" s="12"/>
      <c r="B449" s="12"/>
      <c r="C449" s="12"/>
      <c r="D449" s="12"/>
      <c r="E449" s="12"/>
      <c r="F449" s="12"/>
      <c r="G449" s="12"/>
      <c r="H449" s="12"/>
      <c r="I449" s="12"/>
      <c r="J449" s="12"/>
    </row>
    <row r="450" spans="1:12" ht="30" x14ac:dyDescent="0.25">
      <c r="A450" s="2" t="s">
        <v>6</v>
      </c>
      <c r="B450" s="2" t="s">
        <v>7</v>
      </c>
      <c r="C450" s="2" t="s">
        <v>8</v>
      </c>
      <c r="D450" s="2" t="s">
        <v>9</v>
      </c>
      <c r="E450" s="2" t="s">
        <v>10</v>
      </c>
      <c r="F450" s="2" t="s">
        <v>11</v>
      </c>
      <c r="G450" s="2" t="s">
        <v>12</v>
      </c>
      <c r="H450" s="2" t="s">
        <v>13</v>
      </c>
      <c r="I450" s="2" t="s">
        <v>14</v>
      </c>
      <c r="J450" s="2" t="s">
        <v>15</v>
      </c>
      <c r="K450" s="2" t="s">
        <v>16</v>
      </c>
      <c r="L450" s="2" t="s">
        <v>17</v>
      </c>
    </row>
    <row r="451" spans="1:12" x14ac:dyDescent="0.25">
      <c r="A451" s="3">
        <v>45713.350428240738</v>
      </c>
      <c r="B451" t="s">
        <v>50</v>
      </c>
      <c r="C451" s="3">
        <v>45713.350891203707</v>
      </c>
      <c r="D451" t="s">
        <v>50</v>
      </c>
      <c r="E451" s="4">
        <v>0</v>
      </c>
      <c r="F451" s="4">
        <v>217388.54800000001</v>
      </c>
      <c r="G451" s="4">
        <v>217388.54800000001</v>
      </c>
      <c r="H451" s="5">
        <f>19 / 86400</f>
        <v>2.199074074074074E-4</v>
      </c>
      <c r="I451" t="s">
        <v>22</v>
      </c>
      <c r="J451" t="s">
        <v>22</v>
      </c>
      <c r="K451" s="5">
        <f>40 / 86400</f>
        <v>4.6296296296296298E-4</v>
      </c>
      <c r="L451" s="5">
        <f>30312 / 86400</f>
        <v>0.35083333333333333</v>
      </c>
    </row>
    <row r="452" spans="1:12" x14ac:dyDescent="0.25">
      <c r="A452" s="3">
        <v>45713.3512962963</v>
      </c>
      <c r="B452" t="s">
        <v>50</v>
      </c>
      <c r="C452" s="3">
        <v>45713.351851851854</v>
      </c>
      <c r="D452" t="s">
        <v>50</v>
      </c>
      <c r="E452" s="4">
        <v>0</v>
      </c>
      <c r="F452" s="4">
        <v>217388.54800000001</v>
      </c>
      <c r="G452" s="4">
        <v>217388.54800000001</v>
      </c>
      <c r="H452" s="5">
        <f>39 / 86400</f>
        <v>4.5138888888888887E-4</v>
      </c>
      <c r="I452" t="s">
        <v>22</v>
      </c>
      <c r="J452" t="s">
        <v>22</v>
      </c>
      <c r="K452" s="5">
        <f>48 / 86400</f>
        <v>5.5555555555555556E-4</v>
      </c>
      <c r="L452" s="5">
        <f>536 / 86400</f>
        <v>6.2037037037037035E-3</v>
      </c>
    </row>
    <row r="453" spans="1:12" x14ac:dyDescent="0.25">
      <c r="A453" s="3">
        <v>45713.358055555553</v>
      </c>
      <c r="B453" t="s">
        <v>50</v>
      </c>
      <c r="C453" s="3">
        <v>45713.358298611114</v>
      </c>
      <c r="D453" t="s">
        <v>50</v>
      </c>
      <c r="E453" s="4">
        <v>0</v>
      </c>
      <c r="F453" s="4">
        <v>217388.54800000001</v>
      </c>
      <c r="G453" s="4">
        <v>217388.54800000001</v>
      </c>
      <c r="H453" s="5">
        <f>19 / 86400</f>
        <v>2.199074074074074E-4</v>
      </c>
      <c r="I453" t="s">
        <v>22</v>
      </c>
      <c r="J453" t="s">
        <v>22</v>
      </c>
      <c r="K453" s="5">
        <f>21 / 86400</f>
        <v>2.4305555555555555E-4</v>
      </c>
      <c r="L453" s="5">
        <f>250 / 86400</f>
        <v>2.8935185185185184E-3</v>
      </c>
    </row>
    <row r="454" spans="1:12" x14ac:dyDescent="0.25">
      <c r="A454" s="3">
        <v>45713.361192129625</v>
      </c>
      <c r="B454" t="s">
        <v>50</v>
      </c>
      <c r="C454" s="3">
        <v>45713.369201388894</v>
      </c>
      <c r="D454" t="s">
        <v>50</v>
      </c>
      <c r="E454" s="4">
        <v>1.4E-2</v>
      </c>
      <c r="F454" s="4">
        <v>217388.54800000001</v>
      </c>
      <c r="G454" s="4">
        <v>217388.56200000001</v>
      </c>
      <c r="H454" s="5">
        <f>638 / 86400</f>
        <v>7.3842592592592597E-3</v>
      </c>
      <c r="I454" t="s">
        <v>147</v>
      </c>
      <c r="J454" t="s">
        <v>22</v>
      </c>
      <c r="K454" s="5">
        <f>692 / 86400</f>
        <v>8.0092592592592594E-3</v>
      </c>
      <c r="L454" s="5">
        <f>39 / 86400</f>
        <v>4.5138888888888887E-4</v>
      </c>
    </row>
    <row r="455" spans="1:12" x14ac:dyDescent="0.25">
      <c r="A455" s="3">
        <v>45713.369652777779</v>
      </c>
      <c r="B455" t="s">
        <v>50</v>
      </c>
      <c r="C455" s="3">
        <v>45713.369733796295</v>
      </c>
      <c r="D455" t="s">
        <v>50</v>
      </c>
      <c r="E455" s="4">
        <v>0</v>
      </c>
      <c r="F455" s="4">
        <v>217388.56200000001</v>
      </c>
      <c r="G455" s="4">
        <v>217388.56200000001</v>
      </c>
      <c r="H455" s="5">
        <f>0 / 86400</f>
        <v>0</v>
      </c>
      <c r="I455" t="s">
        <v>22</v>
      </c>
      <c r="J455" t="s">
        <v>22</v>
      </c>
      <c r="K455" s="5">
        <f>6 / 86400</f>
        <v>6.9444444444444444E-5</v>
      </c>
      <c r="L455" s="5">
        <f>9 / 86400</f>
        <v>1.0416666666666667E-4</v>
      </c>
    </row>
    <row r="456" spans="1:12" x14ac:dyDescent="0.25">
      <c r="A456" s="3">
        <v>45713.369837962964</v>
      </c>
      <c r="B456" t="s">
        <v>50</v>
      </c>
      <c r="C456" s="3">
        <v>45713.370995370366</v>
      </c>
      <c r="D456" t="s">
        <v>50</v>
      </c>
      <c r="E456" s="4">
        <v>1.0999999999999999E-2</v>
      </c>
      <c r="F456" s="4">
        <v>217388.56200000001</v>
      </c>
      <c r="G456" s="4">
        <v>217388.573</v>
      </c>
      <c r="H456" s="5">
        <f>44 / 86400</f>
        <v>5.0925925925925921E-4</v>
      </c>
      <c r="I456" t="s">
        <v>141</v>
      </c>
      <c r="J456" t="s">
        <v>22</v>
      </c>
      <c r="K456" s="5">
        <f>100 / 86400</f>
        <v>1.1574074074074073E-3</v>
      </c>
      <c r="L456" s="5">
        <f>11 / 86400</f>
        <v>1.273148148148148E-4</v>
      </c>
    </row>
    <row r="457" spans="1:12" x14ac:dyDescent="0.25">
      <c r="A457" s="3">
        <v>45713.371122685188</v>
      </c>
      <c r="B457" t="s">
        <v>50</v>
      </c>
      <c r="C457" s="3">
        <v>45713.376782407402</v>
      </c>
      <c r="D457" t="s">
        <v>50</v>
      </c>
      <c r="E457" s="4">
        <v>4.5999999999999999E-2</v>
      </c>
      <c r="F457" s="4">
        <v>217388.573</v>
      </c>
      <c r="G457" s="4">
        <v>217388.61900000001</v>
      </c>
      <c r="H457" s="5">
        <f>339 / 86400</f>
        <v>3.9236111111111112E-3</v>
      </c>
      <c r="I457" t="s">
        <v>147</v>
      </c>
      <c r="J457" t="s">
        <v>22</v>
      </c>
      <c r="K457" s="5">
        <f>488 / 86400</f>
        <v>5.6481481481481478E-3</v>
      </c>
      <c r="L457" s="5">
        <f>13049 / 86400</f>
        <v>0.15103009259259259</v>
      </c>
    </row>
    <row r="458" spans="1:12" x14ac:dyDescent="0.25">
      <c r="A458" s="3">
        <v>45713.527812500004</v>
      </c>
      <c r="B458" t="s">
        <v>50</v>
      </c>
      <c r="C458" s="3">
        <v>45713.528796296298</v>
      </c>
      <c r="D458" t="s">
        <v>50</v>
      </c>
      <c r="E458" s="4">
        <v>3.0000000000000001E-3</v>
      </c>
      <c r="F458" s="4">
        <v>217388.61900000001</v>
      </c>
      <c r="G458" s="4">
        <v>217388.622</v>
      </c>
      <c r="H458" s="5">
        <f>79 / 86400</f>
        <v>9.1435185185185185E-4</v>
      </c>
      <c r="I458" t="s">
        <v>22</v>
      </c>
      <c r="J458" t="s">
        <v>22</v>
      </c>
      <c r="K458" s="5">
        <f>85 / 86400</f>
        <v>9.837962962962962E-4</v>
      </c>
      <c r="L458" s="5">
        <f>294 / 86400</f>
        <v>3.4027777777777776E-3</v>
      </c>
    </row>
    <row r="459" spans="1:12" x14ac:dyDescent="0.25">
      <c r="A459" s="3">
        <v>45713.532199074078</v>
      </c>
      <c r="B459" t="s">
        <v>50</v>
      </c>
      <c r="C459" s="3">
        <v>45713.538657407407</v>
      </c>
      <c r="D459" t="s">
        <v>50</v>
      </c>
      <c r="E459" s="4">
        <v>6.6000000000000003E-2</v>
      </c>
      <c r="F459" s="4">
        <v>217388.622</v>
      </c>
      <c r="G459" s="4">
        <v>217388.68799999999</v>
      </c>
      <c r="H459" s="5">
        <f>500 / 86400</f>
        <v>5.7870370370370367E-3</v>
      </c>
      <c r="I459" t="s">
        <v>145</v>
      </c>
      <c r="J459" t="s">
        <v>22</v>
      </c>
      <c r="K459" s="5">
        <f>558 / 86400</f>
        <v>6.4583333333333333E-3</v>
      </c>
      <c r="L459" s="5">
        <f>60 / 86400</f>
        <v>6.9444444444444447E-4</v>
      </c>
    </row>
    <row r="460" spans="1:12" x14ac:dyDescent="0.25">
      <c r="A460" s="3">
        <v>45713.539351851854</v>
      </c>
      <c r="B460" t="s">
        <v>50</v>
      </c>
      <c r="C460" s="3">
        <v>45713.554525462961</v>
      </c>
      <c r="D460" t="s">
        <v>50</v>
      </c>
      <c r="E460" s="4">
        <v>7.9000000000000001E-2</v>
      </c>
      <c r="F460" s="4">
        <v>217388.68799999999</v>
      </c>
      <c r="G460" s="4">
        <v>217388.76699999999</v>
      </c>
      <c r="H460" s="5">
        <f>1279 / 86400</f>
        <v>1.480324074074074E-2</v>
      </c>
      <c r="I460" t="s">
        <v>147</v>
      </c>
      <c r="J460" t="s">
        <v>22</v>
      </c>
      <c r="K460" s="5">
        <f>1310 / 86400</f>
        <v>1.5162037037037036E-2</v>
      </c>
      <c r="L460" s="5">
        <f>6241 / 86400</f>
        <v>7.2233796296296296E-2</v>
      </c>
    </row>
    <row r="461" spans="1:12" x14ac:dyDescent="0.25">
      <c r="A461" s="3">
        <v>45713.626759259263</v>
      </c>
      <c r="B461" t="s">
        <v>50</v>
      </c>
      <c r="C461" s="3">
        <v>45713.627465277779</v>
      </c>
      <c r="D461" t="s">
        <v>50</v>
      </c>
      <c r="E461" s="4">
        <v>8.0000000000000002E-3</v>
      </c>
      <c r="F461" s="4">
        <v>217388.76699999999</v>
      </c>
      <c r="G461" s="4">
        <v>217388.77499999999</v>
      </c>
      <c r="H461" s="5">
        <f>39 / 86400</f>
        <v>4.5138888888888887E-4</v>
      </c>
      <c r="I461" t="s">
        <v>106</v>
      </c>
      <c r="J461" t="s">
        <v>22</v>
      </c>
      <c r="K461" s="5">
        <f>61 / 86400</f>
        <v>7.0601851851851847E-4</v>
      </c>
      <c r="L461" s="5">
        <f>6221 / 86400</f>
        <v>7.2002314814814811E-2</v>
      </c>
    </row>
    <row r="462" spans="1:12" x14ac:dyDescent="0.25">
      <c r="A462" s="3">
        <v>45713.699467592596</v>
      </c>
      <c r="B462" t="s">
        <v>50</v>
      </c>
      <c r="C462" s="3">
        <v>45713.699525462958</v>
      </c>
      <c r="D462" t="s">
        <v>50</v>
      </c>
      <c r="E462" s="4">
        <v>0</v>
      </c>
      <c r="F462" s="4">
        <v>217388.77499999999</v>
      </c>
      <c r="G462" s="4">
        <v>217388.77499999999</v>
      </c>
      <c r="H462" s="5">
        <f>0 / 86400</f>
        <v>0</v>
      </c>
      <c r="I462" t="s">
        <v>22</v>
      </c>
      <c r="J462" t="s">
        <v>22</v>
      </c>
      <c r="K462" s="5">
        <f>4 / 86400</f>
        <v>4.6296296296296294E-5</v>
      </c>
      <c r="L462" s="5">
        <f>5 / 86400</f>
        <v>5.7870370370370373E-5</v>
      </c>
    </row>
    <row r="463" spans="1:12" x14ac:dyDescent="0.25">
      <c r="A463" s="3">
        <v>45713.699583333335</v>
      </c>
      <c r="B463" t="s">
        <v>50</v>
      </c>
      <c r="C463" s="3">
        <v>45713.699699074074</v>
      </c>
      <c r="D463" t="s">
        <v>50</v>
      </c>
      <c r="E463" s="4">
        <v>0</v>
      </c>
      <c r="F463" s="4">
        <v>217388.77499999999</v>
      </c>
      <c r="G463" s="4">
        <v>217388.77499999999</v>
      </c>
      <c r="H463" s="5">
        <f>0 / 86400</f>
        <v>0</v>
      </c>
      <c r="I463" t="s">
        <v>22</v>
      </c>
      <c r="J463" t="s">
        <v>22</v>
      </c>
      <c r="K463" s="5">
        <f>10 / 86400</f>
        <v>1.1574074074074075E-4</v>
      </c>
      <c r="L463" s="5">
        <f>1455 / 86400</f>
        <v>1.6840277777777777E-2</v>
      </c>
    </row>
    <row r="464" spans="1:12" x14ac:dyDescent="0.25">
      <c r="A464" s="3">
        <v>45713.716539351852</v>
      </c>
      <c r="B464" t="s">
        <v>50</v>
      </c>
      <c r="C464" s="3">
        <v>45713.718368055561</v>
      </c>
      <c r="D464" t="s">
        <v>50</v>
      </c>
      <c r="E464" s="4">
        <v>1.7999999999999999E-2</v>
      </c>
      <c r="F464" s="4">
        <v>217388.77499999999</v>
      </c>
      <c r="G464" s="4">
        <v>217388.79300000001</v>
      </c>
      <c r="H464" s="5">
        <f>139 / 86400</f>
        <v>1.6087962962962963E-3</v>
      </c>
      <c r="I464" t="s">
        <v>22</v>
      </c>
      <c r="J464" t="s">
        <v>22</v>
      </c>
      <c r="K464" s="5">
        <f>158 / 86400</f>
        <v>1.8287037037037037E-3</v>
      </c>
      <c r="L464" s="5">
        <f>3 / 86400</f>
        <v>3.4722222222222222E-5</v>
      </c>
    </row>
    <row r="465" spans="1:12" x14ac:dyDescent="0.25">
      <c r="A465" s="3">
        <v>45713.718402777777</v>
      </c>
      <c r="B465" t="s">
        <v>50</v>
      </c>
      <c r="C465" s="3">
        <v>45713.761643518519</v>
      </c>
      <c r="D465" t="s">
        <v>50</v>
      </c>
      <c r="E465" s="4">
        <v>11.241</v>
      </c>
      <c r="F465" s="4">
        <v>217388.79300000001</v>
      </c>
      <c r="G465" s="4">
        <v>217400.03400000001</v>
      </c>
      <c r="H465" s="5">
        <f>1879 / 86400</f>
        <v>2.1747685185185186E-2</v>
      </c>
      <c r="I465" t="s">
        <v>319</v>
      </c>
      <c r="J465" t="s">
        <v>53</v>
      </c>
      <c r="K465" s="5">
        <f>3736 / 86400</f>
        <v>4.3240740740740739E-2</v>
      </c>
      <c r="L465" s="5">
        <f>483 / 86400</f>
        <v>5.5902777777777773E-3</v>
      </c>
    </row>
    <row r="466" spans="1:12" x14ac:dyDescent="0.25">
      <c r="A466" s="3">
        <v>45713.767233796301</v>
      </c>
      <c r="B466" t="s">
        <v>50</v>
      </c>
      <c r="C466" s="3">
        <v>45713.767418981486</v>
      </c>
      <c r="D466" t="s">
        <v>50</v>
      </c>
      <c r="E466" s="4">
        <v>0</v>
      </c>
      <c r="F466" s="4">
        <v>217400.03400000001</v>
      </c>
      <c r="G466" s="4">
        <v>217400.03400000001</v>
      </c>
      <c r="H466" s="5">
        <f>0 / 86400</f>
        <v>0</v>
      </c>
      <c r="I466" t="s">
        <v>22</v>
      </c>
      <c r="J466" t="s">
        <v>22</v>
      </c>
      <c r="K466" s="5">
        <f>16 / 86400</f>
        <v>1.8518518518518518E-4</v>
      </c>
      <c r="L466" s="5">
        <f>3562 / 86400</f>
        <v>4.1226851851851855E-2</v>
      </c>
    </row>
    <row r="467" spans="1:12" x14ac:dyDescent="0.25">
      <c r="A467" s="3">
        <v>45713.808645833335</v>
      </c>
      <c r="B467" t="s">
        <v>50</v>
      </c>
      <c r="C467" s="3">
        <v>45713.830763888887</v>
      </c>
      <c r="D467" t="s">
        <v>320</v>
      </c>
      <c r="E467" s="4">
        <v>3.4039999999999999</v>
      </c>
      <c r="F467" s="4">
        <v>217400.03400000001</v>
      </c>
      <c r="G467" s="4">
        <v>217403.43799999999</v>
      </c>
      <c r="H467" s="5">
        <f>1259 / 86400</f>
        <v>1.457175925925926E-2</v>
      </c>
      <c r="I467" t="s">
        <v>211</v>
      </c>
      <c r="J467" t="s">
        <v>145</v>
      </c>
      <c r="K467" s="5">
        <f>1911 / 86400</f>
        <v>2.2118055555555554E-2</v>
      </c>
      <c r="L467" s="5">
        <f>1003 / 86400</f>
        <v>1.1608796296296296E-2</v>
      </c>
    </row>
    <row r="468" spans="1:12" x14ac:dyDescent="0.25">
      <c r="A468" s="3">
        <v>45713.842372685191</v>
      </c>
      <c r="B468" t="s">
        <v>320</v>
      </c>
      <c r="C468" s="3">
        <v>45713.854386574079</v>
      </c>
      <c r="D468" t="s">
        <v>321</v>
      </c>
      <c r="E468" s="4">
        <v>4.13</v>
      </c>
      <c r="F468" s="4">
        <v>217403.43799999999</v>
      </c>
      <c r="G468" s="4">
        <v>217407.568</v>
      </c>
      <c r="H468" s="5">
        <f>200 / 86400</f>
        <v>2.3148148148148147E-3</v>
      </c>
      <c r="I468" t="s">
        <v>156</v>
      </c>
      <c r="J468" t="s">
        <v>29</v>
      </c>
      <c r="K468" s="5">
        <f>1037 / 86400</f>
        <v>1.2002314814814815E-2</v>
      </c>
      <c r="L468" s="5">
        <f>12 / 86400</f>
        <v>1.3888888888888889E-4</v>
      </c>
    </row>
    <row r="469" spans="1:12" x14ac:dyDescent="0.25">
      <c r="A469" s="3">
        <v>45713.854525462964</v>
      </c>
      <c r="B469" t="s">
        <v>321</v>
      </c>
      <c r="C469" s="3">
        <v>45713.862141203703</v>
      </c>
      <c r="D469" t="s">
        <v>321</v>
      </c>
      <c r="E469" s="4">
        <v>0</v>
      </c>
      <c r="F469" s="4">
        <v>217407.568</v>
      </c>
      <c r="G469" s="4">
        <v>217407.568</v>
      </c>
      <c r="H469" s="5">
        <f>639 / 86400</f>
        <v>7.3958333333333333E-3</v>
      </c>
      <c r="I469" t="s">
        <v>22</v>
      </c>
      <c r="J469" t="s">
        <v>22</v>
      </c>
      <c r="K469" s="5">
        <f>658 / 86400</f>
        <v>7.6157407407407406E-3</v>
      </c>
      <c r="L469" s="5">
        <f>78 / 86400</f>
        <v>9.0277777777777774E-4</v>
      </c>
    </row>
    <row r="470" spans="1:12" x14ac:dyDescent="0.25">
      <c r="A470" s="3">
        <v>45713.863043981481</v>
      </c>
      <c r="B470" t="s">
        <v>321</v>
      </c>
      <c r="C470" s="3">
        <v>45713.967407407406</v>
      </c>
      <c r="D470" t="s">
        <v>82</v>
      </c>
      <c r="E470" s="4">
        <v>43.110999999999997</v>
      </c>
      <c r="F470" s="4">
        <v>217407.568</v>
      </c>
      <c r="G470" s="4">
        <v>217450.679</v>
      </c>
      <c r="H470" s="5">
        <f>2739 / 86400</f>
        <v>3.170138888888889E-2</v>
      </c>
      <c r="I470" t="s">
        <v>52</v>
      </c>
      <c r="J470" t="s">
        <v>20</v>
      </c>
      <c r="K470" s="5">
        <f>9017 / 86400</f>
        <v>0.10436342592592593</v>
      </c>
      <c r="L470" s="5">
        <f>478 / 86400</f>
        <v>5.5324074074074078E-3</v>
      </c>
    </row>
    <row r="471" spans="1:12" x14ac:dyDescent="0.25">
      <c r="A471" s="3">
        <v>45713.972939814819</v>
      </c>
      <c r="B471" t="s">
        <v>82</v>
      </c>
      <c r="C471" s="3">
        <v>45713.97828703704</v>
      </c>
      <c r="D471" t="s">
        <v>51</v>
      </c>
      <c r="E471" s="4">
        <v>0.88700000000000001</v>
      </c>
      <c r="F471" s="4">
        <v>217450.679</v>
      </c>
      <c r="G471" s="4">
        <v>217451.56599999999</v>
      </c>
      <c r="H471" s="5">
        <f>220 / 86400</f>
        <v>2.5462962962962965E-3</v>
      </c>
      <c r="I471" t="s">
        <v>177</v>
      </c>
      <c r="J471" t="s">
        <v>34</v>
      </c>
      <c r="K471" s="5">
        <f>462 / 86400</f>
        <v>5.347222222222222E-3</v>
      </c>
      <c r="L471" s="5">
        <f>1 / 86400</f>
        <v>1.1574074074074073E-5</v>
      </c>
    </row>
    <row r="472" spans="1:12" x14ac:dyDescent="0.25">
      <c r="A472" s="3">
        <v>45713.978298611109</v>
      </c>
      <c r="B472" t="s">
        <v>51</v>
      </c>
      <c r="C472" s="3">
        <v>45713.978668981479</v>
      </c>
      <c r="D472" t="s">
        <v>51</v>
      </c>
      <c r="E472" s="4">
        <v>0</v>
      </c>
      <c r="F472" s="4">
        <v>217451.56599999999</v>
      </c>
      <c r="G472" s="4">
        <v>217451.56599999999</v>
      </c>
      <c r="H472" s="5">
        <f>27 / 86400</f>
        <v>3.1250000000000001E-4</v>
      </c>
      <c r="I472" t="s">
        <v>22</v>
      </c>
      <c r="J472" t="s">
        <v>22</v>
      </c>
      <c r="K472" s="5">
        <f>32 / 86400</f>
        <v>3.7037037037037035E-4</v>
      </c>
      <c r="L472" s="5">
        <f>1842 / 86400</f>
        <v>2.1319444444444443E-2</v>
      </c>
    </row>
    <row r="473" spans="1:12" x14ac:dyDescent="0.25">
      <c r="A473" s="12"/>
      <c r="B473" s="12"/>
      <c r="C473" s="12"/>
      <c r="D473" s="12"/>
      <c r="E473" s="12"/>
      <c r="F473" s="12"/>
      <c r="G473" s="12"/>
      <c r="H473" s="12"/>
      <c r="I473" s="12"/>
      <c r="J473" s="12"/>
    </row>
    <row r="474" spans="1:12" x14ac:dyDescent="0.25">
      <c r="A474" s="12"/>
      <c r="B474" s="12"/>
      <c r="C474" s="12"/>
      <c r="D474" s="12"/>
      <c r="E474" s="12"/>
      <c r="F474" s="12"/>
      <c r="G474" s="12"/>
      <c r="H474" s="12"/>
      <c r="I474" s="12"/>
      <c r="J474" s="12"/>
    </row>
    <row r="475" spans="1:12" s="10" customFormat="1" ht="20.100000000000001" customHeight="1" x14ac:dyDescent="0.35">
      <c r="A475" s="15" t="s">
        <v>405</v>
      </c>
      <c r="B475" s="15"/>
      <c r="C475" s="15"/>
      <c r="D475" s="15"/>
      <c r="E475" s="15"/>
      <c r="F475" s="15"/>
      <c r="G475" s="15"/>
      <c r="H475" s="15"/>
      <c r="I475" s="15"/>
      <c r="J475" s="15"/>
    </row>
    <row r="476" spans="1:12" x14ac:dyDescent="0.25">
      <c r="A476" s="12"/>
      <c r="B476" s="12"/>
      <c r="C476" s="12"/>
      <c r="D476" s="12"/>
      <c r="E476" s="12"/>
      <c r="F476" s="12"/>
      <c r="G476" s="12"/>
      <c r="H476" s="12"/>
      <c r="I476" s="12"/>
      <c r="J476" s="12"/>
    </row>
    <row r="477" spans="1:12" ht="30" x14ac:dyDescent="0.25">
      <c r="A477" s="2" t="s">
        <v>6</v>
      </c>
      <c r="B477" s="2" t="s">
        <v>7</v>
      </c>
      <c r="C477" s="2" t="s">
        <v>8</v>
      </c>
      <c r="D477" s="2" t="s">
        <v>9</v>
      </c>
      <c r="E477" s="2" t="s">
        <v>10</v>
      </c>
      <c r="F477" s="2" t="s">
        <v>11</v>
      </c>
      <c r="G477" s="2" t="s">
        <v>12</v>
      </c>
      <c r="H477" s="2" t="s">
        <v>13</v>
      </c>
      <c r="I477" s="2" t="s">
        <v>14</v>
      </c>
      <c r="J477" s="2" t="s">
        <v>15</v>
      </c>
      <c r="K477" s="2" t="s">
        <v>16</v>
      </c>
      <c r="L477" s="2" t="s">
        <v>17</v>
      </c>
    </row>
    <row r="478" spans="1:12" x14ac:dyDescent="0.25">
      <c r="A478" s="3">
        <v>45713.230543981481</v>
      </c>
      <c r="B478" t="s">
        <v>54</v>
      </c>
      <c r="C478" s="3">
        <v>45713.23101851852</v>
      </c>
      <c r="D478" t="s">
        <v>54</v>
      </c>
      <c r="E478" s="4">
        <v>2.9999998807907105E-3</v>
      </c>
      <c r="F478" s="4">
        <v>527237.26800000004</v>
      </c>
      <c r="G478" s="4">
        <v>527237.27099999995</v>
      </c>
      <c r="H478" s="5">
        <f>39 / 86400</f>
        <v>4.5138888888888887E-4</v>
      </c>
      <c r="I478" t="s">
        <v>22</v>
      </c>
      <c r="J478" t="s">
        <v>22</v>
      </c>
      <c r="K478" s="5">
        <f>41 / 86400</f>
        <v>4.7453703703703704E-4</v>
      </c>
      <c r="L478" s="5">
        <f>20088 / 86400</f>
        <v>0.23250000000000001</v>
      </c>
    </row>
    <row r="479" spans="1:12" x14ac:dyDescent="0.25">
      <c r="A479" s="3">
        <v>45713.232974537037</v>
      </c>
      <c r="B479" t="s">
        <v>54</v>
      </c>
      <c r="C479" s="3">
        <v>45713.239166666666</v>
      </c>
      <c r="D479" t="s">
        <v>67</v>
      </c>
      <c r="E479" s="4">
        <v>1.5980000000000001</v>
      </c>
      <c r="F479" s="4">
        <v>527237.27099999995</v>
      </c>
      <c r="G479" s="4">
        <v>527238.86899999995</v>
      </c>
      <c r="H479" s="5">
        <f>99 / 86400</f>
        <v>1.1458333333333333E-3</v>
      </c>
      <c r="I479" t="s">
        <v>156</v>
      </c>
      <c r="J479" t="s">
        <v>53</v>
      </c>
      <c r="K479" s="5">
        <f>534 / 86400</f>
        <v>6.1805555555555555E-3</v>
      </c>
      <c r="L479" s="5">
        <f>886 / 86400</f>
        <v>1.0254629629629629E-2</v>
      </c>
    </row>
    <row r="480" spans="1:12" x14ac:dyDescent="0.25">
      <c r="A480" s="3">
        <v>45713.249421296292</v>
      </c>
      <c r="B480" t="s">
        <v>67</v>
      </c>
      <c r="C480" s="3">
        <v>45713.250115740739</v>
      </c>
      <c r="D480" t="s">
        <v>67</v>
      </c>
      <c r="E480" s="4">
        <v>7.8000000119209295E-2</v>
      </c>
      <c r="F480" s="4">
        <v>527238.86899999995</v>
      </c>
      <c r="G480" s="4">
        <v>527238.94700000004</v>
      </c>
      <c r="H480" s="5">
        <f>20 / 86400</f>
        <v>2.3148148148148149E-4</v>
      </c>
      <c r="I480" t="s">
        <v>97</v>
      </c>
      <c r="J480" t="s">
        <v>146</v>
      </c>
      <c r="K480" s="5">
        <f>59 / 86400</f>
        <v>6.8287037037037036E-4</v>
      </c>
      <c r="L480" s="5">
        <f>935 / 86400</f>
        <v>1.0821759259259258E-2</v>
      </c>
    </row>
    <row r="481" spans="1:12" x14ac:dyDescent="0.25">
      <c r="A481" s="3">
        <v>45713.260937500003</v>
      </c>
      <c r="B481" t="s">
        <v>67</v>
      </c>
      <c r="C481" s="3">
        <v>45713.262696759259</v>
      </c>
      <c r="D481" t="s">
        <v>67</v>
      </c>
      <c r="E481" s="4">
        <v>4.9000000000000002E-2</v>
      </c>
      <c r="F481" s="4">
        <v>527238.94700000004</v>
      </c>
      <c r="G481" s="4">
        <v>527238.99600000004</v>
      </c>
      <c r="H481" s="5">
        <f>139 / 86400</f>
        <v>1.6087962962962963E-3</v>
      </c>
      <c r="I481" t="s">
        <v>34</v>
      </c>
      <c r="J481" t="s">
        <v>144</v>
      </c>
      <c r="K481" s="5">
        <f>151 / 86400</f>
        <v>1.7476851851851852E-3</v>
      </c>
      <c r="L481" s="5">
        <f>190 / 86400</f>
        <v>2.1990740740740742E-3</v>
      </c>
    </row>
    <row r="482" spans="1:12" x14ac:dyDescent="0.25">
      <c r="A482" s="3">
        <v>45713.26489583333</v>
      </c>
      <c r="B482" t="s">
        <v>67</v>
      </c>
      <c r="C482" s="3">
        <v>45713.315127314811</v>
      </c>
      <c r="D482" t="s">
        <v>284</v>
      </c>
      <c r="E482" s="4">
        <v>19.035999999940394</v>
      </c>
      <c r="F482" s="4">
        <v>527238.99600000004</v>
      </c>
      <c r="G482" s="4">
        <v>527258.03200000001</v>
      </c>
      <c r="H482" s="5">
        <f>1599 / 86400</f>
        <v>1.8506944444444444E-2</v>
      </c>
      <c r="I482" t="s">
        <v>69</v>
      </c>
      <c r="J482" t="s">
        <v>32</v>
      </c>
      <c r="K482" s="5">
        <f>4339 / 86400</f>
        <v>5.0219907407407408E-2</v>
      </c>
      <c r="L482" s="5">
        <f>50 / 86400</f>
        <v>5.7870370370370367E-4</v>
      </c>
    </row>
    <row r="483" spans="1:12" x14ac:dyDescent="0.25">
      <c r="A483" s="3">
        <v>45713.315706018519</v>
      </c>
      <c r="B483" t="s">
        <v>284</v>
      </c>
      <c r="C483" s="3">
        <v>45713.385706018518</v>
      </c>
      <c r="D483" t="s">
        <v>137</v>
      </c>
      <c r="E483" s="4">
        <v>38.779000000000003</v>
      </c>
      <c r="F483" s="4">
        <v>527258.03200000001</v>
      </c>
      <c r="G483" s="4">
        <v>527296.81099999999</v>
      </c>
      <c r="H483" s="5">
        <f>1160 / 86400</f>
        <v>1.3425925925925926E-2</v>
      </c>
      <c r="I483" t="s">
        <v>52</v>
      </c>
      <c r="J483" t="s">
        <v>38</v>
      </c>
      <c r="K483" s="5">
        <f>6048 / 86400</f>
        <v>7.0000000000000007E-2</v>
      </c>
      <c r="L483" s="5">
        <f>1971 / 86400</f>
        <v>2.2812499999999999E-2</v>
      </c>
    </row>
    <row r="484" spans="1:12" x14ac:dyDescent="0.25">
      <c r="A484" s="3">
        <v>45713.408518518518</v>
      </c>
      <c r="B484" t="s">
        <v>137</v>
      </c>
      <c r="C484" s="3">
        <v>45713.40896990741</v>
      </c>
      <c r="D484" t="s">
        <v>133</v>
      </c>
      <c r="E484" s="4">
        <v>7.0999999999999994E-2</v>
      </c>
      <c r="F484" s="4">
        <v>527296.81099999999</v>
      </c>
      <c r="G484" s="4">
        <v>527296.88199999998</v>
      </c>
      <c r="H484" s="5">
        <f>0 / 86400</f>
        <v>0</v>
      </c>
      <c r="I484" t="s">
        <v>158</v>
      </c>
      <c r="J484" t="s">
        <v>34</v>
      </c>
      <c r="K484" s="5">
        <f>39 / 86400</f>
        <v>4.5138888888888887E-4</v>
      </c>
      <c r="L484" s="5">
        <f>309 / 86400</f>
        <v>3.5763888888888889E-3</v>
      </c>
    </row>
    <row r="485" spans="1:12" x14ac:dyDescent="0.25">
      <c r="A485" s="3">
        <v>45713.412546296298</v>
      </c>
      <c r="B485" t="s">
        <v>133</v>
      </c>
      <c r="C485" s="3">
        <v>45713.547037037039</v>
      </c>
      <c r="D485" t="s">
        <v>322</v>
      </c>
      <c r="E485" s="4">
        <v>50.363</v>
      </c>
      <c r="F485" s="4">
        <v>527296.88199999998</v>
      </c>
      <c r="G485" s="4">
        <v>527347.245</v>
      </c>
      <c r="H485" s="5">
        <f>4102 / 86400</f>
        <v>4.7476851851851853E-2</v>
      </c>
      <c r="I485" t="s">
        <v>28</v>
      </c>
      <c r="J485" t="s">
        <v>32</v>
      </c>
      <c r="K485" s="5">
        <f>11620 / 86400</f>
        <v>0.13449074074074074</v>
      </c>
      <c r="L485" s="5">
        <f>946 / 86400</f>
        <v>1.0949074074074075E-2</v>
      </c>
    </row>
    <row r="486" spans="1:12" x14ac:dyDescent="0.25">
      <c r="A486" s="3">
        <v>45713.557986111111</v>
      </c>
      <c r="B486" t="s">
        <v>322</v>
      </c>
      <c r="C486" s="3">
        <v>45713.564560185187</v>
      </c>
      <c r="D486" t="s">
        <v>323</v>
      </c>
      <c r="E486" s="4">
        <v>0.11400000005960464</v>
      </c>
      <c r="F486" s="4">
        <v>527347.245</v>
      </c>
      <c r="G486" s="4">
        <v>527347.35900000005</v>
      </c>
      <c r="H486" s="5">
        <f>459 / 86400</f>
        <v>5.3125000000000004E-3</v>
      </c>
      <c r="I486" t="s">
        <v>146</v>
      </c>
      <c r="J486" t="s">
        <v>144</v>
      </c>
      <c r="K486" s="5">
        <f>567 / 86400</f>
        <v>6.5624999999999998E-3</v>
      </c>
      <c r="L486" s="5">
        <f>162 / 86400</f>
        <v>1.8749999999999999E-3</v>
      </c>
    </row>
    <row r="487" spans="1:12" x14ac:dyDescent="0.25">
      <c r="A487" s="3">
        <v>45713.566435185188</v>
      </c>
      <c r="B487" t="s">
        <v>323</v>
      </c>
      <c r="C487" s="3">
        <v>45713.647812499999</v>
      </c>
      <c r="D487" t="s">
        <v>324</v>
      </c>
      <c r="E487" s="4">
        <v>15.17699999988079</v>
      </c>
      <c r="F487" s="4">
        <v>527347.35900000005</v>
      </c>
      <c r="G487" s="4">
        <v>527362.53599999996</v>
      </c>
      <c r="H487" s="5">
        <f>3759 / 86400</f>
        <v>4.3506944444444445E-2</v>
      </c>
      <c r="I487" t="s">
        <v>211</v>
      </c>
      <c r="J487" t="s">
        <v>97</v>
      </c>
      <c r="K487" s="5">
        <f>7031 / 86400</f>
        <v>8.1377314814814819E-2</v>
      </c>
      <c r="L487" s="5">
        <f>1099 / 86400</f>
        <v>1.2719907407407407E-2</v>
      </c>
    </row>
    <row r="488" spans="1:12" x14ac:dyDescent="0.25">
      <c r="A488" s="3">
        <v>45713.660532407404</v>
      </c>
      <c r="B488" t="s">
        <v>324</v>
      </c>
      <c r="C488" s="3">
        <v>45713.87295138889</v>
      </c>
      <c r="D488" t="s">
        <v>67</v>
      </c>
      <c r="E488" s="4">
        <v>49.939000000059607</v>
      </c>
      <c r="F488" s="4">
        <v>527362.53599999996</v>
      </c>
      <c r="G488" s="4">
        <v>527412.47499999998</v>
      </c>
      <c r="H488" s="5">
        <f>8520 / 86400</f>
        <v>9.8611111111111108E-2</v>
      </c>
      <c r="I488" t="s">
        <v>325</v>
      </c>
      <c r="J488" t="s">
        <v>134</v>
      </c>
      <c r="K488" s="5">
        <f>18353 / 86400</f>
        <v>0.21241898148148147</v>
      </c>
      <c r="L488" s="5">
        <f>964 / 86400</f>
        <v>1.1157407407407408E-2</v>
      </c>
    </row>
    <row r="489" spans="1:12" x14ac:dyDescent="0.25">
      <c r="A489" s="3">
        <v>45713.884108796294</v>
      </c>
      <c r="B489" t="s">
        <v>67</v>
      </c>
      <c r="C489" s="3">
        <v>45713.898321759261</v>
      </c>
      <c r="D489" t="s">
        <v>326</v>
      </c>
      <c r="E489" s="4">
        <v>5.8209999999999997</v>
      </c>
      <c r="F489" s="4">
        <v>527412.47499999998</v>
      </c>
      <c r="G489" s="4">
        <v>527418.29599999997</v>
      </c>
      <c r="H489" s="5">
        <f>139 / 86400</f>
        <v>1.6087962962962963E-3</v>
      </c>
      <c r="I489" t="s">
        <v>327</v>
      </c>
      <c r="J489" t="s">
        <v>20</v>
      </c>
      <c r="K489" s="5">
        <f>1227 / 86400</f>
        <v>1.4201388888888888E-2</v>
      </c>
      <c r="L489" s="5">
        <f>137 / 86400</f>
        <v>1.5856481481481481E-3</v>
      </c>
    </row>
    <row r="490" spans="1:12" x14ac:dyDescent="0.25">
      <c r="A490" s="3">
        <v>45713.899907407409</v>
      </c>
      <c r="B490" t="s">
        <v>326</v>
      </c>
      <c r="C490" s="3">
        <v>45713.900590277779</v>
      </c>
      <c r="D490" t="s">
        <v>326</v>
      </c>
      <c r="E490" s="4">
        <v>0.182</v>
      </c>
      <c r="F490" s="4">
        <v>527418.29599999997</v>
      </c>
      <c r="G490" s="4">
        <v>527418.478</v>
      </c>
      <c r="H490" s="5">
        <f>0 / 86400</f>
        <v>0</v>
      </c>
      <c r="I490" t="s">
        <v>32</v>
      </c>
      <c r="J490" t="s">
        <v>53</v>
      </c>
      <c r="K490" s="5">
        <f>58 / 86400</f>
        <v>6.7129629629629625E-4</v>
      </c>
      <c r="L490" s="5">
        <f>363 / 86400</f>
        <v>4.2013888888888891E-3</v>
      </c>
    </row>
    <row r="491" spans="1:12" x14ac:dyDescent="0.25">
      <c r="A491" s="3">
        <v>45713.904791666668</v>
      </c>
      <c r="B491" t="s">
        <v>326</v>
      </c>
      <c r="C491" s="3">
        <v>45713.909097222218</v>
      </c>
      <c r="D491" t="s">
        <v>328</v>
      </c>
      <c r="E491" s="4">
        <v>0.95099999999999996</v>
      </c>
      <c r="F491" s="4">
        <v>527418.478</v>
      </c>
      <c r="G491" s="4">
        <v>527419.429</v>
      </c>
      <c r="H491" s="5">
        <f>100 / 86400</f>
        <v>1.1574074074074073E-3</v>
      </c>
      <c r="I491" t="s">
        <v>228</v>
      </c>
      <c r="J491" t="s">
        <v>64</v>
      </c>
      <c r="K491" s="5">
        <f>372 / 86400</f>
        <v>4.3055555555555555E-3</v>
      </c>
      <c r="L491" s="5">
        <f>516 / 86400</f>
        <v>5.9722222222222225E-3</v>
      </c>
    </row>
    <row r="492" spans="1:12" x14ac:dyDescent="0.25">
      <c r="A492" s="3">
        <v>45713.91506944444</v>
      </c>
      <c r="B492" t="s">
        <v>328</v>
      </c>
      <c r="C492" s="3">
        <v>45713.918854166666</v>
      </c>
      <c r="D492" t="s">
        <v>55</v>
      </c>
      <c r="E492" s="4">
        <v>0.91799999994039538</v>
      </c>
      <c r="F492" s="4">
        <v>527419.429</v>
      </c>
      <c r="G492" s="4">
        <v>527420.34699999995</v>
      </c>
      <c r="H492" s="5">
        <f>60 / 86400</f>
        <v>6.9444444444444447E-4</v>
      </c>
      <c r="I492" t="s">
        <v>150</v>
      </c>
      <c r="J492" t="s">
        <v>134</v>
      </c>
      <c r="K492" s="5">
        <f>327 / 86400</f>
        <v>3.7847222222222223E-3</v>
      </c>
      <c r="L492" s="5">
        <f>7010 / 86400</f>
        <v>8.1134259259259253E-2</v>
      </c>
    </row>
    <row r="493" spans="1:12" x14ac:dyDescent="0.25">
      <c r="A493" s="12"/>
      <c r="B493" s="12"/>
      <c r="C493" s="12"/>
      <c r="D493" s="12"/>
      <c r="E493" s="12"/>
      <c r="F493" s="12"/>
      <c r="G493" s="12"/>
      <c r="H493" s="12"/>
      <c r="I493" s="12"/>
      <c r="J493" s="12"/>
    </row>
    <row r="494" spans="1:12" x14ac:dyDescent="0.25">
      <c r="A494" s="12"/>
      <c r="B494" s="12"/>
      <c r="C494" s="12"/>
      <c r="D494" s="12"/>
      <c r="E494" s="12"/>
      <c r="F494" s="12"/>
      <c r="G494" s="12"/>
      <c r="H494" s="12"/>
      <c r="I494" s="12"/>
      <c r="J494" s="12"/>
    </row>
    <row r="495" spans="1:12" s="10" customFormat="1" ht="20.100000000000001" customHeight="1" x14ac:dyDescent="0.35">
      <c r="A495" s="15" t="s">
        <v>406</v>
      </c>
      <c r="B495" s="15"/>
      <c r="C495" s="15"/>
      <c r="D495" s="15"/>
      <c r="E495" s="15"/>
      <c r="F495" s="15"/>
      <c r="G495" s="15"/>
      <c r="H495" s="15"/>
      <c r="I495" s="15"/>
      <c r="J495" s="15"/>
    </row>
    <row r="496" spans="1:12" x14ac:dyDescent="0.25">
      <c r="A496" s="12"/>
      <c r="B496" s="12"/>
      <c r="C496" s="12"/>
      <c r="D496" s="12"/>
      <c r="E496" s="12"/>
      <c r="F496" s="12"/>
      <c r="G496" s="12"/>
      <c r="H496" s="12"/>
      <c r="I496" s="12"/>
      <c r="J496" s="12"/>
    </row>
    <row r="497" spans="1:12" ht="30" x14ac:dyDescent="0.25">
      <c r="A497" s="2" t="s">
        <v>6</v>
      </c>
      <c r="B497" s="2" t="s">
        <v>7</v>
      </c>
      <c r="C497" s="2" t="s">
        <v>8</v>
      </c>
      <c r="D497" s="2" t="s">
        <v>9</v>
      </c>
      <c r="E497" s="2" t="s">
        <v>10</v>
      </c>
      <c r="F497" s="2" t="s">
        <v>11</v>
      </c>
      <c r="G497" s="2" t="s">
        <v>12</v>
      </c>
      <c r="H497" s="2" t="s">
        <v>13</v>
      </c>
      <c r="I497" s="2" t="s">
        <v>14</v>
      </c>
      <c r="J497" s="2" t="s">
        <v>15</v>
      </c>
      <c r="K497" s="2" t="s">
        <v>16</v>
      </c>
      <c r="L497" s="2" t="s">
        <v>17</v>
      </c>
    </row>
    <row r="498" spans="1:12" x14ac:dyDescent="0.25">
      <c r="A498" s="3">
        <v>45713.21125</v>
      </c>
      <c r="B498" t="s">
        <v>56</v>
      </c>
      <c r="C498" s="3">
        <v>45713.223692129628</v>
      </c>
      <c r="D498" t="s">
        <v>99</v>
      </c>
      <c r="E498" s="4">
        <v>1.3660000000000001</v>
      </c>
      <c r="F498" s="4">
        <v>346644.90399999998</v>
      </c>
      <c r="G498" s="4">
        <v>346646.27</v>
      </c>
      <c r="H498" s="5">
        <f>799 / 86400</f>
        <v>9.2476851851851852E-3</v>
      </c>
      <c r="I498" t="s">
        <v>329</v>
      </c>
      <c r="J498" t="s">
        <v>146</v>
      </c>
      <c r="K498" s="5">
        <f>1074 / 86400</f>
        <v>1.2430555555555556E-2</v>
      </c>
      <c r="L498" s="5">
        <f>18645 / 86400</f>
        <v>0.21579861111111112</v>
      </c>
    </row>
    <row r="499" spans="1:12" x14ac:dyDescent="0.25">
      <c r="A499" s="3">
        <v>45713.22824074074</v>
      </c>
      <c r="B499" t="s">
        <v>99</v>
      </c>
      <c r="C499" s="3">
        <v>45713.278668981482</v>
      </c>
      <c r="D499" t="s">
        <v>132</v>
      </c>
      <c r="E499" s="4">
        <v>29.904</v>
      </c>
      <c r="F499" s="4">
        <v>346646.27</v>
      </c>
      <c r="G499" s="4">
        <v>346676.174</v>
      </c>
      <c r="H499" s="5">
        <f>1099 / 86400</f>
        <v>1.2719907407407407E-2</v>
      </c>
      <c r="I499" t="s">
        <v>93</v>
      </c>
      <c r="J499" t="s">
        <v>190</v>
      </c>
      <c r="K499" s="5">
        <f>4356 / 86400</f>
        <v>5.0416666666666665E-2</v>
      </c>
      <c r="L499" s="5">
        <f>964 / 86400</f>
        <v>1.1157407407407408E-2</v>
      </c>
    </row>
    <row r="500" spans="1:12" x14ac:dyDescent="0.25">
      <c r="A500" s="3">
        <v>45713.289826388893</v>
      </c>
      <c r="B500" t="s">
        <v>132</v>
      </c>
      <c r="C500" s="3">
        <v>45713.29315972222</v>
      </c>
      <c r="D500" t="s">
        <v>316</v>
      </c>
      <c r="E500" s="4">
        <v>1.097</v>
      </c>
      <c r="F500" s="4">
        <v>346676.174</v>
      </c>
      <c r="G500" s="4">
        <v>346677.27100000001</v>
      </c>
      <c r="H500" s="5">
        <f>40 / 86400</f>
        <v>4.6296296296296298E-4</v>
      </c>
      <c r="I500" t="s">
        <v>164</v>
      </c>
      <c r="J500" t="s">
        <v>29</v>
      </c>
      <c r="K500" s="5">
        <f>287 / 86400</f>
        <v>3.3217592592592591E-3</v>
      </c>
      <c r="L500" s="5">
        <f>668 / 86400</f>
        <v>7.7314814814814815E-3</v>
      </c>
    </row>
    <row r="501" spans="1:12" x14ac:dyDescent="0.25">
      <c r="A501" s="3">
        <v>45713.300891203704</v>
      </c>
      <c r="B501" t="s">
        <v>316</v>
      </c>
      <c r="C501" s="3">
        <v>45713.435300925921</v>
      </c>
      <c r="D501" t="s">
        <v>322</v>
      </c>
      <c r="E501" s="4">
        <v>49.731000000000002</v>
      </c>
      <c r="F501" s="4">
        <v>346677.27100000001</v>
      </c>
      <c r="G501" s="4">
        <v>346727.00199999998</v>
      </c>
      <c r="H501" s="5">
        <f>4877 / 86400</f>
        <v>5.6446759259259259E-2</v>
      </c>
      <c r="I501" t="s">
        <v>37</v>
      </c>
      <c r="J501" t="s">
        <v>76</v>
      </c>
      <c r="K501" s="5">
        <f>11613 / 86400</f>
        <v>0.13440972222222222</v>
      </c>
      <c r="L501" s="5">
        <f>450 / 86400</f>
        <v>5.208333333333333E-3</v>
      </c>
    </row>
    <row r="502" spans="1:12" x14ac:dyDescent="0.25">
      <c r="A502" s="3">
        <v>45713.440509259264</v>
      </c>
      <c r="B502" t="s">
        <v>322</v>
      </c>
      <c r="C502" s="3">
        <v>45713.587222222224</v>
      </c>
      <c r="D502" t="s">
        <v>82</v>
      </c>
      <c r="E502" s="4">
        <v>49.814</v>
      </c>
      <c r="F502" s="4">
        <v>346727.00199999998</v>
      </c>
      <c r="G502" s="4">
        <v>346776.81599999999</v>
      </c>
      <c r="H502" s="5">
        <f>4859 / 86400</f>
        <v>5.6238425925925928E-2</v>
      </c>
      <c r="I502" t="s">
        <v>52</v>
      </c>
      <c r="J502" t="s">
        <v>29</v>
      </c>
      <c r="K502" s="5">
        <f>12675 / 86400</f>
        <v>0.1467013888888889</v>
      </c>
      <c r="L502" s="5">
        <f>185 / 86400</f>
        <v>2.1412037037037038E-3</v>
      </c>
    </row>
    <row r="503" spans="1:12" x14ac:dyDescent="0.25">
      <c r="A503" s="3">
        <v>45713.589363425926</v>
      </c>
      <c r="B503" t="s">
        <v>82</v>
      </c>
      <c r="C503" s="3">
        <v>45713.59101851852</v>
      </c>
      <c r="D503" t="s">
        <v>316</v>
      </c>
      <c r="E503" s="4">
        <v>4.5999999999999999E-2</v>
      </c>
      <c r="F503" s="4">
        <v>346776.81599999999</v>
      </c>
      <c r="G503" s="4">
        <v>346776.86200000002</v>
      </c>
      <c r="H503" s="5">
        <f>99 / 86400</f>
        <v>1.1458333333333333E-3</v>
      </c>
      <c r="I503" t="s">
        <v>97</v>
      </c>
      <c r="J503" t="s">
        <v>144</v>
      </c>
      <c r="K503" s="5">
        <f>142 / 86400</f>
        <v>1.6435185185185185E-3</v>
      </c>
      <c r="L503" s="5">
        <f>1828 / 86400</f>
        <v>2.1157407407407406E-2</v>
      </c>
    </row>
    <row r="504" spans="1:12" x14ac:dyDescent="0.25">
      <c r="A504" s="3">
        <v>45713.612175925926</v>
      </c>
      <c r="B504" t="s">
        <v>316</v>
      </c>
      <c r="C504" s="3">
        <v>45713.61309027778</v>
      </c>
      <c r="D504" t="s">
        <v>316</v>
      </c>
      <c r="E504" s="4">
        <v>0</v>
      </c>
      <c r="F504" s="4">
        <v>346776.86200000002</v>
      </c>
      <c r="G504" s="4">
        <v>346776.86200000002</v>
      </c>
      <c r="H504" s="5">
        <f>59 / 86400</f>
        <v>6.8287037037037036E-4</v>
      </c>
      <c r="I504" t="s">
        <v>22</v>
      </c>
      <c r="J504" t="s">
        <v>22</v>
      </c>
      <c r="K504" s="5">
        <f>78 / 86400</f>
        <v>9.0277777777777774E-4</v>
      </c>
      <c r="L504" s="5">
        <f>161 / 86400</f>
        <v>1.8634259259259259E-3</v>
      </c>
    </row>
    <row r="505" spans="1:12" x14ac:dyDescent="0.25">
      <c r="A505" s="3">
        <v>45713.614953703705</v>
      </c>
      <c r="B505" t="s">
        <v>316</v>
      </c>
      <c r="C505" s="3">
        <v>45713.618391203709</v>
      </c>
      <c r="D505" t="s">
        <v>115</v>
      </c>
      <c r="E505" s="4">
        <v>0.184</v>
      </c>
      <c r="F505" s="4">
        <v>346776.86200000002</v>
      </c>
      <c r="G505" s="4">
        <v>346777.04599999997</v>
      </c>
      <c r="H505" s="5">
        <f>179 / 86400</f>
        <v>2.0717592592592593E-3</v>
      </c>
      <c r="I505" t="s">
        <v>158</v>
      </c>
      <c r="J505" t="s">
        <v>147</v>
      </c>
      <c r="K505" s="5">
        <f>296 / 86400</f>
        <v>3.425925925925926E-3</v>
      </c>
      <c r="L505" s="5">
        <f>4315 / 86400</f>
        <v>4.9942129629629628E-2</v>
      </c>
    </row>
    <row r="506" spans="1:12" x14ac:dyDescent="0.25">
      <c r="A506" s="3">
        <v>45713.668333333335</v>
      </c>
      <c r="B506" t="s">
        <v>115</v>
      </c>
      <c r="C506" s="3">
        <v>45713.866273148145</v>
      </c>
      <c r="D506" t="s">
        <v>82</v>
      </c>
      <c r="E506" s="4">
        <v>80.212999999999994</v>
      </c>
      <c r="F506" s="4">
        <v>346777.04599999997</v>
      </c>
      <c r="G506" s="4">
        <v>346857.25900000002</v>
      </c>
      <c r="H506" s="5">
        <f>6078 / 86400</f>
        <v>7.0347222222222228E-2</v>
      </c>
      <c r="I506" t="s">
        <v>58</v>
      </c>
      <c r="J506" t="s">
        <v>20</v>
      </c>
      <c r="K506" s="5">
        <f>17101 / 86400</f>
        <v>0.19792824074074075</v>
      </c>
      <c r="L506" s="5">
        <f>295 / 86400</f>
        <v>3.414351851851852E-3</v>
      </c>
    </row>
    <row r="507" spans="1:12" x14ac:dyDescent="0.25">
      <c r="A507" s="3">
        <v>45713.869687500002</v>
      </c>
      <c r="B507" t="s">
        <v>82</v>
      </c>
      <c r="C507" s="3">
        <v>45713.871747685189</v>
      </c>
      <c r="D507" t="s">
        <v>115</v>
      </c>
      <c r="E507" s="4">
        <v>0.22600000000000001</v>
      </c>
      <c r="F507" s="4">
        <v>346857.25900000002</v>
      </c>
      <c r="G507" s="4">
        <v>346857.48499999999</v>
      </c>
      <c r="H507" s="5">
        <f>120 / 86400</f>
        <v>1.3888888888888889E-3</v>
      </c>
      <c r="I507" t="s">
        <v>26</v>
      </c>
      <c r="J507" t="s">
        <v>146</v>
      </c>
      <c r="K507" s="5">
        <f>178 / 86400</f>
        <v>2.0601851851851853E-3</v>
      </c>
      <c r="L507" s="5">
        <f>481 / 86400</f>
        <v>5.5671296296296293E-3</v>
      </c>
    </row>
    <row r="508" spans="1:12" x14ac:dyDescent="0.25">
      <c r="A508" s="3">
        <v>45713.877314814818</v>
      </c>
      <c r="B508" t="s">
        <v>115</v>
      </c>
      <c r="C508" s="3">
        <v>45713.881979166668</v>
      </c>
      <c r="D508" t="s">
        <v>57</v>
      </c>
      <c r="E508" s="4">
        <v>0.87</v>
      </c>
      <c r="F508" s="4">
        <v>346857.48499999999</v>
      </c>
      <c r="G508" s="4">
        <v>346858.35499999998</v>
      </c>
      <c r="H508" s="5">
        <f>140 / 86400</f>
        <v>1.6203703703703703E-3</v>
      </c>
      <c r="I508" t="s">
        <v>105</v>
      </c>
      <c r="J508" t="s">
        <v>97</v>
      </c>
      <c r="K508" s="5">
        <f>403 / 86400</f>
        <v>4.6643518518518518E-3</v>
      </c>
      <c r="L508" s="5">
        <f>10196 / 86400</f>
        <v>0.11800925925925926</v>
      </c>
    </row>
    <row r="509" spans="1:12" x14ac:dyDescent="0.25">
      <c r="A509" s="12"/>
      <c r="B509" s="12"/>
      <c r="C509" s="12"/>
      <c r="D509" s="12"/>
      <c r="E509" s="12"/>
      <c r="F509" s="12"/>
      <c r="G509" s="12"/>
      <c r="H509" s="12"/>
      <c r="I509" s="12"/>
      <c r="J509" s="12"/>
    </row>
    <row r="510" spans="1:12" x14ac:dyDescent="0.25">
      <c r="A510" s="12"/>
      <c r="B510" s="12"/>
      <c r="C510" s="12"/>
      <c r="D510" s="12"/>
      <c r="E510" s="12"/>
      <c r="F510" s="12"/>
      <c r="G510" s="12"/>
      <c r="H510" s="12"/>
      <c r="I510" s="12"/>
      <c r="J510" s="12"/>
    </row>
    <row r="511" spans="1:12" s="10" customFormat="1" ht="20.100000000000001" customHeight="1" x14ac:dyDescent="0.35">
      <c r="A511" s="15" t="s">
        <v>407</v>
      </c>
      <c r="B511" s="15"/>
      <c r="C511" s="15"/>
      <c r="D511" s="15"/>
      <c r="E511" s="15"/>
      <c r="F511" s="15"/>
      <c r="G511" s="15"/>
      <c r="H511" s="15"/>
      <c r="I511" s="15"/>
      <c r="J511" s="15"/>
    </row>
    <row r="512" spans="1:12" x14ac:dyDescent="0.25">
      <c r="A512" s="12"/>
      <c r="B512" s="12"/>
      <c r="C512" s="12"/>
      <c r="D512" s="12"/>
      <c r="E512" s="12"/>
      <c r="F512" s="12"/>
      <c r="G512" s="12"/>
      <c r="H512" s="12"/>
      <c r="I512" s="12"/>
      <c r="J512" s="12"/>
    </row>
    <row r="513" spans="1:12" ht="30" x14ac:dyDescent="0.25">
      <c r="A513" s="2" t="s">
        <v>6</v>
      </c>
      <c r="B513" s="2" t="s">
        <v>7</v>
      </c>
      <c r="C513" s="2" t="s">
        <v>8</v>
      </c>
      <c r="D513" s="2" t="s">
        <v>9</v>
      </c>
      <c r="E513" s="2" t="s">
        <v>10</v>
      </c>
      <c r="F513" s="2" t="s">
        <v>11</v>
      </c>
      <c r="G513" s="2" t="s">
        <v>12</v>
      </c>
      <c r="H513" s="2" t="s">
        <v>13</v>
      </c>
      <c r="I513" s="2" t="s">
        <v>14</v>
      </c>
      <c r="J513" s="2" t="s">
        <v>15</v>
      </c>
      <c r="K513" s="2" t="s">
        <v>16</v>
      </c>
      <c r="L513" s="2" t="s">
        <v>17</v>
      </c>
    </row>
    <row r="514" spans="1:12" x14ac:dyDescent="0.25">
      <c r="A514" s="3">
        <v>45713.197187500002</v>
      </c>
      <c r="B514" t="s">
        <v>59</v>
      </c>
      <c r="C514" s="3">
        <v>45713.19939814815</v>
      </c>
      <c r="D514" t="s">
        <v>59</v>
      </c>
      <c r="E514" s="4">
        <v>1.7999999999999999E-2</v>
      </c>
      <c r="F514" s="4">
        <v>427334.84</v>
      </c>
      <c r="G514" s="4">
        <v>427334.85800000001</v>
      </c>
      <c r="H514" s="5">
        <f>159 / 86400</f>
        <v>1.8402777777777777E-3</v>
      </c>
      <c r="I514" t="s">
        <v>147</v>
      </c>
      <c r="J514" t="s">
        <v>22</v>
      </c>
      <c r="K514" s="5">
        <f>191 / 86400</f>
        <v>2.2106481481481482E-3</v>
      </c>
      <c r="L514" s="5">
        <f>17240 / 86400</f>
        <v>0.19953703703703704</v>
      </c>
    </row>
    <row r="515" spans="1:12" x14ac:dyDescent="0.25">
      <c r="A515" s="3">
        <v>45713.201747685191</v>
      </c>
      <c r="B515" t="s">
        <v>59</v>
      </c>
      <c r="C515" s="3">
        <v>45713.202627314815</v>
      </c>
      <c r="D515" t="s">
        <v>59</v>
      </c>
      <c r="E515" s="4">
        <v>2.1000000000000001E-2</v>
      </c>
      <c r="F515" s="4">
        <v>427334.85800000001</v>
      </c>
      <c r="G515" s="4">
        <v>427334.87900000002</v>
      </c>
      <c r="H515" s="5">
        <f>59 / 86400</f>
        <v>6.8287037037037036E-4</v>
      </c>
      <c r="I515" t="s">
        <v>22</v>
      </c>
      <c r="J515" t="s">
        <v>144</v>
      </c>
      <c r="K515" s="5">
        <f>76 / 86400</f>
        <v>8.7962962962962962E-4</v>
      </c>
      <c r="L515" s="5">
        <f>3786 / 86400</f>
        <v>4.3819444444444446E-2</v>
      </c>
    </row>
    <row r="516" spans="1:12" x14ac:dyDescent="0.25">
      <c r="A516" s="3">
        <v>45713.246446759258</v>
      </c>
      <c r="B516" t="s">
        <v>59</v>
      </c>
      <c r="C516" s="3">
        <v>45713.249097222222</v>
      </c>
      <c r="D516" t="s">
        <v>135</v>
      </c>
      <c r="E516" s="4">
        <v>0.34699999999999998</v>
      </c>
      <c r="F516" s="4">
        <v>427334.87900000002</v>
      </c>
      <c r="G516" s="4">
        <v>427335.22600000002</v>
      </c>
      <c r="H516" s="5">
        <f>120 / 86400</f>
        <v>1.3888888888888889E-3</v>
      </c>
      <c r="I516" t="s">
        <v>32</v>
      </c>
      <c r="J516" t="s">
        <v>146</v>
      </c>
      <c r="K516" s="5">
        <f>229 / 86400</f>
        <v>2.650462962962963E-3</v>
      </c>
      <c r="L516" s="5">
        <f>206 / 86400</f>
        <v>2.3842592592592591E-3</v>
      </c>
    </row>
    <row r="517" spans="1:12" x14ac:dyDescent="0.25">
      <c r="A517" s="3">
        <v>45713.251481481479</v>
      </c>
      <c r="B517" t="s">
        <v>135</v>
      </c>
      <c r="C517" s="3">
        <v>45713.334166666667</v>
      </c>
      <c r="D517" t="s">
        <v>165</v>
      </c>
      <c r="E517" s="4">
        <v>45.701999999999998</v>
      </c>
      <c r="F517" s="4">
        <v>427335.22600000002</v>
      </c>
      <c r="G517" s="4">
        <v>427380.92800000001</v>
      </c>
      <c r="H517" s="5">
        <f>1380 / 86400</f>
        <v>1.5972222222222221E-2</v>
      </c>
      <c r="I517" t="s">
        <v>117</v>
      </c>
      <c r="J517" t="s">
        <v>38</v>
      </c>
      <c r="K517" s="5">
        <f>7144 / 86400</f>
        <v>8.2685185185185181E-2</v>
      </c>
      <c r="L517" s="5">
        <f>1889 / 86400</f>
        <v>2.1863425925925925E-2</v>
      </c>
    </row>
    <row r="518" spans="1:12" x14ac:dyDescent="0.25">
      <c r="A518" s="3">
        <v>45713.356030092589</v>
      </c>
      <c r="B518" t="s">
        <v>165</v>
      </c>
      <c r="C518" s="3">
        <v>45713.358622685184</v>
      </c>
      <c r="D518" t="s">
        <v>132</v>
      </c>
      <c r="E518" s="4">
        <v>0.45400000000000001</v>
      </c>
      <c r="F518" s="4">
        <v>427380.92800000001</v>
      </c>
      <c r="G518" s="4">
        <v>427381.38199999998</v>
      </c>
      <c r="H518" s="5">
        <f>65 / 86400</f>
        <v>7.5231481481481482E-4</v>
      </c>
      <c r="I518" t="s">
        <v>119</v>
      </c>
      <c r="J518" t="s">
        <v>34</v>
      </c>
      <c r="K518" s="5">
        <f>224 / 86400</f>
        <v>2.5925925925925925E-3</v>
      </c>
      <c r="L518" s="5">
        <f>1948 / 86400</f>
        <v>2.2546296296296297E-2</v>
      </c>
    </row>
    <row r="519" spans="1:12" x14ac:dyDescent="0.25">
      <c r="A519" s="3">
        <v>45713.381168981483</v>
      </c>
      <c r="B519" t="s">
        <v>132</v>
      </c>
      <c r="C519" s="3">
        <v>45713.518171296295</v>
      </c>
      <c r="D519" t="s">
        <v>249</v>
      </c>
      <c r="E519" s="4">
        <v>47.951000000000001</v>
      </c>
      <c r="F519" s="4">
        <v>427381.38199999998</v>
      </c>
      <c r="G519" s="4">
        <v>427429.33299999998</v>
      </c>
      <c r="H519" s="5">
        <f>4660 / 86400</f>
        <v>5.3935185185185183E-2</v>
      </c>
      <c r="I519" t="s">
        <v>60</v>
      </c>
      <c r="J519" t="s">
        <v>76</v>
      </c>
      <c r="K519" s="5">
        <f>11837 / 86400</f>
        <v>0.13700231481481481</v>
      </c>
      <c r="L519" s="5">
        <f>145 / 86400</f>
        <v>1.6782407407407408E-3</v>
      </c>
    </row>
    <row r="520" spans="1:12" x14ac:dyDescent="0.25">
      <c r="A520" s="3">
        <v>45713.519849537042</v>
      </c>
      <c r="B520" t="s">
        <v>250</v>
      </c>
      <c r="C520" s="3">
        <v>45713.644733796296</v>
      </c>
      <c r="D520" t="s">
        <v>311</v>
      </c>
      <c r="E520" s="4">
        <v>48.009</v>
      </c>
      <c r="F520" s="4">
        <v>427429.33299999998</v>
      </c>
      <c r="G520" s="4">
        <v>427477.342</v>
      </c>
      <c r="H520" s="5">
        <f>3620 / 86400</f>
        <v>4.189814814814815E-2</v>
      </c>
      <c r="I520" t="s">
        <v>296</v>
      </c>
      <c r="J520" t="s">
        <v>32</v>
      </c>
      <c r="K520" s="5">
        <f>10789 / 86400</f>
        <v>0.12487268518518518</v>
      </c>
      <c r="L520" s="5">
        <f>2466 / 86400</f>
        <v>2.8541666666666667E-2</v>
      </c>
    </row>
    <row r="521" spans="1:12" x14ac:dyDescent="0.25">
      <c r="A521" s="3">
        <v>45713.673275462963</v>
      </c>
      <c r="B521" t="s">
        <v>311</v>
      </c>
      <c r="C521" s="3">
        <v>45713.674571759257</v>
      </c>
      <c r="D521" t="s">
        <v>126</v>
      </c>
      <c r="E521" s="4">
        <v>0.13200000000000001</v>
      </c>
      <c r="F521" s="4">
        <v>427477.342</v>
      </c>
      <c r="G521" s="4">
        <v>427477.47399999999</v>
      </c>
      <c r="H521" s="5">
        <f>39 / 86400</f>
        <v>4.5138888888888887E-4</v>
      </c>
      <c r="I521" t="s">
        <v>76</v>
      </c>
      <c r="J521" t="s">
        <v>141</v>
      </c>
      <c r="K521" s="5">
        <f>112 / 86400</f>
        <v>1.2962962962962963E-3</v>
      </c>
      <c r="L521" s="5">
        <f>624 / 86400</f>
        <v>7.2222222222222219E-3</v>
      </c>
    </row>
    <row r="522" spans="1:12" x14ac:dyDescent="0.25">
      <c r="A522" s="3">
        <v>45713.681793981479</v>
      </c>
      <c r="B522" t="s">
        <v>126</v>
      </c>
      <c r="C522" s="3">
        <v>45713.685347222221</v>
      </c>
      <c r="D522" t="s">
        <v>82</v>
      </c>
      <c r="E522" s="4">
        <v>0.93400000000000005</v>
      </c>
      <c r="F522" s="4">
        <v>427477.47399999999</v>
      </c>
      <c r="G522" s="4">
        <v>427478.408</v>
      </c>
      <c r="H522" s="5">
        <f>40 / 86400</f>
        <v>4.6296296296296298E-4</v>
      </c>
      <c r="I522" t="s">
        <v>150</v>
      </c>
      <c r="J522" t="s">
        <v>53</v>
      </c>
      <c r="K522" s="5">
        <f>307 / 86400</f>
        <v>3.5532407407407409E-3</v>
      </c>
      <c r="L522" s="5">
        <f>346 / 86400</f>
        <v>4.0046296296296297E-3</v>
      </c>
    </row>
    <row r="523" spans="1:12" x14ac:dyDescent="0.25">
      <c r="A523" s="3">
        <v>45713.689351851848</v>
      </c>
      <c r="B523" t="s">
        <v>82</v>
      </c>
      <c r="C523" s="3">
        <v>45713.689837962964</v>
      </c>
      <c r="D523" t="s">
        <v>82</v>
      </c>
      <c r="E523" s="4">
        <v>2.7E-2</v>
      </c>
      <c r="F523" s="4">
        <v>427478.408</v>
      </c>
      <c r="G523" s="4">
        <v>427478.435</v>
      </c>
      <c r="H523" s="5">
        <f>0 / 86400</f>
        <v>0</v>
      </c>
      <c r="I523" t="s">
        <v>145</v>
      </c>
      <c r="J523" t="s">
        <v>147</v>
      </c>
      <c r="K523" s="5">
        <f>42 / 86400</f>
        <v>4.861111111111111E-4</v>
      </c>
      <c r="L523" s="5">
        <f>340 / 86400</f>
        <v>3.9351851851851848E-3</v>
      </c>
    </row>
    <row r="524" spans="1:12" x14ac:dyDescent="0.25">
      <c r="A524" s="3">
        <v>45713.693773148145</v>
      </c>
      <c r="B524" t="s">
        <v>82</v>
      </c>
      <c r="C524" s="3">
        <v>45713.773969907408</v>
      </c>
      <c r="D524" t="s">
        <v>330</v>
      </c>
      <c r="E524" s="4">
        <v>36.491</v>
      </c>
      <c r="F524" s="4">
        <v>427478.435</v>
      </c>
      <c r="G524" s="4">
        <v>427514.92599999998</v>
      </c>
      <c r="H524" s="5">
        <f>1821 / 86400</f>
        <v>2.1076388888888888E-2</v>
      </c>
      <c r="I524" t="s">
        <v>331</v>
      </c>
      <c r="J524" t="s">
        <v>92</v>
      </c>
      <c r="K524" s="5">
        <f>6929 / 86400</f>
        <v>8.0196759259259259E-2</v>
      </c>
      <c r="L524" s="5">
        <f>315 / 86400</f>
        <v>3.6458333333333334E-3</v>
      </c>
    </row>
    <row r="525" spans="1:12" x14ac:dyDescent="0.25">
      <c r="A525" s="3">
        <v>45713.777615740742</v>
      </c>
      <c r="B525" t="s">
        <v>330</v>
      </c>
      <c r="C525" s="3">
        <v>45713.782407407409</v>
      </c>
      <c r="D525" t="s">
        <v>59</v>
      </c>
      <c r="E525" s="4">
        <v>0.40100000000000002</v>
      </c>
      <c r="F525" s="4">
        <v>427514.92599999998</v>
      </c>
      <c r="G525" s="4">
        <v>427515.32699999999</v>
      </c>
      <c r="H525" s="5">
        <f>180 / 86400</f>
        <v>2.0833333333333333E-3</v>
      </c>
      <c r="I525" t="s">
        <v>134</v>
      </c>
      <c r="J525" t="s">
        <v>106</v>
      </c>
      <c r="K525" s="5">
        <f>414 / 86400</f>
        <v>4.7916666666666663E-3</v>
      </c>
      <c r="L525" s="5">
        <f>4413 / 86400</f>
        <v>5.1076388888888886E-2</v>
      </c>
    </row>
    <row r="526" spans="1:12" x14ac:dyDescent="0.25">
      <c r="A526" s="3">
        <v>45713.833483796298</v>
      </c>
      <c r="B526" t="s">
        <v>59</v>
      </c>
      <c r="C526" s="3">
        <v>45713.83384259259</v>
      </c>
      <c r="D526" t="s">
        <v>59</v>
      </c>
      <c r="E526" s="4">
        <v>6.0000000000000001E-3</v>
      </c>
      <c r="F526" s="4">
        <v>427515.32699999999</v>
      </c>
      <c r="G526" s="4">
        <v>427515.33299999998</v>
      </c>
      <c r="H526" s="5">
        <f>0 / 86400</f>
        <v>0</v>
      </c>
      <c r="I526" t="s">
        <v>147</v>
      </c>
      <c r="J526" t="s">
        <v>144</v>
      </c>
      <c r="K526" s="5">
        <f>31 / 86400</f>
        <v>3.5879629629629629E-4</v>
      </c>
      <c r="L526" s="5">
        <f>86 / 86400</f>
        <v>9.9537037037037042E-4</v>
      </c>
    </row>
    <row r="527" spans="1:12" x14ac:dyDescent="0.25">
      <c r="A527" s="3">
        <v>45713.834837962961</v>
      </c>
      <c r="B527" t="s">
        <v>59</v>
      </c>
      <c r="C527" s="3">
        <v>45713.835682870369</v>
      </c>
      <c r="D527" t="s">
        <v>59</v>
      </c>
      <c r="E527" s="4">
        <v>5.0000000000000001E-3</v>
      </c>
      <c r="F527" s="4">
        <v>427515.33299999998</v>
      </c>
      <c r="G527" s="4">
        <v>427515.33799999999</v>
      </c>
      <c r="H527" s="5">
        <f>39 / 86400</f>
        <v>4.5138888888888887E-4</v>
      </c>
      <c r="I527" t="s">
        <v>144</v>
      </c>
      <c r="J527" t="s">
        <v>22</v>
      </c>
      <c r="K527" s="5">
        <f>73 / 86400</f>
        <v>8.4490740740740739E-4</v>
      </c>
      <c r="L527" s="5">
        <f>14196 / 86400</f>
        <v>0.16430555555555557</v>
      </c>
    </row>
    <row r="528" spans="1:12" x14ac:dyDescent="0.25">
      <c r="A528" s="12"/>
      <c r="B528" s="12"/>
      <c r="C528" s="12"/>
      <c r="D528" s="12"/>
      <c r="E528" s="12"/>
      <c r="F528" s="12"/>
      <c r="G528" s="12"/>
      <c r="H528" s="12"/>
      <c r="I528" s="12"/>
      <c r="J528" s="12"/>
    </row>
    <row r="529" spans="1:12" x14ac:dyDescent="0.25">
      <c r="A529" s="12"/>
      <c r="B529" s="12"/>
      <c r="C529" s="12"/>
      <c r="D529" s="12"/>
      <c r="E529" s="12"/>
      <c r="F529" s="12"/>
      <c r="G529" s="12"/>
      <c r="H529" s="12"/>
      <c r="I529" s="12"/>
      <c r="J529" s="12"/>
    </row>
    <row r="530" spans="1:12" s="10" customFormat="1" ht="20.100000000000001" customHeight="1" x14ac:dyDescent="0.35">
      <c r="A530" s="15" t="s">
        <v>408</v>
      </c>
      <c r="B530" s="15"/>
      <c r="C530" s="15"/>
      <c r="D530" s="15"/>
      <c r="E530" s="15"/>
      <c r="F530" s="15"/>
      <c r="G530" s="15"/>
      <c r="H530" s="15"/>
      <c r="I530" s="15"/>
      <c r="J530" s="15"/>
    </row>
    <row r="531" spans="1:12" x14ac:dyDescent="0.25">
      <c r="A531" s="12"/>
      <c r="B531" s="12"/>
      <c r="C531" s="12"/>
      <c r="D531" s="12"/>
      <c r="E531" s="12"/>
      <c r="F531" s="12"/>
      <c r="G531" s="12"/>
      <c r="H531" s="12"/>
      <c r="I531" s="12"/>
      <c r="J531" s="12"/>
    </row>
    <row r="532" spans="1:12" ht="30" x14ac:dyDescent="0.25">
      <c r="A532" s="2" t="s">
        <v>6</v>
      </c>
      <c r="B532" s="2" t="s">
        <v>7</v>
      </c>
      <c r="C532" s="2" t="s">
        <v>8</v>
      </c>
      <c r="D532" s="2" t="s">
        <v>9</v>
      </c>
      <c r="E532" s="2" t="s">
        <v>10</v>
      </c>
      <c r="F532" s="2" t="s">
        <v>11</v>
      </c>
      <c r="G532" s="2" t="s">
        <v>12</v>
      </c>
      <c r="H532" s="2" t="s">
        <v>13</v>
      </c>
      <c r="I532" s="2" t="s">
        <v>14</v>
      </c>
      <c r="J532" s="2" t="s">
        <v>15</v>
      </c>
      <c r="K532" s="2" t="s">
        <v>16</v>
      </c>
      <c r="L532" s="2" t="s">
        <v>17</v>
      </c>
    </row>
    <row r="533" spans="1:12" x14ac:dyDescent="0.25">
      <c r="A533" s="3">
        <v>45713.23337962963</v>
      </c>
      <c r="B533" t="s">
        <v>27</v>
      </c>
      <c r="C533" s="3">
        <v>45713.238796296297</v>
      </c>
      <c r="D533" t="s">
        <v>23</v>
      </c>
      <c r="E533" s="4">
        <v>0.34200000000000003</v>
      </c>
      <c r="F533" s="4">
        <v>14672.184999999999</v>
      </c>
      <c r="G533" s="4">
        <v>14672.527</v>
      </c>
      <c r="H533" s="5">
        <f>359 / 86400</f>
        <v>4.1550925925925922E-3</v>
      </c>
      <c r="I533" t="s">
        <v>45</v>
      </c>
      <c r="J533" t="s">
        <v>106</v>
      </c>
      <c r="K533" s="5">
        <f>468 / 86400</f>
        <v>5.4166666666666669E-3</v>
      </c>
      <c r="L533" s="5">
        <f>20586 / 86400</f>
        <v>0.23826388888888889</v>
      </c>
    </row>
    <row r="534" spans="1:12" x14ac:dyDescent="0.25">
      <c r="A534" s="3">
        <v>45713.243680555555</v>
      </c>
      <c r="B534" t="s">
        <v>23</v>
      </c>
      <c r="C534" s="3">
        <v>45713.321712962963</v>
      </c>
      <c r="D534" t="s">
        <v>322</v>
      </c>
      <c r="E534" s="4">
        <v>30.657</v>
      </c>
      <c r="F534" s="4">
        <v>14672.527</v>
      </c>
      <c r="G534" s="4">
        <v>14703.183999999999</v>
      </c>
      <c r="H534" s="5">
        <f>2099 / 86400</f>
        <v>2.4293981481481482E-2</v>
      </c>
      <c r="I534" t="s">
        <v>160</v>
      </c>
      <c r="J534" t="s">
        <v>32</v>
      </c>
      <c r="K534" s="5">
        <f>6742 / 86400</f>
        <v>7.8032407407407411E-2</v>
      </c>
      <c r="L534" s="5">
        <f>57 / 86400</f>
        <v>6.5972222222222224E-4</v>
      </c>
    </row>
    <row r="535" spans="1:12" x14ac:dyDescent="0.25">
      <c r="A535" s="3">
        <v>45713.322372685187</v>
      </c>
      <c r="B535" t="s">
        <v>332</v>
      </c>
      <c r="C535" s="3">
        <v>45713.433761574073</v>
      </c>
      <c r="D535" t="s">
        <v>82</v>
      </c>
      <c r="E535" s="4">
        <v>49.182000000000002</v>
      </c>
      <c r="F535" s="4">
        <v>14703.186</v>
      </c>
      <c r="G535" s="4">
        <v>14752.368</v>
      </c>
      <c r="H535" s="5">
        <f>2959 / 86400</f>
        <v>3.4247685185185187E-2</v>
      </c>
      <c r="I535" t="s">
        <v>94</v>
      </c>
      <c r="J535" t="s">
        <v>26</v>
      </c>
      <c r="K535" s="5">
        <f>9624 / 86400</f>
        <v>0.11138888888888888</v>
      </c>
      <c r="L535" s="5">
        <f>244 / 86400</f>
        <v>2.8240740740740739E-3</v>
      </c>
    </row>
    <row r="536" spans="1:12" x14ac:dyDescent="0.25">
      <c r="A536" s="3">
        <v>45713.436585648145</v>
      </c>
      <c r="B536" t="s">
        <v>82</v>
      </c>
      <c r="C536" s="3">
        <v>45713.438657407409</v>
      </c>
      <c r="D536" t="s">
        <v>333</v>
      </c>
      <c r="E536" s="4">
        <v>0.7</v>
      </c>
      <c r="F536" s="4">
        <v>14752.368</v>
      </c>
      <c r="G536" s="4">
        <v>14753.067999999999</v>
      </c>
      <c r="H536" s="5">
        <f>40 / 86400</f>
        <v>4.6296296296296298E-4</v>
      </c>
      <c r="I536" t="s">
        <v>216</v>
      </c>
      <c r="J536" t="s">
        <v>29</v>
      </c>
      <c r="K536" s="5">
        <f>178 / 86400</f>
        <v>2.0601851851851853E-3</v>
      </c>
      <c r="L536" s="5">
        <f>476 / 86400</f>
        <v>5.5092592592592589E-3</v>
      </c>
    </row>
    <row r="537" spans="1:12" x14ac:dyDescent="0.25">
      <c r="A537" s="3">
        <v>45713.444166666668</v>
      </c>
      <c r="B537" t="s">
        <v>333</v>
      </c>
      <c r="C537" s="3">
        <v>45713.444282407407</v>
      </c>
      <c r="D537" t="s">
        <v>333</v>
      </c>
      <c r="E537" s="4">
        <v>7.0000000000000001E-3</v>
      </c>
      <c r="F537" s="4">
        <v>14753.067999999999</v>
      </c>
      <c r="G537" s="4">
        <v>14753.075000000001</v>
      </c>
      <c r="H537" s="5">
        <f>0 / 86400</f>
        <v>0</v>
      </c>
      <c r="I537" t="s">
        <v>146</v>
      </c>
      <c r="J537" t="s">
        <v>106</v>
      </c>
      <c r="K537" s="5">
        <f>10 / 86400</f>
        <v>1.1574074074074075E-4</v>
      </c>
      <c r="L537" s="5">
        <f>1108 / 86400</f>
        <v>1.2824074074074075E-2</v>
      </c>
    </row>
    <row r="538" spans="1:12" x14ac:dyDescent="0.25">
      <c r="A538" s="3">
        <v>45713.457106481481</v>
      </c>
      <c r="B538" t="s">
        <v>333</v>
      </c>
      <c r="C538" s="3">
        <v>45713.462696759263</v>
      </c>
      <c r="D538" t="s">
        <v>132</v>
      </c>
      <c r="E538" s="4">
        <v>1</v>
      </c>
      <c r="F538" s="4">
        <v>14753.075000000001</v>
      </c>
      <c r="G538" s="4">
        <v>14754.075000000001</v>
      </c>
      <c r="H538" s="5">
        <f>160 / 86400</f>
        <v>1.8518518518518519E-3</v>
      </c>
      <c r="I538" t="s">
        <v>125</v>
      </c>
      <c r="J538" t="s">
        <v>34</v>
      </c>
      <c r="K538" s="5">
        <f>482 / 86400</f>
        <v>5.5787037037037038E-3</v>
      </c>
      <c r="L538" s="5">
        <f>847 / 86400</f>
        <v>9.8032407407407408E-3</v>
      </c>
    </row>
    <row r="539" spans="1:12" x14ac:dyDescent="0.25">
      <c r="A539" s="3">
        <v>45713.472500000003</v>
      </c>
      <c r="B539" t="s">
        <v>132</v>
      </c>
      <c r="C539" s="3">
        <v>45713.606724537036</v>
      </c>
      <c r="D539" t="s">
        <v>323</v>
      </c>
      <c r="E539" s="4">
        <v>50.72</v>
      </c>
      <c r="F539" s="4">
        <v>14754.075000000001</v>
      </c>
      <c r="G539" s="4">
        <v>14804.795</v>
      </c>
      <c r="H539" s="5">
        <f>4836 / 86400</f>
        <v>5.5972222222222222E-2</v>
      </c>
      <c r="I539" t="s">
        <v>40</v>
      </c>
      <c r="J539" t="s">
        <v>32</v>
      </c>
      <c r="K539" s="5">
        <f>11597 / 86400</f>
        <v>0.13422453703703704</v>
      </c>
      <c r="L539" s="5">
        <f>173 / 86400</f>
        <v>2.0023148148148148E-3</v>
      </c>
    </row>
    <row r="540" spans="1:12" x14ac:dyDescent="0.25">
      <c r="A540" s="3">
        <v>45713.608726851853</v>
      </c>
      <c r="B540" t="s">
        <v>334</v>
      </c>
      <c r="C540" s="3">
        <v>45713.649351851855</v>
      </c>
      <c r="D540" t="s">
        <v>335</v>
      </c>
      <c r="E540" s="4">
        <v>9.2249999999999996</v>
      </c>
      <c r="F540" s="4">
        <v>14804.795</v>
      </c>
      <c r="G540" s="4">
        <v>14814.02</v>
      </c>
      <c r="H540" s="5">
        <f>2139 / 86400</f>
        <v>2.4756944444444446E-2</v>
      </c>
      <c r="I540" t="s">
        <v>208</v>
      </c>
      <c r="J540" t="s">
        <v>64</v>
      </c>
      <c r="K540" s="5">
        <f>3510 / 86400</f>
        <v>4.0625000000000001E-2</v>
      </c>
      <c r="L540" s="5">
        <f>852 / 86400</f>
        <v>9.8611111111111104E-3</v>
      </c>
    </row>
    <row r="541" spans="1:12" x14ac:dyDescent="0.25">
      <c r="A541" s="3">
        <v>45713.659212962964</v>
      </c>
      <c r="B541" t="s">
        <v>336</v>
      </c>
      <c r="C541" s="3">
        <v>45713.735659722224</v>
      </c>
      <c r="D541" t="s">
        <v>39</v>
      </c>
      <c r="E541" s="4">
        <v>28.616</v>
      </c>
      <c r="F541" s="4">
        <v>14814.02</v>
      </c>
      <c r="G541" s="4">
        <v>14842.636</v>
      </c>
      <c r="H541" s="5">
        <f>2639 / 86400</f>
        <v>3.0543981481481481E-2</v>
      </c>
      <c r="I541" t="s">
        <v>325</v>
      </c>
      <c r="J541" t="s">
        <v>32</v>
      </c>
      <c r="K541" s="5">
        <f>6604 / 86400</f>
        <v>7.6435185185185189E-2</v>
      </c>
      <c r="L541" s="5">
        <f>267 / 86400</f>
        <v>3.0902777777777777E-3</v>
      </c>
    </row>
    <row r="542" spans="1:12" x14ac:dyDescent="0.25">
      <c r="A542" s="3">
        <v>45713.738750000004</v>
      </c>
      <c r="B542" t="s">
        <v>39</v>
      </c>
      <c r="C542" s="3">
        <v>45713.741203703699</v>
      </c>
      <c r="D542" t="s">
        <v>67</v>
      </c>
      <c r="E542" s="4">
        <v>1.329</v>
      </c>
      <c r="F542" s="4">
        <v>14842.636</v>
      </c>
      <c r="G542" s="4">
        <v>14843.965</v>
      </c>
      <c r="H542" s="5">
        <f>20 / 86400</f>
        <v>2.3148148148148149E-4</v>
      </c>
      <c r="I542" t="s">
        <v>329</v>
      </c>
      <c r="J542" t="s">
        <v>38</v>
      </c>
      <c r="K542" s="5">
        <f>212 / 86400</f>
        <v>2.4537037037037036E-3</v>
      </c>
      <c r="L542" s="5">
        <f>314 / 86400</f>
        <v>3.6342592592592594E-3</v>
      </c>
    </row>
    <row r="543" spans="1:12" x14ac:dyDescent="0.25">
      <c r="A543" s="3">
        <v>45713.744837962964</v>
      </c>
      <c r="B543" t="s">
        <v>67</v>
      </c>
      <c r="C543" s="3">
        <v>45713.751076388886</v>
      </c>
      <c r="D543" t="s">
        <v>337</v>
      </c>
      <c r="E543" s="4">
        <v>3.4630000000000001</v>
      </c>
      <c r="F543" s="4">
        <v>14843.965</v>
      </c>
      <c r="G543" s="4">
        <v>14847.428</v>
      </c>
      <c r="H543" s="5">
        <f>40 / 86400</f>
        <v>4.6296296296296298E-4</v>
      </c>
      <c r="I543" t="s">
        <v>182</v>
      </c>
      <c r="J543" t="s">
        <v>38</v>
      </c>
      <c r="K543" s="5">
        <f>539 / 86400</f>
        <v>6.2384259259259259E-3</v>
      </c>
      <c r="L543" s="5">
        <f>77 / 86400</f>
        <v>8.9120370370370373E-4</v>
      </c>
    </row>
    <row r="544" spans="1:12" x14ac:dyDescent="0.25">
      <c r="A544" s="3">
        <v>45713.751967592594</v>
      </c>
      <c r="B544" t="s">
        <v>337</v>
      </c>
      <c r="C544" s="3">
        <v>45713.752604166672</v>
      </c>
      <c r="D544" t="s">
        <v>337</v>
      </c>
      <c r="E544" s="4">
        <v>0.223</v>
      </c>
      <c r="F544" s="4">
        <v>14847.428</v>
      </c>
      <c r="G544" s="4">
        <v>14847.651</v>
      </c>
      <c r="H544" s="5">
        <f>0 / 86400</f>
        <v>0</v>
      </c>
      <c r="I544" t="s">
        <v>20</v>
      </c>
      <c r="J544" t="s">
        <v>76</v>
      </c>
      <c r="K544" s="5">
        <f>55 / 86400</f>
        <v>6.3657407407407413E-4</v>
      </c>
      <c r="L544" s="5">
        <f>179 / 86400</f>
        <v>2.0717592592592593E-3</v>
      </c>
    </row>
    <row r="545" spans="1:12" x14ac:dyDescent="0.25">
      <c r="A545" s="3">
        <v>45713.754675925928</v>
      </c>
      <c r="B545" t="s">
        <v>337</v>
      </c>
      <c r="C545" s="3">
        <v>45713.754699074074</v>
      </c>
      <c r="D545" t="s">
        <v>337</v>
      </c>
      <c r="E545" s="4">
        <v>0</v>
      </c>
      <c r="F545" s="4">
        <v>14847.651</v>
      </c>
      <c r="G545" s="4">
        <v>14847.651</v>
      </c>
      <c r="H545" s="5">
        <f>0 / 86400</f>
        <v>0</v>
      </c>
      <c r="I545" t="s">
        <v>22</v>
      </c>
      <c r="J545" t="s">
        <v>22</v>
      </c>
      <c r="K545" s="5">
        <f>2 / 86400</f>
        <v>2.3148148148148147E-5</v>
      </c>
      <c r="L545" s="5">
        <f>13 / 86400</f>
        <v>1.5046296296296297E-4</v>
      </c>
    </row>
    <row r="546" spans="1:12" x14ac:dyDescent="0.25">
      <c r="A546" s="3">
        <v>45713.754849537036</v>
      </c>
      <c r="B546" t="s">
        <v>337</v>
      </c>
      <c r="C546" s="3">
        <v>45713.756435185191</v>
      </c>
      <c r="D546" t="s">
        <v>338</v>
      </c>
      <c r="E546" s="4">
        <v>0.29099999999999998</v>
      </c>
      <c r="F546" s="4">
        <v>14847.651</v>
      </c>
      <c r="G546" s="4">
        <v>14847.941999999999</v>
      </c>
      <c r="H546" s="5">
        <f>44 / 86400</f>
        <v>5.0925925925925921E-4</v>
      </c>
      <c r="I546" t="s">
        <v>76</v>
      </c>
      <c r="J546" t="s">
        <v>97</v>
      </c>
      <c r="K546" s="5">
        <f>137 / 86400</f>
        <v>1.5856481481481481E-3</v>
      </c>
      <c r="L546" s="5">
        <f>736 / 86400</f>
        <v>8.518518518518519E-3</v>
      </c>
    </row>
    <row r="547" spans="1:12" x14ac:dyDescent="0.25">
      <c r="A547" s="3">
        <v>45713.764953703707</v>
      </c>
      <c r="B547" t="s">
        <v>338</v>
      </c>
      <c r="C547" s="3">
        <v>45713.76667824074</v>
      </c>
      <c r="D547" t="s">
        <v>27</v>
      </c>
      <c r="E547" s="4">
        <v>0.38300000000000001</v>
      </c>
      <c r="F547" s="4">
        <v>14847.941999999999</v>
      </c>
      <c r="G547" s="4">
        <v>14848.325000000001</v>
      </c>
      <c r="H547" s="5">
        <f>40 / 86400</f>
        <v>4.6296296296296298E-4</v>
      </c>
      <c r="I547" t="s">
        <v>136</v>
      </c>
      <c r="J547" t="s">
        <v>64</v>
      </c>
      <c r="K547" s="5">
        <f>148 / 86400</f>
        <v>1.712962962962963E-3</v>
      </c>
      <c r="L547" s="5">
        <f>713 / 86400</f>
        <v>8.2523148148148148E-3</v>
      </c>
    </row>
    <row r="548" spans="1:12" x14ac:dyDescent="0.25">
      <c r="A548" s="3">
        <v>45713.774930555555</v>
      </c>
      <c r="B548" t="s">
        <v>27</v>
      </c>
      <c r="C548" s="3">
        <v>45713.775821759264</v>
      </c>
      <c r="D548" t="s">
        <v>27</v>
      </c>
      <c r="E548" s="4">
        <v>3.5000000000000003E-2</v>
      </c>
      <c r="F548" s="4">
        <v>14848.325000000001</v>
      </c>
      <c r="G548" s="4">
        <v>14848.36</v>
      </c>
      <c r="H548" s="5">
        <f>39 / 86400</f>
        <v>4.5138888888888887E-4</v>
      </c>
      <c r="I548" t="s">
        <v>64</v>
      </c>
      <c r="J548" t="s">
        <v>147</v>
      </c>
      <c r="K548" s="5">
        <f>76 / 86400</f>
        <v>8.7962962962962962E-4</v>
      </c>
      <c r="L548" s="5">
        <f>19368 / 86400</f>
        <v>0.22416666666666665</v>
      </c>
    </row>
    <row r="549" spans="1:12" x14ac:dyDescent="0.25">
      <c r="A549" s="12"/>
      <c r="B549" s="12"/>
      <c r="C549" s="12"/>
      <c r="D549" s="12"/>
      <c r="E549" s="12"/>
      <c r="F549" s="12"/>
      <c r="G549" s="12"/>
      <c r="H549" s="12"/>
      <c r="I549" s="12"/>
      <c r="J549" s="12"/>
    </row>
    <row r="550" spans="1:12" x14ac:dyDescent="0.25">
      <c r="A550" s="12"/>
      <c r="B550" s="12"/>
      <c r="C550" s="12"/>
      <c r="D550" s="12"/>
      <c r="E550" s="12"/>
      <c r="F550" s="12"/>
      <c r="G550" s="12"/>
      <c r="H550" s="12"/>
      <c r="I550" s="12"/>
      <c r="J550" s="12"/>
    </row>
    <row r="551" spans="1:12" s="10" customFormat="1" ht="20.100000000000001" customHeight="1" x14ac:dyDescent="0.35">
      <c r="A551" s="15" t="s">
        <v>409</v>
      </c>
      <c r="B551" s="15"/>
      <c r="C551" s="15"/>
      <c r="D551" s="15"/>
      <c r="E551" s="15"/>
      <c r="F551" s="15"/>
      <c r="G551" s="15"/>
      <c r="H551" s="15"/>
      <c r="I551" s="15"/>
      <c r="J551" s="15"/>
    </row>
    <row r="552" spans="1:12" x14ac:dyDescent="0.25">
      <c r="A552" s="12"/>
      <c r="B552" s="12"/>
      <c r="C552" s="12"/>
      <c r="D552" s="12"/>
      <c r="E552" s="12"/>
      <c r="F552" s="12"/>
      <c r="G552" s="12"/>
      <c r="H552" s="12"/>
      <c r="I552" s="12"/>
      <c r="J552" s="12"/>
    </row>
    <row r="553" spans="1:12" ht="30" x14ac:dyDescent="0.25">
      <c r="A553" s="2" t="s">
        <v>6</v>
      </c>
      <c r="B553" s="2" t="s">
        <v>7</v>
      </c>
      <c r="C553" s="2" t="s">
        <v>8</v>
      </c>
      <c r="D553" s="2" t="s">
        <v>9</v>
      </c>
      <c r="E553" s="2" t="s">
        <v>10</v>
      </c>
      <c r="F553" s="2" t="s">
        <v>11</v>
      </c>
      <c r="G553" s="2" t="s">
        <v>12</v>
      </c>
      <c r="H553" s="2" t="s">
        <v>13</v>
      </c>
      <c r="I553" s="2" t="s">
        <v>14</v>
      </c>
      <c r="J553" s="2" t="s">
        <v>15</v>
      </c>
      <c r="K553" s="2" t="s">
        <v>16</v>
      </c>
      <c r="L553" s="2" t="s">
        <v>17</v>
      </c>
    </row>
    <row r="554" spans="1:12" x14ac:dyDescent="0.25">
      <c r="A554" s="3">
        <v>45713.260405092587</v>
      </c>
      <c r="B554" t="s">
        <v>61</v>
      </c>
      <c r="C554" s="3">
        <v>45713.333437499998</v>
      </c>
      <c r="D554" t="s">
        <v>339</v>
      </c>
      <c r="E554" s="4">
        <v>24.812999999999999</v>
      </c>
      <c r="F554" s="4">
        <v>140003.72</v>
      </c>
      <c r="G554" s="4">
        <v>140028.533</v>
      </c>
      <c r="H554" s="5">
        <f>2419 / 86400</f>
        <v>2.7997685185185184E-2</v>
      </c>
      <c r="I554" t="s">
        <v>62</v>
      </c>
      <c r="J554" t="s">
        <v>29</v>
      </c>
      <c r="K554" s="5">
        <f>6310 / 86400</f>
        <v>7.3032407407407407E-2</v>
      </c>
      <c r="L554" s="5">
        <f>22714 / 86400</f>
        <v>0.2628935185185185</v>
      </c>
    </row>
    <row r="555" spans="1:12" x14ac:dyDescent="0.25">
      <c r="A555" s="3">
        <v>45713.33592592593</v>
      </c>
      <c r="B555" t="s">
        <v>339</v>
      </c>
      <c r="C555" s="3">
        <v>45713.336238425924</v>
      </c>
      <c r="D555" t="s">
        <v>339</v>
      </c>
      <c r="E555" s="4">
        <v>2.5999999999999999E-2</v>
      </c>
      <c r="F555" s="4">
        <v>140028.533</v>
      </c>
      <c r="G555" s="4">
        <v>140028.55900000001</v>
      </c>
      <c r="H555" s="5">
        <f>0 / 86400</f>
        <v>0</v>
      </c>
      <c r="I555" t="s">
        <v>146</v>
      </c>
      <c r="J555" t="s">
        <v>141</v>
      </c>
      <c r="K555" s="5">
        <f>26 / 86400</f>
        <v>3.0092592592592595E-4</v>
      </c>
      <c r="L555" s="5">
        <f>1657 / 86400</f>
        <v>1.9178240740740742E-2</v>
      </c>
    </row>
    <row r="556" spans="1:12" x14ac:dyDescent="0.25">
      <c r="A556" s="3">
        <v>45713.355416666665</v>
      </c>
      <c r="B556" t="s">
        <v>339</v>
      </c>
      <c r="C556" s="3">
        <v>45713.359722222223</v>
      </c>
      <c r="D556" t="s">
        <v>339</v>
      </c>
      <c r="E556" s="4">
        <v>0.156</v>
      </c>
      <c r="F556" s="4">
        <v>140028.55900000001</v>
      </c>
      <c r="G556" s="4">
        <v>140028.715</v>
      </c>
      <c r="H556" s="5">
        <f>200 / 86400</f>
        <v>2.3148148148148147E-3</v>
      </c>
      <c r="I556" t="s">
        <v>34</v>
      </c>
      <c r="J556" t="s">
        <v>147</v>
      </c>
      <c r="K556" s="5">
        <f>371 / 86400</f>
        <v>4.2939814814814811E-3</v>
      </c>
      <c r="L556" s="5">
        <f>1506 / 86400</f>
        <v>1.7430555555555557E-2</v>
      </c>
    </row>
    <row r="557" spans="1:12" x14ac:dyDescent="0.25">
      <c r="A557" s="3">
        <v>45713.377152777779</v>
      </c>
      <c r="B557" t="s">
        <v>339</v>
      </c>
      <c r="C557" s="3">
        <v>45713.394155092596</v>
      </c>
      <c r="D557" t="s">
        <v>340</v>
      </c>
      <c r="E557" s="4">
        <v>1.5740000000000001</v>
      </c>
      <c r="F557" s="4">
        <v>140028.715</v>
      </c>
      <c r="G557" s="4">
        <v>140030.28899999999</v>
      </c>
      <c r="H557" s="5">
        <f>619 / 86400</f>
        <v>7.1643518518518514E-3</v>
      </c>
      <c r="I557" t="s">
        <v>53</v>
      </c>
      <c r="J557" t="s">
        <v>141</v>
      </c>
      <c r="K557" s="5">
        <f>1469 / 86400</f>
        <v>1.7002314814814814E-2</v>
      </c>
      <c r="L557" s="5">
        <f>1923 / 86400</f>
        <v>2.2256944444444444E-2</v>
      </c>
    </row>
    <row r="558" spans="1:12" x14ac:dyDescent="0.25">
      <c r="A558" s="3">
        <v>45713.416412037041</v>
      </c>
      <c r="B558" t="s">
        <v>340</v>
      </c>
      <c r="C558" s="3">
        <v>45713.417071759264</v>
      </c>
      <c r="D558" t="s">
        <v>340</v>
      </c>
      <c r="E558" s="4">
        <v>8.9999999999999993E-3</v>
      </c>
      <c r="F558" s="4">
        <v>140030.28899999999</v>
      </c>
      <c r="G558" s="4">
        <v>140030.29800000001</v>
      </c>
      <c r="H558" s="5">
        <f>39 / 86400</f>
        <v>4.5138888888888887E-4</v>
      </c>
      <c r="I558" t="s">
        <v>146</v>
      </c>
      <c r="J558" t="s">
        <v>144</v>
      </c>
      <c r="K558" s="5">
        <f>56 / 86400</f>
        <v>6.4814814814814813E-4</v>
      </c>
      <c r="L558" s="5">
        <f>208 / 86400</f>
        <v>2.4074074074074076E-3</v>
      </c>
    </row>
    <row r="559" spans="1:12" x14ac:dyDescent="0.25">
      <c r="A559" s="3">
        <v>45713.419479166667</v>
      </c>
      <c r="B559" t="s">
        <v>340</v>
      </c>
      <c r="C559" s="3">
        <v>45713.475821759261</v>
      </c>
      <c r="D559" t="s">
        <v>341</v>
      </c>
      <c r="E559" s="4">
        <v>11.685</v>
      </c>
      <c r="F559" s="4">
        <v>140030.29800000001</v>
      </c>
      <c r="G559" s="4">
        <v>140041.98300000001</v>
      </c>
      <c r="H559" s="5">
        <f>1959 / 86400</f>
        <v>2.267361111111111E-2</v>
      </c>
      <c r="I559" t="s">
        <v>138</v>
      </c>
      <c r="J559" t="s">
        <v>64</v>
      </c>
      <c r="K559" s="5">
        <f>4867 / 86400</f>
        <v>5.6331018518518516E-2</v>
      </c>
      <c r="L559" s="5">
        <f>10014 / 86400</f>
        <v>0.11590277777777777</v>
      </c>
    </row>
    <row r="560" spans="1:12" x14ac:dyDescent="0.25">
      <c r="A560" s="3">
        <v>45713.591724537036</v>
      </c>
      <c r="B560" t="s">
        <v>99</v>
      </c>
      <c r="C560" s="3">
        <v>45713.591944444444</v>
      </c>
      <c r="D560" t="s">
        <v>99</v>
      </c>
      <c r="E560" s="4">
        <v>0</v>
      </c>
      <c r="F560" s="4">
        <v>140041.98300000001</v>
      </c>
      <c r="G560" s="4">
        <v>140041.98300000001</v>
      </c>
      <c r="H560" s="5">
        <f>0 / 86400</f>
        <v>0</v>
      </c>
      <c r="I560" t="s">
        <v>22</v>
      </c>
      <c r="J560" t="s">
        <v>22</v>
      </c>
      <c r="K560" s="5">
        <f>19 / 86400</f>
        <v>2.199074074074074E-4</v>
      </c>
      <c r="L560" s="5">
        <f>2 / 86400</f>
        <v>2.3148148148148147E-5</v>
      </c>
    </row>
    <row r="561" spans="1:12" x14ac:dyDescent="0.25">
      <c r="A561" s="3">
        <v>45713.591967592598</v>
      </c>
      <c r="B561" t="s">
        <v>99</v>
      </c>
      <c r="C561" s="3">
        <v>45713.593657407408</v>
      </c>
      <c r="D561" t="s">
        <v>99</v>
      </c>
      <c r="E561" s="4">
        <v>0</v>
      </c>
      <c r="F561" s="4">
        <v>140041.98300000001</v>
      </c>
      <c r="G561" s="4">
        <v>140041.98300000001</v>
      </c>
      <c r="H561" s="5">
        <f>139 / 86400</f>
        <v>1.6087962962962963E-3</v>
      </c>
      <c r="I561" t="s">
        <v>22</v>
      </c>
      <c r="J561" t="s">
        <v>22</v>
      </c>
      <c r="K561" s="5">
        <f>146 / 86400</f>
        <v>1.6898148148148148E-3</v>
      </c>
      <c r="L561" s="5">
        <f>215 / 86400</f>
        <v>2.488425925925926E-3</v>
      </c>
    </row>
    <row r="562" spans="1:12" x14ac:dyDescent="0.25">
      <c r="A562" s="3">
        <v>45713.596145833333</v>
      </c>
      <c r="B562" t="s">
        <v>99</v>
      </c>
      <c r="C562" s="3">
        <v>45713.596921296295</v>
      </c>
      <c r="D562" t="s">
        <v>341</v>
      </c>
      <c r="E562" s="4">
        <v>0</v>
      </c>
      <c r="F562" s="4">
        <v>140041.98300000001</v>
      </c>
      <c r="G562" s="4">
        <v>140041.98300000001</v>
      </c>
      <c r="H562" s="5">
        <f>59 / 86400</f>
        <v>6.8287037037037036E-4</v>
      </c>
      <c r="I562" t="s">
        <v>22</v>
      </c>
      <c r="J562" t="s">
        <v>22</v>
      </c>
      <c r="K562" s="5">
        <f>67 / 86400</f>
        <v>7.7546296296296293E-4</v>
      </c>
      <c r="L562" s="5">
        <f>52 / 86400</f>
        <v>6.018518518518519E-4</v>
      </c>
    </row>
    <row r="563" spans="1:12" x14ac:dyDescent="0.25">
      <c r="A563" s="3">
        <v>45713.59752314815</v>
      </c>
      <c r="B563" t="s">
        <v>99</v>
      </c>
      <c r="C563" s="3">
        <v>45713.597673611112</v>
      </c>
      <c r="D563" t="s">
        <v>341</v>
      </c>
      <c r="E563" s="4">
        <v>0</v>
      </c>
      <c r="F563" s="4">
        <v>140041.98300000001</v>
      </c>
      <c r="G563" s="4">
        <v>140041.98300000001</v>
      </c>
      <c r="H563" s="5">
        <f>0 / 86400</f>
        <v>0</v>
      </c>
      <c r="I563" t="s">
        <v>22</v>
      </c>
      <c r="J563" t="s">
        <v>22</v>
      </c>
      <c r="K563" s="5">
        <f>13 / 86400</f>
        <v>1.5046296296296297E-4</v>
      </c>
      <c r="L563" s="5">
        <f>16 / 86400</f>
        <v>1.8518518518518518E-4</v>
      </c>
    </row>
    <row r="564" spans="1:12" x14ac:dyDescent="0.25">
      <c r="A564" s="3">
        <v>45713.597858796296</v>
      </c>
      <c r="B564" t="s">
        <v>341</v>
      </c>
      <c r="C564" s="3">
        <v>45713.59856481482</v>
      </c>
      <c r="D564" t="s">
        <v>99</v>
      </c>
      <c r="E564" s="4">
        <v>0</v>
      </c>
      <c r="F564" s="4">
        <v>140041.98300000001</v>
      </c>
      <c r="G564" s="4">
        <v>140041.98300000001</v>
      </c>
      <c r="H564" s="5">
        <f>59 / 86400</f>
        <v>6.8287037037037036E-4</v>
      </c>
      <c r="I564" t="s">
        <v>22</v>
      </c>
      <c r="J564" t="s">
        <v>22</v>
      </c>
      <c r="K564" s="5">
        <f>61 / 86400</f>
        <v>7.0601851851851847E-4</v>
      </c>
      <c r="L564" s="5">
        <f>208 / 86400</f>
        <v>2.4074074074074076E-3</v>
      </c>
    </row>
    <row r="565" spans="1:12" x14ac:dyDescent="0.25">
      <c r="A565" s="3">
        <v>45713.600972222222</v>
      </c>
      <c r="B565" t="s">
        <v>341</v>
      </c>
      <c r="C565" s="3">
        <v>45713.601956018523</v>
      </c>
      <c r="D565" t="s">
        <v>341</v>
      </c>
      <c r="E565" s="4">
        <v>0</v>
      </c>
      <c r="F565" s="4">
        <v>140041.98300000001</v>
      </c>
      <c r="G565" s="4">
        <v>140041.98300000001</v>
      </c>
      <c r="H565" s="5">
        <f>79 / 86400</f>
        <v>9.1435185185185185E-4</v>
      </c>
      <c r="I565" t="s">
        <v>22</v>
      </c>
      <c r="J565" t="s">
        <v>22</v>
      </c>
      <c r="K565" s="5">
        <f>85 / 86400</f>
        <v>9.837962962962962E-4</v>
      </c>
      <c r="L565" s="5">
        <f>2389 / 86400</f>
        <v>2.7650462962962963E-2</v>
      </c>
    </row>
    <row r="566" spans="1:12" x14ac:dyDescent="0.25">
      <c r="A566" s="3">
        <v>45713.629606481481</v>
      </c>
      <c r="B566" t="s">
        <v>99</v>
      </c>
      <c r="C566" s="3">
        <v>45713.652696759258</v>
      </c>
      <c r="D566" t="s">
        <v>342</v>
      </c>
      <c r="E566" s="4">
        <v>9.7859999999999996</v>
      </c>
      <c r="F566" s="4">
        <v>140041.98300000001</v>
      </c>
      <c r="G566" s="4">
        <v>140051.769</v>
      </c>
      <c r="H566" s="5">
        <f>700 / 86400</f>
        <v>8.1018518518518514E-3</v>
      </c>
      <c r="I566" t="s">
        <v>296</v>
      </c>
      <c r="J566" t="s">
        <v>26</v>
      </c>
      <c r="K566" s="5">
        <f>1994 / 86400</f>
        <v>2.3078703703703702E-2</v>
      </c>
      <c r="L566" s="5">
        <f>121 / 86400</f>
        <v>1.4004629629629629E-3</v>
      </c>
    </row>
    <row r="567" spans="1:12" x14ac:dyDescent="0.25">
      <c r="A567" s="3">
        <v>45713.654097222221</v>
      </c>
      <c r="B567" t="s">
        <v>343</v>
      </c>
      <c r="C567" s="3">
        <v>45713.654386574075</v>
      </c>
      <c r="D567" t="s">
        <v>343</v>
      </c>
      <c r="E567" s="4">
        <v>8.0000000000000002E-3</v>
      </c>
      <c r="F567" s="4">
        <v>140051.769</v>
      </c>
      <c r="G567" s="4">
        <v>140051.777</v>
      </c>
      <c r="H567" s="5">
        <f>19 / 86400</f>
        <v>2.199074074074074E-4</v>
      </c>
      <c r="I567" t="s">
        <v>22</v>
      </c>
      <c r="J567" t="s">
        <v>144</v>
      </c>
      <c r="K567" s="5">
        <f>25 / 86400</f>
        <v>2.8935185185185184E-4</v>
      </c>
      <c r="L567" s="5">
        <f>254 / 86400</f>
        <v>2.9398148148148148E-3</v>
      </c>
    </row>
    <row r="568" spans="1:12" x14ac:dyDescent="0.25">
      <c r="A568" s="3">
        <v>45713.657326388886</v>
      </c>
      <c r="B568" t="s">
        <v>343</v>
      </c>
      <c r="C568" s="3">
        <v>45713.671122685184</v>
      </c>
      <c r="D568" t="s">
        <v>61</v>
      </c>
      <c r="E568" s="4">
        <v>3.1850000000000001</v>
      </c>
      <c r="F568" s="4">
        <v>140051.777</v>
      </c>
      <c r="G568" s="4">
        <v>140054.962</v>
      </c>
      <c r="H568" s="5">
        <f>400 / 86400</f>
        <v>4.6296296296296294E-3</v>
      </c>
      <c r="I568" t="s">
        <v>228</v>
      </c>
      <c r="J568" t="s">
        <v>134</v>
      </c>
      <c r="K568" s="5">
        <f>1192 / 86400</f>
        <v>1.3796296296296296E-2</v>
      </c>
      <c r="L568" s="5">
        <f>28414 / 86400</f>
        <v>0.32886574074074076</v>
      </c>
    </row>
    <row r="569" spans="1:12" x14ac:dyDescent="0.25">
      <c r="A569" s="12"/>
      <c r="B569" s="12"/>
      <c r="C569" s="12"/>
      <c r="D569" s="12"/>
      <c r="E569" s="12"/>
      <c r="F569" s="12"/>
      <c r="G569" s="12"/>
      <c r="H569" s="12"/>
      <c r="I569" s="12"/>
      <c r="J569" s="12"/>
    </row>
    <row r="570" spans="1:12" x14ac:dyDescent="0.25">
      <c r="A570" s="12"/>
      <c r="B570" s="12"/>
      <c r="C570" s="12"/>
      <c r="D570" s="12"/>
      <c r="E570" s="12"/>
      <c r="F570" s="12"/>
      <c r="G570" s="12"/>
      <c r="H570" s="12"/>
      <c r="I570" s="12"/>
      <c r="J570" s="12"/>
    </row>
    <row r="571" spans="1:12" s="10" customFormat="1" ht="20.100000000000001" customHeight="1" x14ac:dyDescent="0.35">
      <c r="A571" s="15" t="s">
        <v>410</v>
      </c>
      <c r="B571" s="15"/>
      <c r="C571" s="15"/>
      <c r="D571" s="15"/>
      <c r="E571" s="15"/>
      <c r="F571" s="15"/>
      <c r="G571" s="15"/>
      <c r="H571" s="15"/>
      <c r="I571" s="15"/>
      <c r="J571" s="15"/>
    </row>
    <row r="572" spans="1:12" x14ac:dyDescent="0.25">
      <c r="A572" s="12"/>
      <c r="B572" s="12"/>
      <c r="C572" s="12"/>
      <c r="D572" s="12"/>
      <c r="E572" s="12"/>
      <c r="F572" s="12"/>
      <c r="G572" s="12"/>
      <c r="H572" s="12"/>
      <c r="I572" s="12"/>
      <c r="J572" s="12"/>
    </row>
    <row r="573" spans="1:12" ht="30" x14ac:dyDescent="0.25">
      <c r="A573" s="2" t="s">
        <v>6</v>
      </c>
      <c r="B573" s="2" t="s">
        <v>7</v>
      </c>
      <c r="C573" s="2" t="s">
        <v>8</v>
      </c>
      <c r="D573" s="2" t="s">
        <v>9</v>
      </c>
      <c r="E573" s="2" t="s">
        <v>10</v>
      </c>
      <c r="F573" s="2" t="s">
        <v>11</v>
      </c>
      <c r="G573" s="2" t="s">
        <v>12</v>
      </c>
      <c r="H573" s="2" t="s">
        <v>13</v>
      </c>
      <c r="I573" s="2" t="s">
        <v>14</v>
      </c>
      <c r="J573" s="2" t="s">
        <v>15</v>
      </c>
      <c r="K573" s="2" t="s">
        <v>16</v>
      </c>
      <c r="L573" s="2" t="s">
        <v>17</v>
      </c>
    </row>
    <row r="574" spans="1:12" x14ac:dyDescent="0.25">
      <c r="A574" s="3">
        <v>45713.233518518522</v>
      </c>
      <c r="B574" t="s">
        <v>27</v>
      </c>
      <c r="C574" s="3">
        <v>45713.23940972222</v>
      </c>
      <c r="D574" t="s">
        <v>27</v>
      </c>
      <c r="E574" s="4">
        <v>0</v>
      </c>
      <c r="F574" s="4">
        <v>6959.7250000000004</v>
      </c>
      <c r="G574" s="4">
        <v>6959.7250000000004</v>
      </c>
      <c r="H574" s="5">
        <f>499 / 86400</f>
        <v>5.7754629629629631E-3</v>
      </c>
      <c r="I574" t="s">
        <v>22</v>
      </c>
      <c r="J574" t="s">
        <v>22</v>
      </c>
      <c r="K574" s="5">
        <f>508 / 86400</f>
        <v>5.8796296296296296E-3</v>
      </c>
      <c r="L574" s="5">
        <f>21865 / 86400</f>
        <v>0.25306712962962963</v>
      </c>
    </row>
    <row r="575" spans="1:12" x14ac:dyDescent="0.25">
      <c r="A575" s="3">
        <v>45713.258958333332</v>
      </c>
      <c r="B575" t="s">
        <v>27</v>
      </c>
      <c r="C575" s="3">
        <v>45713.259710648148</v>
      </c>
      <c r="D575" t="s">
        <v>27</v>
      </c>
      <c r="E575" s="4">
        <v>3.6999999999999998E-2</v>
      </c>
      <c r="F575" s="4">
        <v>6959.7250000000004</v>
      </c>
      <c r="G575" s="4">
        <v>6959.7619999999997</v>
      </c>
      <c r="H575" s="5">
        <f>20 / 86400</f>
        <v>2.3148148148148149E-4</v>
      </c>
      <c r="I575" t="s">
        <v>145</v>
      </c>
      <c r="J575" t="s">
        <v>147</v>
      </c>
      <c r="K575" s="5">
        <f>64 / 86400</f>
        <v>7.407407407407407E-4</v>
      </c>
      <c r="L575" s="5">
        <f>14872 / 86400</f>
        <v>0.17212962962962963</v>
      </c>
    </row>
    <row r="576" spans="1:12" x14ac:dyDescent="0.25">
      <c r="A576" s="3">
        <v>45713.431840277779</v>
      </c>
      <c r="B576" t="s">
        <v>27</v>
      </c>
      <c r="C576" s="3">
        <v>45713.433206018519</v>
      </c>
      <c r="D576" t="s">
        <v>27</v>
      </c>
      <c r="E576" s="4">
        <v>1.7000000000000001E-2</v>
      </c>
      <c r="F576" s="4">
        <v>6959.7619999999997</v>
      </c>
      <c r="G576" s="4">
        <v>6959.7790000000005</v>
      </c>
      <c r="H576" s="5">
        <f>60 / 86400</f>
        <v>6.9444444444444447E-4</v>
      </c>
      <c r="I576" t="s">
        <v>146</v>
      </c>
      <c r="J576" t="s">
        <v>144</v>
      </c>
      <c r="K576" s="5">
        <f>118 / 86400</f>
        <v>1.3657407407407407E-3</v>
      </c>
      <c r="L576" s="5">
        <f>19 / 86400</f>
        <v>2.199074074074074E-4</v>
      </c>
    </row>
    <row r="577" spans="1:12" x14ac:dyDescent="0.25">
      <c r="A577" s="3">
        <v>45713.433425925927</v>
      </c>
      <c r="B577" t="s">
        <v>27</v>
      </c>
      <c r="C577" s="3">
        <v>45713.44394675926</v>
      </c>
      <c r="D577" t="s">
        <v>344</v>
      </c>
      <c r="E577" s="4">
        <v>3.7290000000000001</v>
      </c>
      <c r="F577" s="4">
        <v>6959.7790000000005</v>
      </c>
      <c r="G577" s="4">
        <v>6963.5079999999998</v>
      </c>
      <c r="H577" s="5">
        <f>220 / 86400</f>
        <v>2.5462962962962965E-3</v>
      </c>
      <c r="I577" t="s">
        <v>63</v>
      </c>
      <c r="J577" t="s">
        <v>76</v>
      </c>
      <c r="K577" s="5">
        <f>909 / 86400</f>
        <v>1.0520833333333333E-2</v>
      </c>
      <c r="L577" s="5">
        <f>625 / 86400</f>
        <v>7.2337962962962963E-3</v>
      </c>
    </row>
    <row r="578" spans="1:12" x14ac:dyDescent="0.25">
      <c r="A578" s="3">
        <v>45713.451180555552</v>
      </c>
      <c r="B578" t="s">
        <v>345</v>
      </c>
      <c r="C578" s="3">
        <v>45713.451203703706</v>
      </c>
      <c r="D578" t="s">
        <v>345</v>
      </c>
      <c r="E578" s="4">
        <v>0</v>
      </c>
      <c r="F578" s="4">
        <v>6963.5079999999998</v>
      </c>
      <c r="G578" s="4">
        <v>6963.5079999999998</v>
      </c>
      <c r="H578" s="5">
        <f>0 / 86400</f>
        <v>0</v>
      </c>
      <c r="I578" t="s">
        <v>22</v>
      </c>
      <c r="J578" t="s">
        <v>22</v>
      </c>
      <c r="K578" s="5">
        <f>2 / 86400</f>
        <v>2.3148148148148147E-5</v>
      </c>
      <c r="L578" s="5">
        <f>3218 / 86400</f>
        <v>3.7245370370370373E-2</v>
      </c>
    </row>
    <row r="579" spans="1:12" x14ac:dyDescent="0.25">
      <c r="A579" s="3">
        <v>45713.488449074073</v>
      </c>
      <c r="B579" t="s">
        <v>345</v>
      </c>
      <c r="C579" s="3">
        <v>45713.490590277783</v>
      </c>
      <c r="D579" t="s">
        <v>344</v>
      </c>
      <c r="E579" s="4">
        <v>3.3000000000000002E-2</v>
      </c>
      <c r="F579" s="4">
        <v>6963.5079999999998</v>
      </c>
      <c r="G579" s="4">
        <v>6963.5410000000002</v>
      </c>
      <c r="H579" s="5">
        <f>139 / 86400</f>
        <v>1.6087962962962963E-3</v>
      </c>
      <c r="I579" t="s">
        <v>34</v>
      </c>
      <c r="J579" t="s">
        <v>144</v>
      </c>
      <c r="K579" s="5">
        <f>184 / 86400</f>
        <v>2.1296296296296298E-3</v>
      </c>
      <c r="L579" s="5">
        <f>4066 / 86400</f>
        <v>4.7060185185185184E-2</v>
      </c>
    </row>
    <row r="580" spans="1:12" x14ac:dyDescent="0.25">
      <c r="A580" s="3">
        <v>45713.537650462968</v>
      </c>
      <c r="B580" t="s">
        <v>344</v>
      </c>
      <c r="C580" s="3">
        <v>45713.539178240739</v>
      </c>
      <c r="D580" t="s">
        <v>344</v>
      </c>
      <c r="E580" s="4">
        <v>2.1000000000000001E-2</v>
      </c>
      <c r="F580" s="4">
        <v>6963.5410000000002</v>
      </c>
      <c r="G580" s="4">
        <v>6963.5619999999999</v>
      </c>
      <c r="H580" s="5">
        <f>99 / 86400</f>
        <v>1.1458333333333333E-3</v>
      </c>
      <c r="I580" t="s">
        <v>147</v>
      </c>
      <c r="J580" t="s">
        <v>144</v>
      </c>
      <c r="K580" s="5">
        <f>131 / 86400</f>
        <v>1.5162037037037036E-3</v>
      </c>
      <c r="L580" s="5">
        <f>17 / 86400</f>
        <v>1.9675925925925926E-4</v>
      </c>
    </row>
    <row r="581" spans="1:12" x14ac:dyDescent="0.25">
      <c r="A581" s="3">
        <v>45713.539375</v>
      </c>
      <c r="B581" t="s">
        <v>345</v>
      </c>
      <c r="C581" s="3">
        <v>45713.551921296297</v>
      </c>
      <c r="D581" t="s">
        <v>27</v>
      </c>
      <c r="E581" s="4">
        <v>3.976</v>
      </c>
      <c r="F581" s="4">
        <v>6963.5619999999999</v>
      </c>
      <c r="G581" s="4">
        <v>6967.5379999999996</v>
      </c>
      <c r="H581" s="5">
        <f>179 / 86400</f>
        <v>2.0717592592592593E-3</v>
      </c>
      <c r="I581" t="s">
        <v>166</v>
      </c>
      <c r="J581" t="s">
        <v>45</v>
      </c>
      <c r="K581" s="5">
        <f>1083 / 86400</f>
        <v>1.2534722222222221E-2</v>
      </c>
      <c r="L581" s="5">
        <f>19112 / 86400</f>
        <v>0.22120370370370371</v>
      </c>
    </row>
    <row r="582" spans="1:12" x14ac:dyDescent="0.25">
      <c r="A582" s="3">
        <v>45713.773125</v>
      </c>
      <c r="B582" t="s">
        <v>27</v>
      </c>
      <c r="C582" s="3">
        <v>45713.773680555554</v>
      </c>
      <c r="D582" t="s">
        <v>27</v>
      </c>
      <c r="E582" s="4">
        <v>1.6E-2</v>
      </c>
      <c r="F582" s="4">
        <v>6967.5379999999996</v>
      </c>
      <c r="G582" s="4">
        <v>6967.5540000000001</v>
      </c>
      <c r="H582" s="5">
        <f>0 / 86400</f>
        <v>0</v>
      </c>
      <c r="I582" t="s">
        <v>146</v>
      </c>
      <c r="J582" t="s">
        <v>144</v>
      </c>
      <c r="K582" s="5">
        <f>47 / 86400</f>
        <v>5.4398148148148144E-4</v>
      </c>
      <c r="L582" s="5">
        <f>41 / 86400</f>
        <v>4.7453703703703704E-4</v>
      </c>
    </row>
    <row r="583" spans="1:12" x14ac:dyDescent="0.25">
      <c r="A583" s="3">
        <v>45713.774155092593</v>
      </c>
      <c r="B583" t="s">
        <v>27</v>
      </c>
      <c r="C583" s="3">
        <v>45713.775254629625</v>
      </c>
      <c r="D583" t="s">
        <v>27</v>
      </c>
      <c r="E583" s="4">
        <v>0.11799999999999999</v>
      </c>
      <c r="F583" s="4">
        <v>6967.5540000000001</v>
      </c>
      <c r="G583" s="4">
        <v>6967.6719999999996</v>
      </c>
      <c r="H583" s="5">
        <f>40 / 86400</f>
        <v>4.6296296296296298E-4</v>
      </c>
      <c r="I583" t="s">
        <v>134</v>
      </c>
      <c r="J583" t="s">
        <v>141</v>
      </c>
      <c r="K583" s="5">
        <f>95 / 86400</f>
        <v>1.0995370370370371E-3</v>
      </c>
      <c r="L583" s="5">
        <f>19417 / 86400</f>
        <v>0.22473379629629631</v>
      </c>
    </row>
    <row r="584" spans="1:12" x14ac:dyDescent="0.25">
      <c r="A584" s="12"/>
      <c r="B584" s="12"/>
      <c r="C584" s="12"/>
      <c r="D584" s="12"/>
      <c r="E584" s="12"/>
      <c r="F584" s="12"/>
      <c r="G584" s="12"/>
      <c r="H584" s="12"/>
      <c r="I584" s="12"/>
      <c r="J584" s="12"/>
    </row>
    <row r="585" spans="1:12" x14ac:dyDescent="0.25">
      <c r="A585" s="12"/>
      <c r="B585" s="12"/>
      <c r="C585" s="12"/>
      <c r="D585" s="12"/>
      <c r="E585" s="12"/>
      <c r="F585" s="12"/>
      <c r="G585" s="12"/>
      <c r="H585" s="12"/>
      <c r="I585" s="12"/>
      <c r="J585" s="12"/>
    </row>
    <row r="586" spans="1:12" s="10" customFormat="1" ht="20.100000000000001" customHeight="1" x14ac:dyDescent="0.35">
      <c r="A586" s="15" t="s">
        <v>411</v>
      </c>
      <c r="B586" s="15"/>
      <c r="C586" s="15"/>
      <c r="D586" s="15"/>
      <c r="E586" s="15"/>
      <c r="F586" s="15"/>
      <c r="G586" s="15"/>
      <c r="H586" s="15"/>
      <c r="I586" s="15"/>
      <c r="J586" s="15"/>
    </row>
    <row r="587" spans="1:12" x14ac:dyDescent="0.25">
      <c r="A587" s="12"/>
      <c r="B587" s="12"/>
      <c r="C587" s="12"/>
      <c r="D587" s="12"/>
      <c r="E587" s="12"/>
      <c r="F587" s="12"/>
      <c r="G587" s="12"/>
      <c r="H587" s="12"/>
      <c r="I587" s="12"/>
      <c r="J587" s="12"/>
    </row>
    <row r="588" spans="1:12" ht="30" x14ac:dyDescent="0.25">
      <c r="A588" s="2" t="s">
        <v>6</v>
      </c>
      <c r="B588" s="2" t="s">
        <v>7</v>
      </c>
      <c r="C588" s="2" t="s">
        <v>8</v>
      </c>
      <c r="D588" s="2" t="s">
        <v>9</v>
      </c>
      <c r="E588" s="2" t="s">
        <v>10</v>
      </c>
      <c r="F588" s="2" t="s">
        <v>11</v>
      </c>
      <c r="G588" s="2" t="s">
        <v>12</v>
      </c>
      <c r="H588" s="2" t="s">
        <v>13</v>
      </c>
      <c r="I588" s="2" t="s">
        <v>14</v>
      </c>
      <c r="J588" s="2" t="s">
        <v>15</v>
      </c>
      <c r="K588" s="2" t="s">
        <v>16</v>
      </c>
      <c r="L588" s="2" t="s">
        <v>17</v>
      </c>
    </row>
    <row r="589" spans="1:12" x14ac:dyDescent="0.25">
      <c r="A589" s="3">
        <v>45713.213437500002</v>
      </c>
      <c r="B589" t="s">
        <v>39</v>
      </c>
      <c r="C589" s="3">
        <v>45713.43986111111</v>
      </c>
      <c r="D589" t="s">
        <v>126</v>
      </c>
      <c r="E589" s="4">
        <v>89.700999999999993</v>
      </c>
      <c r="F589" s="4">
        <v>388734.99599999998</v>
      </c>
      <c r="G589" s="4">
        <v>388824.69699999999</v>
      </c>
      <c r="H589" s="5">
        <f>6277 / 86400</f>
        <v>7.2650462962962958E-2</v>
      </c>
      <c r="I589" t="s">
        <v>65</v>
      </c>
      <c r="J589" t="s">
        <v>20</v>
      </c>
      <c r="K589" s="5">
        <f>19563 / 86400</f>
        <v>0.22642361111111112</v>
      </c>
      <c r="L589" s="5">
        <f>19923 / 86400</f>
        <v>0.23059027777777777</v>
      </c>
    </row>
    <row r="590" spans="1:12" x14ac:dyDescent="0.25">
      <c r="A590" s="3">
        <v>45713.457013888888</v>
      </c>
      <c r="B590" t="s">
        <v>126</v>
      </c>
      <c r="C590" s="3">
        <v>45713.460995370369</v>
      </c>
      <c r="D590" t="s">
        <v>307</v>
      </c>
      <c r="E590" s="4">
        <v>1.2270000000000001</v>
      </c>
      <c r="F590" s="4">
        <v>388824.69699999999</v>
      </c>
      <c r="G590" s="4">
        <v>388825.924</v>
      </c>
      <c r="H590" s="5">
        <f>20 / 86400</f>
        <v>2.3148148148148149E-4</v>
      </c>
      <c r="I590" t="s">
        <v>38</v>
      </c>
      <c r="J590" t="s">
        <v>45</v>
      </c>
      <c r="K590" s="5">
        <f>344 / 86400</f>
        <v>3.9814814814814817E-3</v>
      </c>
      <c r="L590" s="5">
        <f>2182 / 86400</f>
        <v>2.525462962962963E-2</v>
      </c>
    </row>
    <row r="591" spans="1:12" x14ac:dyDescent="0.25">
      <c r="A591" s="3">
        <v>45713.486250000002</v>
      </c>
      <c r="B591" t="s">
        <v>307</v>
      </c>
      <c r="C591" s="3">
        <v>45713.486273148148</v>
      </c>
      <c r="D591" t="s">
        <v>307</v>
      </c>
      <c r="E591" s="4">
        <v>0</v>
      </c>
      <c r="F591" s="4">
        <v>388825.924</v>
      </c>
      <c r="G591" s="4">
        <v>388825.924</v>
      </c>
      <c r="H591" s="5">
        <f>0 / 86400</f>
        <v>0</v>
      </c>
      <c r="I591" t="s">
        <v>22</v>
      </c>
      <c r="J591" t="s">
        <v>22</v>
      </c>
      <c r="K591" s="5">
        <f>2 / 86400</f>
        <v>2.3148148148148147E-5</v>
      </c>
      <c r="L591" s="5">
        <f>1 / 86400</f>
        <v>1.1574074074074073E-5</v>
      </c>
    </row>
    <row r="592" spans="1:12" x14ac:dyDescent="0.25">
      <c r="A592" s="3">
        <v>45713.486284722225</v>
      </c>
      <c r="B592" t="s">
        <v>307</v>
      </c>
      <c r="C592" s="3">
        <v>45713.486296296294</v>
      </c>
      <c r="D592" t="s">
        <v>307</v>
      </c>
      <c r="E592" s="4">
        <v>0</v>
      </c>
      <c r="F592" s="4">
        <v>388825.924</v>
      </c>
      <c r="G592" s="4">
        <v>388825.924</v>
      </c>
      <c r="H592" s="5">
        <f>0 / 86400</f>
        <v>0</v>
      </c>
      <c r="I592" t="s">
        <v>22</v>
      </c>
      <c r="J592" t="s">
        <v>22</v>
      </c>
      <c r="K592" s="5">
        <f>1 / 86400</f>
        <v>1.1574074074074073E-5</v>
      </c>
      <c r="L592" s="5">
        <f>2 / 86400</f>
        <v>2.3148148148148147E-5</v>
      </c>
    </row>
    <row r="593" spans="1:12" x14ac:dyDescent="0.25">
      <c r="A593" s="3">
        <v>45713.486319444448</v>
      </c>
      <c r="B593" t="s">
        <v>307</v>
      </c>
      <c r="C593" s="3">
        <v>45713.486342592594</v>
      </c>
      <c r="D593" t="s">
        <v>307</v>
      </c>
      <c r="E593" s="4">
        <v>0</v>
      </c>
      <c r="F593" s="4">
        <v>388825.924</v>
      </c>
      <c r="G593" s="4">
        <v>388825.924</v>
      </c>
      <c r="H593" s="5">
        <f>0 / 86400</f>
        <v>0</v>
      </c>
      <c r="I593" t="s">
        <v>22</v>
      </c>
      <c r="J593" t="s">
        <v>22</v>
      </c>
      <c r="K593" s="5">
        <f>2 / 86400</f>
        <v>2.3148148148148147E-5</v>
      </c>
      <c r="L593" s="5">
        <f>6 / 86400</f>
        <v>6.9444444444444444E-5</v>
      </c>
    </row>
    <row r="594" spans="1:12" x14ac:dyDescent="0.25">
      <c r="A594" s="3">
        <v>45713.486412037033</v>
      </c>
      <c r="B594" t="s">
        <v>307</v>
      </c>
      <c r="C594" s="3">
        <v>45713.48642361111</v>
      </c>
      <c r="D594" t="s">
        <v>307</v>
      </c>
      <c r="E594" s="4">
        <v>0</v>
      </c>
      <c r="F594" s="4">
        <v>388825.924</v>
      </c>
      <c r="G594" s="4">
        <v>388825.924</v>
      </c>
      <c r="H594" s="5">
        <f>0 / 86400</f>
        <v>0</v>
      </c>
      <c r="I594" t="s">
        <v>22</v>
      </c>
      <c r="J594" t="s">
        <v>22</v>
      </c>
      <c r="K594" s="5">
        <f>1 / 86400</f>
        <v>1.1574074074074073E-5</v>
      </c>
      <c r="L594" s="5">
        <f>3 / 86400</f>
        <v>3.4722222222222222E-5</v>
      </c>
    </row>
    <row r="595" spans="1:12" x14ac:dyDescent="0.25">
      <c r="A595" s="3">
        <v>45713.486458333333</v>
      </c>
      <c r="B595" t="s">
        <v>307</v>
      </c>
      <c r="C595" s="3">
        <v>45713.486493055556</v>
      </c>
      <c r="D595" t="s">
        <v>307</v>
      </c>
      <c r="E595" s="4">
        <v>0</v>
      </c>
      <c r="F595" s="4">
        <v>388825.924</v>
      </c>
      <c r="G595" s="4">
        <v>388825.924</v>
      </c>
      <c r="H595" s="5">
        <f>1 / 86400</f>
        <v>1.1574074074074073E-5</v>
      </c>
      <c r="I595" t="s">
        <v>22</v>
      </c>
      <c r="J595" t="s">
        <v>22</v>
      </c>
      <c r="K595" s="5">
        <f>3 / 86400</f>
        <v>3.4722222222222222E-5</v>
      </c>
      <c r="L595" s="5">
        <f>27 / 86400</f>
        <v>3.1250000000000001E-4</v>
      </c>
    </row>
    <row r="596" spans="1:12" x14ac:dyDescent="0.25">
      <c r="A596" s="3">
        <v>45713.486805555556</v>
      </c>
      <c r="B596" t="s">
        <v>307</v>
      </c>
      <c r="C596" s="3">
        <v>45713.486828703702</v>
      </c>
      <c r="D596" t="s">
        <v>307</v>
      </c>
      <c r="E596" s="4">
        <v>0</v>
      </c>
      <c r="F596" s="4">
        <v>388825.924</v>
      </c>
      <c r="G596" s="4">
        <v>388825.924</v>
      </c>
      <c r="H596" s="5">
        <f>0 / 86400</f>
        <v>0</v>
      </c>
      <c r="I596" t="s">
        <v>22</v>
      </c>
      <c r="J596" t="s">
        <v>22</v>
      </c>
      <c r="K596" s="5">
        <f>2 / 86400</f>
        <v>2.3148148148148147E-5</v>
      </c>
      <c r="L596" s="5">
        <f>68 / 86400</f>
        <v>7.8703703703703705E-4</v>
      </c>
    </row>
    <row r="597" spans="1:12" x14ac:dyDescent="0.25">
      <c r="A597" s="3">
        <v>45713.487615740742</v>
      </c>
      <c r="B597" t="s">
        <v>307</v>
      </c>
      <c r="C597" s="3">
        <v>45713.487638888888</v>
      </c>
      <c r="D597" t="s">
        <v>307</v>
      </c>
      <c r="E597" s="4">
        <v>0</v>
      </c>
      <c r="F597" s="4">
        <v>388825.924</v>
      </c>
      <c r="G597" s="4">
        <v>388825.924</v>
      </c>
      <c r="H597" s="5">
        <f>0 / 86400</f>
        <v>0</v>
      </c>
      <c r="I597" t="s">
        <v>22</v>
      </c>
      <c r="J597" t="s">
        <v>22</v>
      </c>
      <c r="K597" s="5">
        <f>2 / 86400</f>
        <v>2.3148148148148147E-5</v>
      </c>
      <c r="L597" s="5">
        <f>3 / 86400</f>
        <v>3.4722222222222222E-5</v>
      </c>
    </row>
    <row r="598" spans="1:12" x14ac:dyDescent="0.25">
      <c r="A598" s="3">
        <v>45713.487673611111</v>
      </c>
      <c r="B598" t="s">
        <v>307</v>
      </c>
      <c r="C598" s="3">
        <v>45713.487696759257</v>
      </c>
      <c r="D598" t="s">
        <v>307</v>
      </c>
      <c r="E598" s="4">
        <v>0</v>
      </c>
      <c r="F598" s="4">
        <v>388825.924</v>
      </c>
      <c r="G598" s="4">
        <v>388825.924</v>
      </c>
      <c r="H598" s="5">
        <f>0 / 86400</f>
        <v>0</v>
      </c>
      <c r="I598" t="s">
        <v>22</v>
      </c>
      <c r="J598" t="s">
        <v>22</v>
      </c>
      <c r="K598" s="5">
        <f>2 / 86400</f>
        <v>2.3148148148148147E-5</v>
      </c>
      <c r="L598" s="5">
        <f>2 / 86400</f>
        <v>2.3148148148148147E-5</v>
      </c>
    </row>
    <row r="599" spans="1:12" x14ac:dyDescent="0.25">
      <c r="A599" s="3">
        <v>45713.487719907411</v>
      </c>
      <c r="B599" t="s">
        <v>307</v>
      </c>
      <c r="C599" s="3">
        <v>45713.487743055557</v>
      </c>
      <c r="D599" t="s">
        <v>307</v>
      </c>
      <c r="E599" s="4">
        <v>0</v>
      </c>
      <c r="F599" s="4">
        <v>388825.924</v>
      </c>
      <c r="G599" s="4">
        <v>388825.924</v>
      </c>
      <c r="H599" s="5">
        <f>0 / 86400</f>
        <v>0</v>
      </c>
      <c r="I599" t="s">
        <v>22</v>
      </c>
      <c r="J599" t="s">
        <v>22</v>
      </c>
      <c r="K599" s="5">
        <f>2 / 86400</f>
        <v>2.3148148148148147E-5</v>
      </c>
      <c r="L599" s="5">
        <f>2 / 86400</f>
        <v>2.3148148148148147E-5</v>
      </c>
    </row>
    <row r="600" spans="1:12" x14ac:dyDescent="0.25">
      <c r="A600" s="3">
        <v>45713.487766203703</v>
      </c>
      <c r="B600" t="s">
        <v>307</v>
      </c>
      <c r="C600" s="3">
        <v>45713.487777777773</v>
      </c>
      <c r="D600" t="s">
        <v>307</v>
      </c>
      <c r="E600" s="4">
        <v>0</v>
      </c>
      <c r="F600" s="4">
        <v>388825.924</v>
      </c>
      <c r="G600" s="4">
        <v>388825.924</v>
      </c>
      <c r="H600" s="5">
        <f>0 / 86400</f>
        <v>0</v>
      </c>
      <c r="I600" t="s">
        <v>22</v>
      </c>
      <c r="J600" t="s">
        <v>22</v>
      </c>
      <c r="K600" s="5">
        <f>1 / 86400</f>
        <v>1.1574074074074073E-5</v>
      </c>
      <c r="L600" s="5">
        <f>141 / 86400</f>
        <v>1.6319444444444445E-3</v>
      </c>
    </row>
    <row r="601" spans="1:12" x14ac:dyDescent="0.25">
      <c r="A601" s="3">
        <v>45713.48940972222</v>
      </c>
      <c r="B601" t="s">
        <v>307</v>
      </c>
      <c r="C601" s="3">
        <v>45713.489699074074</v>
      </c>
      <c r="D601" t="s">
        <v>307</v>
      </c>
      <c r="E601" s="4">
        <v>0</v>
      </c>
      <c r="F601" s="4">
        <v>388825.924</v>
      </c>
      <c r="G601" s="4">
        <v>388825.924</v>
      </c>
      <c r="H601" s="5">
        <f>19 / 86400</f>
        <v>2.199074074074074E-4</v>
      </c>
      <c r="I601" t="s">
        <v>22</v>
      </c>
      <c r="J601" t="s">
        <v>22</v>
      </c>
      <c r="K601" s="5">
        <f>25 / 86400</f>
        <v>2.8935185185185184E-4</v>
      </c>
      <c r="L601" s="5">
        <f>4 / 86400</f>
        <v>4.6296296296296294E-5</v>
      </c>
    </row>
    <row r="602" spans="1:12" x14ac:dyDescent="0.25">
      <c r="A602" s="3">
        <v>45713.489745370374</v>
      </c>
      <c r="B602" t="s">
        <v>307</v>
      </c>
      <c r="C602" s="3">
        <v>45713.608425925922</v>
      </c>
      <c r="D602" t="s">
        <v>248</v>
      </c>
      <c r="E602" s="4">
        <v>48.122</v>
      </c>
      <c r="F602" s="4">
        <v>388825.924</v>
      </c>
      <c r="G602" s="4">
        <v>388874.04599999997</v>
      </c>
      <c r="H602" s="5">
        <f>3267 / 86400</f>
        <v>3.7812499999999999E-2</v>
      </c>
      <c r="I602" t="s">
        <v>28</v>
      </c>
      <c r="J602" t="s">
        <v>20</v>
      </c>
      <c r="K602" s="5">
        <f>10254 / 86400</f>
        <v>0.11868055555555555</v>
      </c>
      <c r="L602" s="5">
        <f>104 / 86400</f>
        <v>1.2037037037037038E-3</v>
      </c>
    </row>
    <row r="603" spans="1:12" x14ac:dyDescent="0.25">
      <c r="A603" s="3">
        <v>45713.609629629631</v>
      </c>
      <c r="B603" t="s">
        <v>248</v>
      </c>
      <c r="C603" s="3">
        <v>45713.742384259254</v>
      </c>
      <c r="D603" t="s">
        <v>39</v>
      </c>
      <c r="E603" s="4">
        <v>59.112000000000002</v>
      </c>
      <c r="F603" s="4">
        <v>388874.04599999997</v>
      </c>
      <c r="G603" s="4">
        <v>388933.158</v>
      </c>
      <c r="H603" s="5">
        <f>3340 / 86400</f>
        <v>3.8657407407407404E-2</v>
      </c>
      <c r="I603" t="s">
        <v>117</v>
      </c>
      <c r="J603" t="s">
        <v>92</v>
      </c>
      <c r="K603" s="5">
        <f>11469 / 86400</f>
        <v>0.13274305555555554</v>
      </c>
      <c r="L603" s="5">
        <f>849 / 86400</f>
        <v>9.8263888888888897E-3</v>
      </c>
    </row>
    <row r="604" spans="1:12" x14ac:dyDescent="0.25">
      <c r="A604" s="3">
        <v>45713.752210648148</v>
      </c>
      <c r="B604" t="s">
        <v>39</v>
      </c>
      <c r="C604" s="3">
        <v>45713.758726851855</v>
      </c>
      <c r="D604" t="s">
        <v>39</v>
      </c>
      <c r="E604" s="4">
        <v>3.3679999999999999</v>
      </c>
      <c r="F604" s="4">
        <v>388933.158</v>
      </c>
      <c r="G604" s="4">
        <v>388936.52600000001</v>
      </c>
      <c r="H604" s="5">
        <f>140 / 86400</f>
        <v>1.6203703703703703E-3</v>
      </c>
      <c r="I604" t="s">
        <v>193</v>
      </c>
      <c r="J604" t="s">
        <v>136</v>
      </c>
      <c r="K604" s="5">
        <f>563 / 86400</f>
        <v>6.5162037037037037E-3</v>
      </c>
      <c r="L604" s="5">
        <f>20845 / 86400</f>
        <v>0.24126157407407409</v>
      </c>
    </row>
    <row r="605" spans="1:12" x14ac:dyDescent="0.25">
      <c r="A605" s="12"/>
      <c r="B605" s="12"/>
      <c r="C605" s="12"/>
      <c r="D605" s="12"/>
      <c r="E605" s="12"/>
      <c r="F605" s="12"/>
      <c r="G605" s="12"/>
      <c r="H605" s="12"/>
      <c r="I605" s="12"/>
      <c r="J605" s="12"/>
    </row>
    <row r="606" spans="1:12" x14ac:dyDescent="0.25">
      <c r="A606" s="12"/>
      <c r="B606" s="12"/>
      <c r="C606" s="12"/>
      <c r="D606" s="12"/>
      <c r="E606" s="12"/>
      <c r="F606" s="12"/>
      <c r="G606" s="12"/>
      <c r="H606" s="12"/>
      <c r="I606" s="12"/>
      <c r="J606" s="12"/>
    </row>
    <row r="607" spans="1:12" s="10" customFormat="1" ht="20.100000000000001" customHeight="1" x14ac:dyDescent="0.35">
      <c r="A607" s="15" t="s">
        <v>412</v>
      </c>
      <c r="B607" s="15"/>
      <c r="C607" s="15"/>
      <c r="D607" s="15"/>
      <c r="E607" s="15"/>
      <c r="F607" s="15"/>
      <c r="G607" s="15"/>
      <c r="H607" s="15"/>
      <c r="I607" s="15"/>
      <c r="J607" s="15"/>
    </row>
    <row r="608" spans="1:12" x14ac:dyDescent="0.25">
      <c r="A608" s="12"/>
      <c r="B608" s="12"/>
      <c r="C608" s="12"/>
      <c r="D608" s="12"/>
      <c r="E608" s="12"/>
      <c r="F608" s="12"/>
      <c r="G608" s="12"/>
      <c r="H608" s="12"/>
      <c r="I608" s="12"/>
      <c r="J608" s="12"/>
    </row>
    <row r="609" spans="1:12" ht="30" x14ac:dyDescent="0.25">
      <c r="A609" s="2" t="s">
        <v>6</v>
      </c>
      <c r="B609" s="2" t="s">
        <v>7</v>
      </c>
      <c r="C609" s="2" t="s">
        <v>8</v>
      </c>
      <c r="D609" s="2" t="s">
        <v>9</v>
      </c>
      <c r="E609" s="2" t="s">
        <v>10</v>
      </c>
      <c r="F609" s="2" t="s">
        <v>11</v>
      </c>
      <c r="G609" s="2" t="s">
        <v>12</v>
      </c>
      <c r="H609" s="2" t="s">
        <v>13</v>
      </c>
      <c r="I609" s="2" t="s">
        <v>14</v>
      </c>
      <c r="J609" s="2" t="s">
        <v>15</v>
      </c>
      <c r="K609" s="2" t="s">
        <v>16</v>
      </c>
      <c r="L609" s="2" t="s">
        <v>17</v>
      </c>
    </row>
    <row r="610" spans="1:12" x14ac:dyDescent="0.25">
      <c r="A610" s="3">
        <v>45713.229189814811</v>
      </c>
      <c r="B610" t="s">
        <v>39</v>
      </c>
      <c r="C610" s="3">
        <v>45713.378888888888</v>
      </c>
      <c r="D610" t="s">
        <v>316</v>
      </c>
      <c r="E610" s="4">
        <v>65.774000000000001</v>
      </c>
      <c r="F610" s="4">
        <v>392511.02500000002</v>
      </c>
      <c r="G610" s="4">
        <v>392576.799</v>
      </c>
      <c r="H610" s="5">
        <f>3959 / 86400</f>
        <v>4.5821759259259257E-2</v>
      </c>
      <c r="I610" t="s">
        <v>117</v>
      </c>
      <c r="J610" t="s">
        <v>26</v>
      </c>
      <c r="K610" s="5">
        <f>12934 / 86400</f>
        <v>0.14969907407407407</v>
      </c>
      <c r="L610" s="5">
        <f>19956 / 86400</f>
        <v>0.23097222222222222</v>
      </c>
    </row>
    <row r="611" spans="1:12" x14ac:dyDescent="0.25">
      <c r="A611" s="3">
        <v>45713.380671296298</v>
      </c>
      <c r="B611" t="s">
        <v>316</v>
      </c>
      <c r="C611" s="3">
        <v>45713.381886574076</v>
      </c>
      <c r="D611" t="s">
        <v>82</v>
      </c>
      <c r="E611" s="4">
        <v>3.7999999999999999E-2</v>
      </c>
      <c r="F611" s="4">
        <v>392576.799</v>
      </c>
      <c r="G611" s="4">
        <v>392576.837</v>
      </c>
      <c r="H611" s="5">
        <f>60 / 86400</f>
        <v>6.9444444444444447E-4</v>
      </c>
      <c r="I611" t="s">
        <v>146</v>
      </c>
      <c r="J611" t="s">
        <v>144</v>
      </c>
      <c r="K611" s="5">
        <f>104 / 86400</f>
        <v>1.2037037037037038E-3</v>
      </c>
      <c r="L611" s="5">
        <f>234 / 86400</f>
        <v>2.7083333333333334E-3</v>
      </c>
    </row>
    <row r="612" spans="1:12" x14ac:dyDescent="0.25">
      <c r="A612" s="3">
        <v>45713.384594907402</v>
      </c>
      <c r="B612" t="s">
        <v>82</v>
      </c>
      <c r="C612" s="3">
        <v>45713.391423611116</v>
      </c>
      <c r="D612" t="s">
        <v>132</v>
      </c>
      <c r="E612" s="4">
        <v>1.31</v>
      </c>
      <c r="F612" s="4">
        <v>392576.837</v>
      </c>
      <c r="G612" s="4">
        <v>392578.147</v>
      </c>
      <c r="H612" s="5">
        <f>200 / 86400</f>
        <v>2.3148148148148147E-3</v>
      </c>
      <c r="I612" t="s">
        <v>150</v>
      </c>
      <c r="J612" t="s">
        <v>97</v>
      </c>
      <c r="K612" s="5">
        <f>590 / 86400</f>
        <v>6.828703703703704E-3</v>
      </c>
      <c r="L612" s="5">
        <f>2973 / 86400</f>
        <v>3.4409722222222223E-2</v>
      </c>
    </row>
    <row r="613" spans="1:12" x14ac:dyDescent="0.25">
      <c r="A613" s="3">
        <v>45713.425833333335</v>
      </c>
      <c r="B613" t="s">
        <v>132</v>
      </c>
      <c r="C613" s="3">
        <v>45713.56386574074</v>
      </c>
      <c r="D613" t="s">
        <v>167</v>
      </c>
      <c r="E613" s="4">
        <v>50.985999999999997</v>
      </c>
      <c r="F613" s="4">
        <v>392578.147</v>
      </c>
      <c r="G613" s="4">
        <v>392629.13299999997</v>
      </c>
      <c r="H613" s="5">
        <f>3785 / 86400</f>
        <v>4.3807870370370372E-2</v>
      </c>
      <c r="I613" t="s">
        <v>154</v>
      </c>
      <c r="J613" t="s">
        <v>76</v>
      </c>
      <c r="K613" s="5">
        <f>11926 / 86400</f>
        <v>0.13803240740740741</v>
      </c>
      <c r="L613" s="5">
        <f>657 / 86400</f>
        <v>7.6041666666666671E-3</v>
      </c>
    </row>
    <row r="614" spans="1:12" x14ac:dyDescent="0.25">
      <c r="A614" s="3">
        <v>45713.571469907409</v>
      </c>
      <c r="B614" t="s">
        <v>167</v>
      </c>
      <c r="C614" s="3">
        <v>45713.830474537041</v>
      </c>
      <c r="D614" t="s">
        <v>346</v>
      </c>
      <c r="E614" s="4">
        <v>96.772999999999996</v>
      </c>
      <c r="F614" s="4">
        <v>392629.13299999997</v>
      </c>
      <c r="G614" s="4">
        <v>392725.90600000002</v>
      </c>
      <c r="H614" s="5">
        <f>7477 / 86400</f>
        <v>8.6539351851851853E-2</v>
      </c>
      <c r="I614" t="s">
        <v>60</v>
      </c>
      <c r="J614" t="s">
        <v>32</v>
      </c>
      <c r="K614" s="5">
        <f>22377 / 86400</f>
        <v>0.25899305555555557</v>
      </c>
      <c r="L614" s="5">
        <f>460 / 86400</f>
        <v>5.324074074074074E-3</v>
      </c>
    </row>
    <row r="615" spans="1:12" x14ac:dyDescent="0.25">
      <c r="A615" s="3">
        <v>45713.835798611108</v>
      </c>
      <c r="B615" t="s">
        <v>346</v>
      </c>
      <c r="C615" s="3">
        <v>45713.845868055556</v>
      </c>
      <c r="D615" t="s">
        <v>39</v>
      </c>
      <c r="E615" s="4">
        <v>6.2039999999999997</v>
      </c>
      <c r="F615" s="4">
        <v>392725.90600000002</v>
      </c>
      <c r="G615" s="4">
        <v>392732.11</v>
      </c>
      <c r="H615" s="5">
        <f>186 / 86400</f>
        <v>2.1527777777777778E-3</v>
      </c>
      <c r="I615" t="s">
        <v>309</v>
      </c>
      <c r="J615" t="s">
        <v>150</v>
      </c>
      <c r="K615" s="5">
        <f>870 / 86400</f>
        <v>1.0069444444444445E-2</v>
      </c>
      <c r="L615" s="5">
        <f>13316 / 86400</f>
        <v>0.15412037037037038</v>
      </c>
    </row>
    <row r="616" spans="1:12" x14ac:dyDescent="0.25">
      <c r="A616" s="12"/>
      <c r="B616" s="12"/>
      <c r="C616" s="12"/>
      <c r="D616" s="12"/>
      <c r="E616" s="12"/>
      <c r="F616" s="12"/>
      <c r="G616" s="12"/>
      <c r="H616" s="12"/>
      <c r="I616" s="12"/>
      <c r="J616" s="12"/>
    </row>
    <row r="617" spans="1:12" x14ac:dyDescent="0.25">
      <c r="A617" s="12"/>
      <c r="B617" s="12"/>
      <c r="C617" s="12"/>
      <c r="D617" s="12"/>
      <c r="E617" s="12"/>
      <c r="F617" s="12"/>
      <c r="G617" s="12"/>
      <c r="H617" s="12"/>
      <c r="I617" s="12"/>
      <c r="J617" s="12"/>
    </row>
    <row r="618" spans="1:12" s="10" customFormat="1" ht="20.100000000000001" customHeight="1" x14ac:dyDescent="0.35">
      <c r="A618" s="15" t="s">
        <v>413</v>
      </c>
      <c r="B618" s="15"/>
      <c r="C618" s="15"/>
      <c r="D618" s="15"/>
      <c r="E618" s="15"/>
      <c r="F618" s="15"/>
      <c r="G618" s="15"/>
      <c r="H618" s="15"/>
      <c r="I618" s="15"/>
      <c r="J618" s="15"/>
    </row>
    <row r="619" spans="1:12" x14ac:dyDescent="0.25">
      <c r="A619" s="12"/>
      <c r="B619" s="12"/>
      <c r="C619" s="12"/>
      <c r="D619" s="12"/>
      <c r="E619" s="12"/>
      <c r="F619" s="12"/>
      <c r="G619" s="12"/>
      <c r="H619" s="12"/>
      <c r="I619" s="12"/>
      <c r="J619" s="12"/>
    </row>
    <row r="620" spans="1:12" ht="30" x14ac:dyDescent="0.25">
      <c r="A620" s="2" t="s">
        <v>6</v>
      </c>
      <c r="B620" s="2" t="s">
        <v>7</v>
      </c>
      <c r="C620" s="2" t="s">
        <v>8</v>
      </c>
      <c r="D620" s="2" t="s">
        <v>9</v>
      </c>
      <c r="E620" s="2" t="s">
        <v>10</v>
      </c>
      <c r="F620" s="2" t="s">
        <v>11</v>
      </c>
      <c r="G620" s="2" t="s">
        <v>12</v>
      </c>
      <c r="H620" s="2" t="s">
        <v>13</v>
      </c>
      <c r="I620" s="2" t="s">
        <v>14</v>
      </c>
      <c r="J620" s="2" t="s">
        <v>15</v>
      </c>
      <c r="K620" s="2" t="s">
        <v>16</v>
      </c>
      <c r="L620" s="2" t="s">
        <v>17</v>
      </c>
    </row>
    <row r="621" spans="1:12" x14ac:dyDescent="0.25">
      <c r="A621" s="3">
        <v>45713.147106481483</v>
      </c>
      <c r="B621" t="s">
        <v>66</v>
      </c>
      <c r="C621" s="3">
        <v>45713.303668981476</v>
      </c>
      <c r="D621" t="s">
        <v>307</v>
      </c>
      <c r="E621" s="4">
        <v>81.530999999940391</v>
      </c>
      <c r="F621" s="4">
        <v>525917.89300000004</v>
      </c>
      <c r="G621" s="4">
        <v>525999.424</v>
      </c>
      <c r="H621" s="5">
        <f>3425 / 86400</f>
        <v>3.9641203703703706E-2</v>
      </c>
      <c r="I621" t="s">
        <v>154</v>
      </c>
      <c r="J621" t="s">
        <v>136</v>
      </c>
      <c r="K621" s="5">
        <f>13527 / 86400</f>
        <v>0.15656249999999999</v>
      </c>
      <c r="L621" s="5">
        <f>14172 / 86400</f>
        <v>0.16402777777777777</v>
      </c>
    </row>
    <row r="622" spans="1:12" x14ac:dyDescent="0.25">
      <c r="A622" s="3">
        <v>45713.320590277777</v>
      </c>
      <c r="B622" t="s">
        <v>307</v>
      </c>
      <c r="C622" s="3">
        <v>45713.573217592595</v>
      </c>
      <c r="D622" t="s">
        <v>347</v>
      </c>
      <c r="E622" s="4">
        <v>80.709000000059604</v>
      </c>
      <c r="F622" s="4">
        <v>525999.424</v>
      </c>
      <c r="G622" s="4">
        <v>526080.13300000003</v>
      </c>
      <c r="H622" s="5">
        <f>9059 / 86400</f>
        <v>0.10484953703703703</v>
      </c>
      <c r="I622" t="s">
        <v>19</v>
      </c>
      <c r="J622" t="s">
        <v>45</v>
      </c>
      <c r="K622" s="5">
        <f>21826 / 86400</f>
        <v>0.25261574074074072</v>
      </c>
      <c r="L622" s="5">
        <f>271 / 86400</f>
        <v>3.1365740740740742E-3</v>
      </c>
    </row>
    <row r="623" spans="1:12" x14ac:dyDescent="0.25">
      <c r="A623" s="3">
        <v>45713.576354166667</v>
      </c>
      <c r="B623" t="s">
        <v>347</v>
      </c>
      <c r="C623" s="3">
        <v>45713.577662037038</v>
      </c>
      <c r="D623" t="s">
        <v>66</v>
      </c>
      <c r="E623" s="4">
        <v>0.31699999988079069</v>
      </c>
      <c r="F623" s="4">
        <v>526080.13300000003</v>
      </c>
      <c r="G623" s="4">
        <v>526080.44999999995</v>
      </c>
      <c r="H623" s="5">
        <f>20 / 86400</f>
        <v>2.3148148148148149E-4</v>
      </c>
      <c r="I623" t="s">
        <v>32</v>
      </c>
      <c r="J623" t="s">
        <v>134</v>
      </c>
      <c r="K623" s="5">
        <f>113 / 86400</f>
        <v>1.3078703703703703E-3</v>
      </c>
      <c r="L623" s="5">
        <f>149 / 86400</f>
        <v>1.724537037037037E-3</v>
      </c>
    </row>
    <row r="624" spans="1:12" x14ac:dyDescent="0.25">
      <c r="A624" s="3">
        <v>45713.579386574071</v>
      </c>
      <c r="B624" t="s">
        <v>66</v>
      </c>
      <c r="C624" s="3">
        <v>45713.579467592594</v>
      </c>
      <c r="D624" t="s">
        <v>66</v>
      </c>
      <c r="E624" s="4">
        <v>1.0000000596046448E-3</v>
      </c>
      <c r="F624" s="4">
        <v>526080.44999999995</v>
      </c>
      <c r="G624" s="4">
        <v>526080.451</v>
      </c>
      <c r="H624" s="5">
        <f>0 / 86400</f>
        <v>0</v>
      </c>
      <c r="I624" t="s">
        <v>22</v>
      </c>
      <c r="J624" t="s">
        <v>144</v>
      </c>
      <c r="K624" s="5">
        <f>7 / 86400</f>
        <v>8.1018518518518516E-5</v>
      </c>
      <c r="L624" s="5">
        <f>17471 / 86400</f>
        <v>0.20221064814814815</v>
      </c>
    </row>
    <row r="625" spans="1:12" x14ac:dyDescent="0.25">
      <c r="A625" s="3">
        <v>45713.781678240739</v>
      </c>
      <c r="B625" t="s">
        <v>66</v>
      </c>
      <c r="C625" s="3">
        <v>45713.783194444448</v>
      </c>
      <c r="D625" t="s">
        <v>66</v>
      </c>
      <c r="E625" s="4">
        <v>8.4999999940395352E-2</v>
      </c>
      <c r="F625" s="4">
        <v>526080.451</v>
      </c>
      <c r="G625" s="4">
        <v>526080.53599999996</v>
      </c>
      <c r="H625" s="5">
        <f>79 / 86400</f>
        <v>9.1435185185185185E-4</v>
      </c>
      <c r="I625" t="s">
        <v>53</v>
      </c>
      <c r="J625" t="s">
        <v>147</v>
      </c>
      <c r="K625" s="5">
        <f>130 / 86400</f>
        <v>1.5046296296296296E-3</v>
      </c>
      <c r="L625" s="5">
        <f>10 / 86400</f>
        <v>1.1574074074074075E-4</v>
      </c>
    </row>
    <row r="626" spans="1:12" x14ac:dyDescent="0.25">
      <c r="A626" s="3">
        <v>45713.783310185187</v>
      </c>
      <c r="B626" t="s">
        <v>66</v>
      </c>
      <c r="C626" s="3">
        <v>45713.783645833333</v>
      </c>
      <c r="D626" t="s">
        <v>66</v>
      </c>
      <c r="E626" s="4">
        <v>0</v>
      </c>
      <c r="F626" s="4">
        <v>526080.53599999996</v>
      </c>
      <c r="G626" s="4">
        <v>526080.53599999996</v>
      </c>
      <c r="H626" s="5">
        <f>25 / 86400</f>
        <v>2.8935185185185184E-4</v>
      </c>
      <c r="I626" t="s">
        <v>22</v>
      </c>
      <c r="J626" t="s">
        <v>22</v>
      </c>
      <c r="K626" s="5">
        <f>29 / 86400</f>
        <v>3.3564814814814812E-4</v>
      </c>
      <c r="L626" s="5">
        <f>18692 / 86400</f>
        <v>0.21634259259259259</v>
      </c>
    </row>
    <row r="627" spans="1:12" x14ac:dyDescent="0.25">
      <c r="A627" s="12"/>
      <c r="B627" s="12"/>
      <c r="C627" s="12"/>
      <c r="D627" s="12"/>
      <c r="E627" s="12"/>
      <c r="F627" s="12"/>
      <c r="G627" s="12"/>
      <c r="H627" s="12"/>
      <c r="I627" s="12"/>
      <c r="J627" s="12"/>
    </row>
    <row r="628" spans="1:12" x14ac:dyDescent="0.25">
      <c r="A628" s="12"/>
      <c r="B628" s="12"/>
      <c r="C628" s="12"/>
      <c r="D628" s="12"/>
      <c r="E628" s="12"/>
      <c r="F628" s="12"/>
      <c r="G628" s="12"/>
      <c r="H628" s="12"/>
      <c r="I628" s="12"/>
      <c r="J628" s="12"/>
    </row>
    <row r="629" spans="1:12" s="10" customFormat="1" ht="20.100000000000001" customHeight="1" x14ac:dyDescent="0.35">
      <c r="A629" s="15" t="s">
        <v>414</v>
      </c>
      <c r="B629" s="15"/>
      <c r="C629" s="15"/>
      <c r="D629" s="15"/>
      <c r="E629" s="15"/>
      <c r="F629" s="15"/>
      <c r="G629" s="15"/>
      <c r="H629" s="15"/>
      <c r="I629" s="15"/>
      <c r="J629" s="15"/>
    </row>
    <row r="630" spans="1:12" x14ac:dyDescent="0.25">
      <c r="A630" s="12"/>
      <c r="B630" s="12"/>
      <c r="C630" s="12"/>
      <c r="D630" s="12"/>
      <c r="E630" s="12"/>
      <c r="F630" s="12"/>
      <c r="G630" s="12"/>
      <c r="H630" s="12"/>
      <c r="I630" s="12"/>
      <c r="J630" s="12"/>
    </row>
    <row r="631" spans="1:12" ht="30" x14ac:dyDescent="0.25">
      <c r="A631" s="2" t="s">
        <v>6</v>
      </c>
      <c r="B631" s="2" t="s">
        <v>7</v>
      </c>
      <c r="C631" s="2" t="s">
        <v>8</v>
      </c>
      <c r="D631" s="2" t="s">
        <v>9</v>
      </c>
      <c r="E631" s="2" t="s">
        <v>10</v>
      </c>
      <c r="F631" s="2" t="s">
        <v>11</v>
      </c>
      <c r="G631" s="2" t="s">
        <v>12</v>
      </c>
      <c r="H631" s="2" t="s">
        <v>13</v>
      </c>
      <c r="I631" s="2" t="s">
        <v>14</v>
      </c>
      <c r="J631" s="2" t="s">
        <v>15</v>
      </c>
      <c r="K631" s="2" t="s">
        <v>16</v>
      </c>
      <c r="L631" s="2" t="s">
        <v>17</v>
      </c>
    </row>
    <row r="632" spans="1:12" x14ac:dyDescent="0.25">
      <c r="A632" s="3">
        <v>45713</v>
      </c>
      <c r="B632" t="s">
        <v>67</v>
      </c>
      <c r="C632" s="3">
        <v>45713.025266203702</v>
      </c>
      <c r="D632" t="s">
        <v>316</v>
      </c>
      <c r="E632" s="4">
        <v>15.754</v>
      </c>
      <c r="F632" s="4">
        <v>413505.32299999997</v>
      </c>
      <c r="G632" s="4">
        <v>413521.07699999999</v>
      </c>
      <c r="H632" s="5">
        <f>280 / 86400</f>
        <v>3.2407407407407406E-3</v>
      </c>
      <c r="I632" t="s">
        <v>210</v>
      </c>
      <c r="J632" t="s">
        <v>150</v>
      </c>
      <c r="K632" s="5">
        <f>2183 / 86400</f>
        <v>2.5266203703703704E-2</v>
      </c>
      <c r="L632" s="5">
        <f>1276 / 86400</f>
        <v>1.4768518518518519E-2</v>
      </c>
    </row>
    <row r="633" spans="1:12" x14ac:dyDescent="0.25">
      <c r="A633" s="3">
        <v>45713.040034722224</v>
      </c>
      <c r="B633" t="s">
        <v>316</v>
      </c>
      <c r="C633" s="3">
        <v>45713.047951388886</v>
      </c>
      <c r="D633" t="s">
        <v>348</v>
      </c>
      <c r="E633" s="4">
        <v>1.99</v>
      </c>
      <c r="F633" s="4">
        <v>413521.07699999999</v>
      </c>
      <c r="G633" s="4">
        <v>413523.06699999998</v>
      </c>
      <c r="H633" s="5">
        <f>100 / 86400</f>
        <v>1.1574074074074073E-3</v>
      </c>
      <c r="I633" t="s">
        <v>111</v>
      </c>
      <c r="J633" t="s">
        <v>134</v>
      </c>
      <c r="K633" s="5">
        <f>684 / 86400</f>
        <v>7.9166666666666673E-3</v>
      </c>
      <c r="L633" s="5">
        <f>42906 / 86400</f>
        <v>0.49659722222222225</v>
      </c>
    </row>
    <row r="634" spans="1:12" x14ac:dyDescent="0.25">
      <c r="A634" s="3">
        <v>45713.544548611113</v>
      </c>
      <c r="B634" t="s">
        <v>348</v>
      </c>
      <c r="C634" s="3">
        <v>45713.557245370372</v>
      </c>
      <c r="D634" t="s">
        <v>115</v>
      </c>
      <c r="E634" s="4">
        <v>2.0209999999999999</v>
      </c>
      <c r="F634" s="4">
        <v>413523.06699999998</v>
      </c>
      <c r="G634" s="4">
        <v>413525.08799999999</v>
      </c>
      <c r="H634" s="5">
        <f>479 / 86400</f>
        <v>5.5439814814814813E-3</v>
      </c>
      <c r="I634" t="s">
        <v>119</v>
      </c>
      <c r="J634" t="s">
        <v>34</v>
      </c>
      <c r="K634" s="5">
        <f>1097 / 86400</f>
        <v>1.269675925925926E-2</v>
      </c>
      <c r="L634" s="5">
        <f>70 / 86400</f>
        <v>8.1018518518518516E-4</v>
      </c>
    </row>
    <row r="635" spans="1:12" x14ac:dyDescent="0.25">
      <c r="A635" s="3">
        <v>45713.558055555557</v>
      </c>
      <c r="B635" t="s">
        <v>115</v>
      </c>
      <c r="C635" s="3">
        <v>45713.559062500004</v>
      </c>
      <c r="D635" t="s">
        <v>165</v>
      </c>
      <c r="E635" s="4">
        <v>0.36299999999999999</v>
      </c>
      <c r="F635" s="4">
        <v>413525.08799999999</v>
      </c>
      <c r="G635" s="4">
        <v>413525.451</v>
      </c>
      <c r="H635" s="5">
        <f>0 / 86400</f>
        <v>0</v>
      </c>
      <c r="I635" t="s">
        <v>164</v>
      </c>
      <c r="J635" t="s">
        <v>76</v>
      </c>
      <c r="K635" s="5">
        <f>87 / 86400</f>
        <v>1.0069444444444444E-3</v>
      </c>
      <c r="L635" s="5">
        <f>56 / 86400</f>
        <v>6.4814814814814813E-4</v>
      </c>
    </row>
    <row r="636" spans="1:12" x14ac:dyDescent="0.25">
      <c r="A636" s="3">
        <v>45713.559710648144</v>
      </c>
      <c r="B636" t="s">
        <v>165</v>
      </c>
      <c r="C636" s="3">
        <v>45713.562997685185</v>
      </c>
      <c r="D636" t="s">
        <v>333</v>
      </c>
      <c r="E636" s="4">
        <v>0.121</v>
      </c>
      <c r="F636" s="4">
        <v>413525.451</v>
      </c>
      <c r="G636" s="4">
        <v>413525.57199999999</v>
      </c>
      <c r="H636" s="5">
        <f>239 / 86400</f>
        <v>2.7662037037037039E-3</v>
      </c>
      <c r="I636" t="s">
        <v>53</v>
      </c>
      <c r="J636" t="s">
        <v>147</v>
      </c>
      <c r="K636" s="5">
        <f>284 / 86400</f>
        <v>3.2870370370370371E-3</v>
      </c>
      <c r="L636" s="5">
        <f>313 / 86400</f>
        <v>3.6226851851851854E-3</v>
      </c>
    </row>
    <row r="637" spans="1:12" x14ac:dyDescent="0.25">
      <c r="A637" s="3">
        <v>45713.566620370373</v>
      </c>
      <c r="B637" t="s">
        <v>333</v>
      </c>
      <c r="C637" s="3">
        <v>45713.568437499998</v>
      </c>
      <c r="D637" t="s">
        <v>333</v>
      </c>
      <c r="E637" s="4">
        <v>1.7000000000000001E-2</v>
      </c>
      <c r="F637" s="4">
        <v>413525.57199999999</v>
      </c>
      <c r="G637" s="4">
        <v>413525.58899999998</v>
      </c>
      <c r="H637" s="5">
        <f>138 / 86400</f>
        <v>1.5972222222222223E-3</v>
      </c>
      <c r="I637" t="s">
        <v>146</v>
      </c>
      <c r="J637" t="s">
        <v>22</v>
      </c>
      <c r="K637" s="5">
        <f>156 / 86400</f>
        <v>1.8055555555555555E-3</v>
      </c>
      <c r="L637" s="5">
        <f>2019 / 86400</f>
        <v>2.3368055555555555E-2</v>
      </c>
    </row>
    <row r="638" spans="1:12" x14ac:dyDescent="0.25">
      <c r="A638" s="3">
        <v>45713.591805555552</v>
      </c>
      <c r="B638" t="s">
        <v>333</v>
      </c>
      <c r="C638" s="3">
        <v>45713.788888888885</v>
      </c>
      <c r="D638" t="s">
        <v>165</v>
      </c>
      <c r="E638" s="4">
        <v>80.849000000000004</v>
      </c>
      <c r="F638" s="4">
        <v>413525.58899999998</v>
      </c>
      <c r="G638" s="4">
        <v>413606.43800000002</v>
      </c>
      <c r="H638" s="5">
        <f>4787 / 86400</f>
        <v>5.5405092592592596E-2</v>
      </c>
      <c r="I638" t="s">
        <v>69</v>
      </c>
      <c r="J638" t="s">
        <v>20</v>
      </c>
      <c r="K638" s="5">
        <f>17028 / 86400</f>
        <v>0.19708333333333333</v>
      </c>
      <c r="L638" s="5">
        <f>723 / 86400</f>
        <v>8.3680555555555557E-3</v>
      </c>
    </row>
    <row r="639" spans="1:12" x14ac:dyDescent="0.25">
      <c r="A639" s="3">
        <v>45713.797256944439</v>
      </c>
      <c r="B639" t="s">
        <v>137</v>
      </c>
      <c r="C639" s="3">
        <v>45713.797638888893</v>
      </c>
      <c r="D639" t="s">
        <v>137</v>
      </c>
      <c r="E639" s="4">
        <v>0</v>
      </c>
      <c r="F639" s="4">
        <v>413606.43800000002</v>
      </c>
      <c r="G639" s="4">
        <v>413606.43800000002</v>
      </c>
      <c r="H639" s="5">
        <f>20 / 86400</f>
        <v>2.3148148148148149E-4</v>
      </c>
      <c r="I639" t="s">
        <v>22</v>
      </c>
      <c r="J639" t="s">
        <v>22</v>
      </c>
      <c r="K639" s="5">
        <f>33 / 86400</f>
        <v>3.8194444444444446E-4</v>
      </c>
      <c r="L639" s="5">
        <f>147 / 86400</f>
        <v>1.7013888888888888E-3</v>
      </c>
    </row>
    <row r="640" spans="1:12" x14ac:dyDescent="0.25">
      <c r="A640" s="3">
        <v>45713.799340277779</v>
      </c>
      <c r="B640" t="s">
        <v>165</v>
      </c>
      <c r="C640" s="3">
        <v>45713.800983796296</v>
      </c>
      <c r="D640" t="s">
        <v>82</v>
      </c>
      <c r="E640" s="4">
        <v>0.56299999999999994</v>
      </c>
      <c r="F640" s="4">
        <v>413606.43800000002</v>
      </c>
      <c r="G640" s="4">
        <v>413607.00099999999</v>
      </c>
      <c r="H640" s="5">
        <f>0 / 86400</f>
        <v>0</v>
      </c>
      <c r="I640" t="s">
        <v>150</v>
      </c>
      <c r="J640" t="s">
        <v>29</v>
      </c>
      <c r="K640" s="5">
        <f>142 / 86400</f>
        <v>1.6435185185185185E-3</v>
      </c>
      <c r="L640" s="5">
        <f>317 / 86400</f>
        <v>3.6689814814814814E-3</v>
      </c>
    </row>
    <row r="641" spans="1:12" x14ac:dyDescent="0.25">
      <c r="A641" s="3">
        <v>45713.804652777777</v>
      </c>
      <c r="B641" t="s">
        <v>82</v>
      </c>
      <c r="C641" s="3">
        <v>45713.807812500003</v>
      </c>
      <c r="D641" t="s">
        <v>82</v>
      </c>
      <c r="E641" s="4">
        <v>0</v>
      </c>
      <c r="F641" s="4">
        <v>413607.00099999999</v>
      </c>
      <c r="G641" s="4">
        <v>413607.00099999999</v>
      </c>
      <c r="H641" s="5">
        <f>259 / 86400</f>
        <v>2.9976851851851853E-3</v>
      </c>
      <c r="I641" t="s">
        <v>22</v>
      </c>
      <c r="J641" t="s">
        <v>22</v>
      </c>
      <c r="K641" s="5">
        <f>273 / 86400</f>
        <v>3.1597222222222222E-3</v>
      </c>
      <c r="L641" s="5">
        <f>196 / 86400</f>
        <v>2.2685185185185187E-3</v>
      </c>
    </row>
    <row r="642" spans="1:12" x14ac:dyDescent="0.25">
      <c r="A642" s="3">
        <v>45713.810081018513</v>
      </c>
      <c r="B642" t="s">
        <v>82</v>
      </c>
      <c r="C642" s="3">
        <v>45713.812453703707</v>
      </c>
      <c r="D642" t="s">
        <v>115</v>
      </c>
      <c r="E642" s="4">
        <v>0.22800000000000001</v>
      </c>
      <c r="F642" s="4">
        <v>413607.00099999999</v>
      </c>
      <c r="G642" s="4">
        <v>413607.22899999999</v>
      </c>
      <c r="H642" s="5">
        <f>119 / 86400</f>
        <v>1.3773148148148147E-3</v>
      </c>
      <c r="I642" t="s">
        <v>125</v>
      </c>
      <c r="J642" t="s">
        <v>141</v>
      </c>
      <c r="K642" s="5">
        <f>204 / 86400</f>
        <v>2.3611111111111111E-3</v>
      </c>
      <c r="L642" s="5">
        <f>685 / 86400</f>
        <v>7.9282407407407409E-3</v>
      </c>
    </row>
    <row r="643" spans="1:12" x14ac:dyDescent="0.25">
      <c r="A643" s="3">
        <v>45713.820381944446</v>
      </c>
      <c r="B643" t="s">
        <v>115</v>
      </c>
      <c r="C643" s="3">
        <v>45713.99998842593</v>
      </c>
      <c r="D643" t="s">
        <v>68</v>
      </c>
      <c r="E643" s="4">
        <v>78.210999999999999</v>
      </c>
      <c r="F643" s="4">
        <v>413607.22899999999</v>
      </c>
      <c r="G643" s="4">
        <v>413685.44</v>
      </c>
      <c r="H643" s="5">
        <f>3677 / 86400</f>
        <v>4.2557870370370371E-2</v>
      </c>
      <c r="I643" t="s">
        <v>327</v>
      </c>
      <c r="J643" t="s">
        <v>26</v>
      </c>
      <c r="K643" s="5">
        <f>15518 / 86400</f>
        <v>0.17960648148148148</v>
      </c>
      <c r="L643" s="5">
        <f>0 / 86400</f>
        <v>0</v>
      </c>
    </row>
    <row r="644" spans="1:12" x14ac:dyDescent="0.25">
      <c r="A644" s="12"/>
      <c r="B644" s="12"/>
      <c r="C644" s="12"/>
      <c r="D644" s="12"/>
      <c r="E644" s="12"/>
      <c r="F644" s="12"/>
      <c r="G644" s="12"/>
      <c r="H644" s="12"/>
      <c r="I644" s="12"/>
      <c r="J644" s="12"/>
    </row>
    <row r="645" spans="1:12" x14ac:dyDescent="0.25">
      <c r="A645" s="12"/>
      <c r="B645" s="12"/>
      <c r="C645" s="12"/>
      <c r="D645" s="12"/>
      <c r="E645" s="12"/>
      <c r="F645" s="12"/>
      <c r="G645" s="12"/>
      <c r="H645" s="12"/>
      <c r="I645" s="12"/>
      <c r="J645" s="12"/>
    </row>
    <row r="646" spans="1:12" s="10" customFormat="1" ht="20.100000000000001" customHeight="1" x14ac:dyDescent="0.35">
      <c r="A646" s="15" t="s">
        <v>415</v>
      </c>
      <c r="B646" s="15"/>
      <c r="C646" s="15"/>
      <c r="D646" s="15"/>
      <c r="E646" s="15"/>
      <c r="F646" s="15"/>
      <c r="G646" s="15"/>
      <c r="H646" s="15"/>
      <c r="I646" s="15"/>
      <c r="J646" s="15"/>
    </row>
    <row r="647" spans="1:12" x14ac:dyDescent="0.25">
      <c r="A647" s="12"/>
      <c r="B647" s="12"/>
      <c r="C647" s="12"/>
      <c r="D647" s="12"/>
      <c r="E647" s="12"/>
      <c r="F647" s="12"/>
      <c r="G647" s="12"/>
      <c r="H647" s="12"/>
      <c r="I647" s="12"/>
      <c r="J647" s="12"/>
    </row>
    <row r="648" spans="1:12" ht="30" x14ac:dyDescent="0.25">
      <c r="A648" s="2" t="s">
        <v>6</v>
      </c>
      <c r="B648" s="2" t="s">
        <v>7</v>
      </c>
      <c r="C648" s="2" t="s">
        <v>8</v>
      </c>
      <c r="D648" s="2" t="s">
        <v>9</v>
      </c>
      <c r="E648" s="2" t="s">
        <v>10</v>
      </c>
      <c r="F648" s="2" t="s">
        <v>11</v>
      </c>
      <c r="G648" s="2" t="s">
        <v>12</v>
      </c>
      <c r="H648" s="2" t="s">
        <v>13</v>
      </c>
      <c r="I648" s="2" t="s">
        <v>14</v>
      </c>
      <c r="J648" s="2" t="s">
        <v>15</v>
      </c>
      <c r="K648" s="2" t="s">
        <v>16</v>
      </c>
      <c r="L648" s="2" t="s">
        <v>17</v>
      </c>
    </row>
    <row r="649" spans="1:12" x14ac:dyDescent="0.25">
      <c r="A649" s="3">
        <v>45713.238865740743</v>
      </c>
      <c r="B649" t="s">
        <v>70</v>
      </c>
      <c r="C649" s="3">
        <v>45713.245810185181</v>
      </c>
      <c r="D649" t="s">
        <v>316</v>
      </c>
      <c r="E649" s="4">
        <v>0.499</v>
      </c>
      <c r="F649" s="4">
        <v>404754.82500000001</v>
      </c>
      <c r="G649" s="4">
        <v>404755.32400000002</v>
      </c>
      <c r="H649" s="5">
        <f>459 / 86400</f>
        <v>5.3125000000000004E-3</v>
      </c>
      <c r="I649" t="s">
        <v>131</v>
      </c>
      <c r="J649" t="s">
        <v>106</v>
      </c>
      <c r="K649" s="5">
        <f>600 / 86400</f>
        <v>6.9444444444444441E-3</v>
      </c>
      <c r="L649" s="5">
        <f>20894 / 86400</f>
        <v>0.24182870370370371</v>
      </c>
    </row>
    <row r="650" spans="1:12" x14ac:dyDescent="0.25">
      <c r="A650" s="3">
        <v>45713.248773148152</v>
      </c>
      <c r="B650" t="s">
        <v>82</v>
      </c>
      <c r="C650" s="3">
        <v>45713.541527777779</v>
      </c>
      <c r="D650" t="s">
        <v>82</v>
      </c>
      <c r="E650" s="4">
        <v>102.114</v>
      </c>
      <c r="F650" s="4">
        <v>404755.32400000002</v>
      </c>
      <c r="G650" s="4">
        <v>404857.43800000002</v>
      </c>
      <c r="H650" s="5">
        <f>9117 / 86400</f>
        <v>0.10552083333333333</v>
      </c>
      <c r="I650" t="s">
        <v>71</v>
      </c>
      <c r="J650" t="s">
        <v>76</v>
      </c>
      <c r="K650" s="5">
        <f>25294 / 86400</f>
        <v>0.29275462962962961</v>
      </c>
      <c r="L650" s="5">
        <f>91 / 86400</f>
        <v>1.0532407407407407E-3</v>
      </c>
    </row>
    <row r="651" spans="1:12" x14ac:dyDescent="0.25">
      <c r="A651" s="3">
        <v>45713.542581018519</v>
      </c>
      <c r="B651" t="s">
        <v>82</v>
      </c>
      <c r="C651" s="3">
        <v>45713.542673611111</v>
      </c>
      <c r="D651" t="s">
        <v>82</v>
      </c>
      <c r="E651" s="4">
        <v>0</v>
      </c>
      <c r="F651" s="4">
        <v>404857.43800000002</v>
      </c>
      <c r="G651" s="4">
        <v>404857.43800000002</v>
      </c>
      <c r="H651" s="5">
        <f>0 / 86400</f>
        <v>0</v>
      </c>
      <c r="I651" t="s">
        <v>22</v>
      </c>
      <c r="J651" t="s">
        <v>22</v>
      </c>
      <c r="K651" s="5">
        <f>8 / 86400</f>
        <v>9.2592592592592588E-5</v>
      </c>
      <c r="L651" s="5">
        <f>16 / 86400</f>
        <v>1.8518518518518518E-4</v>
      </c>
    </row>
    <row r="652" spans="1:12" x14ac:dyDescent="0.25">
      <c r="A652" s="3">
        <v>45713.542858796296</v>
      </c>
      <c r="B652" t="s">
        <v>82</v>
      </c>
      <c r="C652" s="3">
        <v>45713.543206018519</v>
      </c>
      <c r="D652" t="s">
        <v>82</v>
      </c>
      <c r="E652" s="4">
        <v>8.0000000000000002E-3</v>
      </c>
      <c r="F652" s="4">
        <v>404857.43800000002</v>
      </c>
      <c r="G652" s="4">
        <v>404857.446</v>
      </c>
      <c r="H652" s="5">
        <f>19 / 86400</f>
        <v>2.199074074074074E-4</v>
      </c>
      <c r="I652" t="s">
        <v>22</v>
      </c>
      <c r="J652" t="s">
        <v>144</v>
      </c>
      <c r="K652" s="5">
        <f>30 / 86400</f>
        <v>3.4722222222222224E-4</v>
      </c>
      <c r="L652" s="5">
        <f>1679 / 86400</f>
        <v>1.9432870370370371E-2</v>
      </c>
    </row>
    <row r="653" spans="1:12" x14ac:dyDescent="0.25">
      <c r="A653" s="3">
        <v>45713.562638888892</v>
      </c>
      <c r="B653" t="s">
        <v>95</v>
      </c>
      <c r="C653" s="3">
        <v>45713.562928240739</v>
      </c>
      <c r="D653" t="s">
        <v>95</v>
      </c>
      <c r="E653" s="4">
        <v>7.0000000000000001E-3</v>
      </c>
      <c r="F653" s="4">
        <v>404857.446</v>
      </c>
      <c r="G653" s="4">
        <v>404857.45299999998</v>
      </c>
      <c r="H653" s="5">
        <f>0 / 86400</f>
        <v>0</v>
      </c>
      <c r="I653" t="s">
        <v>147</v>
      </c>
      <c r="J653" t="s">
        <v>144</v>
      </c>
      <c r="K653" s="5">
        <f>25 / 86400</f>
        <v>2.8935185185185184E-4</v>
      </c>
      <c r="L653" s="5">
        <f>11729 / 86400</f>
        <v>0.13575231481481481</v>
      </c>
    </row>
    <row r="654" spans="1:12" x14ac:dyDescent="0.25">
      <c r="A654" s="3">
        <v>45713.698680555557</v>
      </c>
      <c r="B654" t="s">
        <v>82</v>
      </c>
      <c r="C654" s="3">
        <v>45713.698761574073</v>
      </c>
      <c r="D654" t="s">
        <v>95</v>
      </c>
      <c r="E654" s="4">
        <v>0</v>
      </c>
      <c r="F654" s="4">
        <v>404857.45299999998</v>
      </c>
      <c r="G654" s="4">
        <v>404857.45299999998</v>
      </c>
      <c r="H654" s="5">
        <f>0 / 86400</f>
        <v>0</v>
      </c>
      <c r="I654" t="s">
        <v>22</v>
      </c>
      <c r="J654" t="s">
        <v>22</v>
      </c>
      <c r="K654" s="5">
        <f>7 / 86400</f>
        <v>8.1018518518518516E-5</v>
      </c>
      <c r="L654" s="5">
        <f>160 / 86400</f>
        <v>1.8518518518518519E-3</v>
      </c>
    </row>
    <row r="655" spans="1:12" x14ac:dyDescent="0.25">
      <c r="A655" s="3">
        <v>45713.700613425928</v>
      </c>
      <c r="B655" t="s">
        <v>95</v>
      </c>
      <c r="C655" s="3">
        <v>45713.701712962968</v>
      </c>
      <c r="D655" t="s">
        <v>82</v>
      </c>
      <c r="E655" s="4">
        <v>0.14499999999999999</v>
      </c>
      <c r="F655" s="4">
        <v>404857.45299999998</v>
      </c>
      <c r="G655" s="4">
        <v>404857.598</v>
      </c>
      <c r="H655" s="5">
        <f>19 / 86400</f>
        <v>2.199074074074074E-4</v>
      </c>
      <c r="I655" t="s">
        <v>76</v>
      </c>
      <c r="J655" t="s">
        <v>146</v>
      </c>
      <c r="K655" s="5">
        <f>95 / 86400</f>
        <v>1.0995370370370371E-3</v>
      </c>
      <c r="L655" s="5">
        <f>211 / 86400</f>
        <v>2.4421296296296296E-3</v>
      </c>
    </row>
    <row r="656" spans="1:12" x14ac:dyDescent="0.25">
      <c r="A656" s="3">
        <v>45713.704155092593</v>
      </c>
      <c r="B656" t="s">
        <v>82</v>
      </c>
      <c r="C656" s="3">
        <v>45713.707638888889</v>
      </c>
      <c r="D656" t="s">
        <v>57</v>
      </c>
      <c r="E656" s="4">
        <v>1.135</v>
      </c>
      <c r="F656" s="4">
        <v>404857.598</v>
      </c>
      <c r="G656" s="4">
        <v>404858.73300000001</v>
      </c>
      <c r="H656" s="5">
        <f>0 / 86400</f>
        <v>0</v>
      </c>
      <c r="I656" t="s">
        <v>131</v>
      </c>
      <c r="J656" t="s">
        <v>29</v>
      </c>
      <c r="K656" s="5">
        <f>301 / 86400</f>
        <v>3.4837962962962965E-3</v>
      </c>
      <c r="L656" s="5">
        <f>2314 / 86400</f>
        <v>2.6782407407407408E-2</v>
      </c>
    </row>
    <row r="657" spans="1:12" x14ac:dyDescent="0.25">
      <c r="A657" s="3">
        <v>45713.734421296293</v>
      </c>
      <c r="B657" t="s">
        <v>70</v>
      </c>
      <c r="C657" s="3">
        <v>45713.734652777777</v>
      </c>
      <c r="D657" t="s">
        <v>70</v>
      </c>
      <c r="E657" s="4">
        <v>0</v>
      </c>
      <c r="F657" s="4">
        <v>404858.73300000001</v>
      </c>
      <c r="G657" s="4">
        <v>404858.73300000001</v>
      </c>
      <c r="H657" s="5">
        <f>0 / 86400</f>
        <v>0</v>
      </c>
      <c r="I657" t="s">
        <v>22</v>
      </c>
      <c r="J657" t="s">
        <v>22</v>
      </c>
      <c r="K657" s="5">
        <f>19 / 86400</f>
        <v>2.199074074074074E-4</v>
      </c>
      <c r="L657" s="5">
        <f>22925 / 86400</f>
        <v>0.26533564814814814</v>
      </c>
    </row>
    <row r="658" spans="1:12" x14ac:dyDescent="0.25">
      <c r="A658" s="12"/>
      <c r="B658" s="12"/>
      <c r="C658" s="12"/>
      <c r="D658" s="12"/>
      <c r="E658" s="12"/>
      <c r="F658" s="12"/>
      <c r="G658" s="12"/>
      <c r="H658" s="12"/>
      <c r="I658" s="12"/>
      <c r="J658" s="12"/>
    </row>
    <row r="659" spans="1:12" x14ac:dyDescent="0.25">
      <c r="A659" s="12"/>
      <c r="B659" s="12"/>
      <c r="C659" s="12"/>
      <c r="D659" s="12"/>
      <c r="E659" s="12"/>
      <c r="F659" s="12"/>
      <c r="G659" s="12"/>
      <c r="H659" s="12"/>
      <c r="I659" s="12"/>
      <c r="J659" s="12"/>
    </row>
    <row r="660" spans="1:12" s="10" customFormat="1" ht="20.100000000000001" customHeight="1" x14ac:dyDescent="0.35">
      <c r="A660" s="15" t="s">
        <v>416</v>
      </c>
      <c r="B660" s="15"/>
      <c r="C660" s="15"/>
      <c r="D660" s="15"/>
      <c r="E660" s="15"/>
      <c r="F660" s="15"/>
      <c r="G660" s="15"/>
      <c r="H660" s="15"/>
      <c r="I660" s="15"/>
      <c r="J660" s="15"/>
    </row>
    <row r="661" spans="1:12" x14ac:dyDescent="0.25">
      <c r="A661" s="12"/>
      <c r="B661" s="12"/>
      <c r="C661" s="12"/>
      <c r="D661" s="12"/>
      <c r="E661" s="12"/>
      <c r="F661" s="12"/>
      <c r="G661" s="12"/>
      <c r="H661" s="12"/>
      <c r="I661" s="12"/>
      <c r="J661" s="12"/>
    </row>
    <row r="662" spans="1:12" ht="30" x14ac:dyDescent="0.25">
      <c r="A662" s="2" t="s">
        <v>6</v>
      </c>
      <c r="B662" s="2" t="s">
        <v>7</v>
      </c>
      <c r="C662" s="2" t="s">
        <v>8</v>
      </c>
      <c r="D662" s="2" t="s">
        <v>9</v>
      </c>
      <c r="E662" s="2" t="s">
        <v>10</v>
      </c>
      <c r="F662" s="2" t="s">
        <v>11</v>
      </c>
      <c r="G662" s="2" t="s">
        <v>12</v>
      </c>
      <c r="H662" s="2" t="s">
        <v>13</v>
      </c>
      <c r="I662" s="2" t="s">
        <v>14</v>
      </c>
      <c r="J662" s="2" t="s">
        <v>15</v>
      </c>
      <c r="K662" s="2" t="s">
        <v>16</v>
      </c>
      <c r="L662" s="2" t="s">
        <v>17</v>
      </c>
    </row>
    <row r="663" spans="1:12" x14ac:dyDescent="0.25">
      <c r="A663" s="3">
        <v>45713.265023148153</v>
      </c>
      <c r="B663" t="s">
        <v>72</v>
      </c>
      <c r="C663" s="3">
        <v>45713.329525462963</v>
      </c>
      <c r="D663" t="s">
        <v>307</v>
      </c>
      <c r="E663" s="4">
        <v>34.165999999999997</v>
      </c>
      <c r="F663" s="4">
        <v>408500.55800000002</v>
      </c>
      <c r="G663" s="4">
        <v>408534.72399999999</v>
      </c>
      <c r="H663" s="5">
        <f>1339 / 86400</f>
        <v>1.5497685185185186E-2</v>
      </c>
      <c r="I663" t="s">
        <v>317</v>
      </c>
      <c r="J663" t="s">
        <v>136</v>
      </c>
      <c r="K663" s="5">
        <f>5573 / 86400</f>
        <v>6.4502314814814818E-2</v>
      </c>
      <c r="L663" s="5">
        <f>23868 / 86400</f>
        <v>0.27625</v>
      </c>
    </row>
    <row r="664" spans="1:12" x14ac:dyDescent="0.25">
      <c r="A664" s="3">
        <v>45713.34075231482</v>
      </c>
      <c r="B664" t="s">
        <v>307</v>
      </c>
      <c r="C664" s="3">
        <v>45713.341006944444</v>
      </c>
      <c r="D664" t="s">
        <v>132</v>
      </c>
      <c r="E664" s="4">
        <v>1.4E-2</v>
      </c>
      <c r="F664" s="4">
        <v>408534.72399999999</v>
      </c>
      <c r="G664" s="4">
        <v>408534.73800000001</v>
      </c>
      <c r="H664" s="5">
        <f>0 / 86400</f>
        <v>0</v>
      </c>
      <c r="I664" t="s">
        <v>145</v>
      </c>
      <c r="J664" t="s">
        <v>147</v>
      </c>
      <c r="K664" s="5">
        <f>21 / 86400</f>
        <v>2.4305555555555555E-4</v>
      </c>
      <c r="L664" s="5">
        <f>1461 / 86400</f>
        <v>1.6909722222222222E-2</v>
      </c>
    </row>
    <row r="665" spans="1:12" x14ac:dyDescent="0.25">
      <c r="A665" s="3">
        <v>45713.357916666668</v>
      </c>
      <c r="B665" t="s">
        <v>132</v>
      </c>
      <c r="C665" s="3">
        <v>45713.503622685181</v>
      </c>
      <c r="D665" t="s">
        <v>323</v>
      </c>
      <c r="E665" s="4">
        <v>51.277999999999999</v>
      </c>
      <c r="F665" s="4">
        <v>408534.73800000001</v>
      </c>
      <c r="G665" s="4">
        <v>408586.016</v>
      </c>
      <c r="H665" s="5">
        <f>5081 / 86400</f>
        <v>5.8807870370370371E-2</v>
      </c>
      <c r="I665" t="s">
        <v>40</v>
      </c>
      <c r="J665" t="s">
        <v>76</v>
      </c>
      <c r="K665" s="5">
        <f>12589 / 86400</f>
        <v>0.14570601851851853</v>
      </c>
      <c r="L665" s="5">
        <f>57 / 86400</f>
        <v>6.5972222222222224E-4</v>
      </c>
    </row>
    <row r="666" spans="1:12" x14ac:dyDescent="0.25">
      <c r="A666" s="3">
        <v>45713.504282407404</v>
      </c>
      <c r="B666" t="s">
        <v>323</v>
      </c>
      <c r="C666" s="3">
        <v>45713.62972222222</v>
      </c>
      <c r="D666" t="s">
        <v>82</v>
      </c>
      <c r="E666" s="4">
        <v>49.088000000000001</v>
      </c>
      <c r="F666" s="4">
        <v>408586.016</v>
      </c>
      <c r="G666" s="4">
        <v>408635.10399999999</v>
      </c>
      <c r="H666" s="5">
        <f>3861 / 86400</f>
        <v>4.4687499999999998E-2</v>
      </c>
      <c r="I666" t="s">
        <v>160</v>
      </c>
      <c r="J666" t="s">
        <v>32</v>
      </c>
      <c r="K666" s="5">
        <f>10838 / 86400</f>
        <v>0.12543981481481481</v>
      </c>
      <c r="L666" s="5">
        <f>188 / 86400</f>
        <v>2.1759259259259258E-3</v>
      </c>
    </row>
    <row r="667" spans="1:12" x14ac:dyDescent="0.25">
      <c r="A667" s="3">
        <v>45713.631898148145</v>
      </c>
      <c r="B667" t="s">
        <v>82</v>
      </c>
      <c r="C667" s="3">
        <v>45713.634328703702</v>
      </c>
      <c r="D667" t="s">
        <v>133</v>
      </c>
      <c r="E667" s="4">
        <v>0.56799999999999995</v>
      </c>
      <c r="F667" s="4">
        <v>408635.10399999999</v>
      </c>
      <c r="G667" s="4">
        <v>408635.67200000002</v>
      </c>
      <c r="H667" s="5">
        <f>99 / 86400</f>
        <v>1.1458333333333333E-3</v>
      </c>
      <c r="I667" t="s">
        <v>166</v>
      </c>
      <c r="J667" t="s">
        <v>134</v>
      </c>
      <c r="K667" s="5">
        <f>209 / 86400</f>
        <v>2.4189814814814816E-3</v>
      </c>
      <c r="L667" s="5">
        <f>225 / 86400</f>
        <v>2.6041666666666665E-3</v>
      </c>
    </row>
    <row r="668" spans="1:12" x14ac:dyDescent="0.25">
      <c r="A668" s="3">
        <v>45713.636932870373</v>
      </c>
      <c r="B668" t="s">
        <v>133</v>
      </c>
      <c r="C668" s="3">
        <v>45713.637048611112</v>
      </c>
      <c r="D668" t="s">
        <v>133</v>
      </c>
      <c r="E668" s="4">
        <v>2E-3</v>
      </c>
      <c r="F668" s="4">
        <v>408635.67200000002</v>
      </c>
      <c r="G668" s="4">
        <v>408635.674</v>
      </c>
      <c r="H668" s="5">
        <f>0 / 86400</f>
        <v>0</v>
      </c>
      <c r="I668" t="s">
        <v>22</v>
      </c>
      <c r="J668" t="s">
        <v>144</v>
      </c>
      <c r="K668" s="5">
        <f>9 / 86400</f>
        <v>1.0416666666666667E-4</v>
      </c>
      <c r="L668" s="5">
        <f>190 / 86400</f>
        <v>2.1990740740740742E-3</v>
      </c>
    </row>
    <row r="669" spans="1:12" x14ac:dyDescent="0.25">
      <c r="A669" s="3">
        <v>45713.639247685191</v>
      </c>
      <c r="B669" t="s">
        <v>133</v>
      </c>
      <c r="C669" s="3">
        <v>45713.639386574076</v>
      </c>
      <c r="D669" t="s">
        <v>133</v>
      </c>
      <c r="E669" s="4">
        <v>5.0000000000000001E-3</v>
      </c>
      <c r="F669" s="4">
        <v>408635.674</v>
      </c>
      <c r="G669" s="4">
        <v>408635.679</v>
      </c>
      <c r="H669" s="5">
        <f>0 / 86400</f>
        <v>0</v>
      </c>
      <c r="I669" t="s">
        <v>22</v>
      </c>
      <c r="J669" t="s">
        <v>147</v>
      </c>
      <c r="K669" s="5">
        <f>12 / 86400</f>
        <v>1.3888888888888889E-4</v>
      </c>
      <c r="L669" s="5">
        <f>392 / 86400</f>
        <v>4.5370370370370373E-3</v>
      </c>
    </row>
    <row r="670" spans="1:12" x14ac:dyDescent="0.25">
      <c r="A670" s="3">
        <v>45713.643923611111</v>
      </c>
      <c r="B670" t="s">
        <v>133</v>
      </c>
      <c r="C670" s="3">
        <v>45713.702696759261</v>
      </c>
      <c r="D670" t="s">
        <v>139</v>
      </c>
      <c r="E670" s="4">
        <v>35.927999999999997</v>
      </c>
      <c r="F670" s="4">
        <v>408635.679</v>
      </c>
      <c r="G670" s="4">
        <v>408671.60700000002</v>
      </c>
      <c r="H670" s="5">
        <f>1039 / 86400</f>
        <v>1.2025462962962963E-2</v>
      </c>
      <c r="I670" t="s">
        <v>73</v>
      </c>
      <c r="J670" t="s">
        <v>190</v>
      </c>
      <c r="K670" s="5">
        <f>5077 / 86400</f>
        <v>5.8761574074074077E-2</v>
      </c>
      <c r="L670" s="5">
        <f>256 / 86400</f>
        <v>2.9629629629629628E-3</v>
      </c>
    </row>
    <row r="671" spans="1:12" x14ac:dyDescent="0.25">
      <c r="A671" s="3">
        <v>45713.705659722225</v>
      </c>
      <c r="B671" t="s">
        <v>139</v>
      </c>
      <c r="C671" s="3">
        <v>45713.708171296297</v>
      </c>
      <c r="D671" t="s">
        <v>72</v>
      </c>
      <c r="E671" s="4">
        <v>0.78</v>
      </c>
      <c r="F671" s="4">
        <v>408671.60700000002</v>
      </c>
      <c r="G671" s="4">
        <v>408672.38699999999</v>
      </c>
      <c r="H671" s="5">
        <f>0 / 86400</f>
        <v>0</v>
      </c>
      <c r="I671" t="s">
        <v>190</v>
      </c>
      <c r="J671" t="s">
        <v>45</v>
      </c>
      <c r="K671" s="5">
        <f>217 / 86400</f>
        <v>2.5115740740740741E-3</v>
      </c>
      <c r="L671" s="5">
        <f>521 / 86400</f>
        <v>6.030092592592593E-3</v>
      </c>
    </row>
    <row r="672" spans="1:12" x14ac:dyDescent="0.25">
      <c r="A672" s="3">
        <v>45713.714201388888</v>
      </c>
      <c r="B672" t="s">
        <v>72</v>
      </c>
      <c r="C672" s="3">
        <v>45713.715011574073</v>
      </c>
      <c r="D672" t="s">
        <v>72</v>
      </c>
      <c r="E672" s="4">
        <v>1.7999999999999999E-2</v>
      </c>
      <c r="F672" s="4">
        <v>408672.38699999999</v>
      </c>
      <c r="G672" s="4">
        <v>408672.40500000003</v>
      </c>
      <c r="H672" s="5">
        <f>59 / 86400</f>
        <v>6.8287037037037036E-4</v>
      </c>
      <c r="I672" t="s">
        <v>146</v>
      </c>
      <c r="J672" t="s">
        <v>144</v>
      </c>
      <c r="K672" s="5">
        <f>70 / 86400</f>
        <v>8.1018518518518516E-4</v>
      </c>
      <c r="L672" s="5">
        <f>24622 / 86400</f>
        <v>0.28497685185185184</v>
      </c>
    </row>
    <row r="673" spans="1:12" x14ac:dyDescent="0.25">
      <c r="A673" s="12"/>
      <c r="B673" s="12"/>
      <c r="C673" s="12"/>
      <c r="D673" s="12"/>
      <c r="E673" s="12"/>
      <c r="F673" s="12"/>
      <c r="G673" s="12"/>
      <c r="H673" s="12"/>
      <c r="I673" s="12"/>
      <c r="J673" s="12"/>
    </row>
    <row r="674" spans="1:12" x14ac:dyDescent="0.25">
      <c r="A674" s="12"/>
      <c r="B674" s="12"/>
      <c r="C674" s="12"/>
      <c r="D674" s="12"/>
      <c r="E674" s="12"/>
      <c r="F674" s="12"/>
      <c r="G674" s="12"/>
      <c r="H674" s="12"/>
      <c r="I674" s="12"/>
      <c r="J674" s="12"/>
    </row>
    <row r="675" spans="1:12" s="10" customFormat="1" ht="20.100000000000001" customHeight="1" x14ac:dyDescent="0.35">
      <c r="A675" s="15" t="s">
        <v>417</v>
      </c>
      <c r="B675" s="15"/>
      <c r="C675" s="15"/>
      <c r="D675" s="15"/>
      <c r="E675" s="15"/>
      <c r="F675" s="15"/>
      <c r="G675" s="15"/>
      <c r="H675" s="15"/>
      <c r="I675" s="15"/>
      <c r="J675" s="15"/>
    </row>
    <row r="676" spans="1:12" x14ac:dyDescent="0.25">
      <c r="A676" s="12"/>
      <c r="B676" s="12"/>
      <c r="C676" s="12"/>
      <c r="D676" s="12"/>
      <c r="E676" s="12"/>
      <c r="F676" s="12"/>
      <c r="G676" s="12"/>
      <c r="H676" s="12"/>
      <c r="I676" s="12"/>
      <c r="J676" s="12"/>
    </row>
    <row r="677" spans="1:12" ht="30" x14ac:dyDescent="0.25">
      <c r="A677" s="2" t="s">
        <v>6</v>
      </c>
      <c r="B677" s="2" t="s">
        <v>7</v>
      </c>
      <c r="C677" s="2" t="s">
        <v>8</v>
      </c>
      <c r="D677" s="2" t="s">
        <v>9</v>
      </c>
      <c r="E677" s="2" t="s">
        <v>10</v>
      </c>
      <c r="F677" s="2" t="s">
        <v>11</v>
      </c>
      <c r="G677" s="2" t="s">
        <v>12</v>
      </c>
      <c r="H677" s="2" t="s">
        <v>13</v>
      </c>
      <c r="I677" s="2" t="s">
        <v>14</v>
      </c>
      <c r="J677" s="2" t="s">
        <v>15</v>
      </c>
      <c r="K677" s="2" t="s">
        <v>16</v>
      </c>
      <c r="L677" s="2" t="s">
        <v>17</v>
      </c>
    </row>
    <row r="678" spans="1:12" x14ac:dyDescent="0.25">
      <c r="A678" s="3">
        <v>45713.296006944445</v>
      </c>
      <c r="B678" t="s">
        <v>74</v>
      </c>
      <c r="C678" s="3">
        <v>45713.392280092594</v>
      </c>
      <c r="D678" t="s">
        <v>82</v>
      </c>
      <c r="E678" s="4">
        <v>44.927999999999997</v>
      </c>
      <c r="F678" s="4">
        <v>349073.86700000003</v>
      </c>
      <c r="G678" s="4">
        <v>349118.79499999998</v>
      </c>
      <c r="H678" s="5">
        <f>2011 / 86400</f>
        <v>2.3275462962962963E-2</v>
      </c>
      <c r="I678" t="s">
        <v>69</v>
      </c>
      <c r="J678" t="s">
        <v>92</v>
      </c>
      <c r="K678" s="5">
        <f>8318 / 86400</f>
        <v>9.6273148148148149E-2</v>
      </c>
      <c r="L678" s="5">
        <f>25781 / 86400</f>
        <v>0.2983912037037037</v>
      </c>
    </row>
    <row r="679" spans="1:12" x14ac:dyDescent="0.25">
      <c r="A679" s="3">
        <v>45713.39466435185</v>
      </c>
      <c r="B679" t="s">
        <v>82</v>
      </c>
      <c r="C679" s="3">
        <v>45713.396307870367</v>
      </c>
      <c r="D679" t="s">
        <v>137</v>
      </c>
      <c r="E679" s="4">
        <v>0.59199999999999997</v>
      </c>
      <c r="F679" s="4">
        <v>349118.79499999998</v>
      </c>
      <c r="G679" s="4">
        <v>349119.38699999999</v>
      </c>
      <c r="H679" s="5">
        <f>0 / 86400</f>
        <v>0</v>
      </c>
      <c r="I679" t="s">
        <v>166</v>
      </c>
      <c r="J679" t="s">
        <v>76</v>
      </c>
      <c r="K679" s="5">
        <f>142 / 86400</f>
        <v>1.6435185185185185E-3</v>
      </c>
      <c r="L679" s="5">
        <f>360 / 86400</f>
        <v>4.1666666666666666E-3</v>
      </c>
    </row>
    <row r="680" spans="1:12" x14ac:dyDescent="0.25">
      <c r="A680" s="3">
        <v>45713.400474537033</v>
      </c>
      <c r="B680" t="s">
        <v>137</v>
      </c>
      <c r="C680" s="3">
        <v>45713.402881944443</v>
      </c>
      <c r="D680" t="s">
        <v>132</v>
      </c>
      <c r="E680" s="4">
        <v>0.72099999999999997</v>
      </c>
      <c r="F680" s="4">
        <v>349119.38799999998</v>
      </c>
      <c r="G680" s="4">
        <v>349120.109</v>
      </c>
      <c r="H680" s="5">
        <f>0 / 86400</f>
        <v>0</v>
      </c>
      <c r="I680" t="s">
        <v>150</v>
      </c>
      <c r="J680" t="s">
        <v>45</v>
      </c>
      <c r="K680" s="5">
        <f>207 / 86400</f>
        <v>2.3958333333333331E-3</v>
      </c>
      <c r="L680" s="5">
        <f>5452 / 86400</f>
        <v>6.3101851851851853E-2</v>
      </c>
    </row>
    <row r="681" spans="1:12" x14ac:dyDescent="0.25">
      <c r="A681" s="3">
        <v>45713.465983796297</v>
      </c>
      <c r="B681" t="s">
        <v>132</v>
      </c>
      <c r="C681" s="3">
        <v>45713.700613425928</v>
      </c>
      <c r="D681" t="s">
        <v>74</v>
      </c>
      <c r="E681" s="4">
        <v>73.582999999999998</v>
      </c>
      <c r="F681" s="4">
        <v>349120.109</v>
      </c>
      <c r="G681" s="4">
        <v>349193.69199999998</v>
      </c>
      <c r="H681" s="5">
        <f>8081 / 86400</f>
        <v>9.3530092592592595E-2</v>
      </c>
      <c r="I681" t="s">
        <v>75</v>
      </c>
      <c r="J681" t="s">
        <v>45</v>
      </c>
      <c r="K681" s="5">
        <f>20272 / 86400</f>
        <v>0.23462962962962963</v>
      </c>
      <c r="L681" s="5">
        <f>6218 / 86400</f>
        <v>7.1967592592592597E-2</v>
      </c>
    </row>
    <row r="682" spans="1:12" x14ac:dyDescent="0.25">
      <c r="A682" s="3">
        <v>45713.772581018522</v>
      </c>
      <c r="B682" t="s">
        <v>74</v>
      </c>
      <c r="C682" s="3">
        <v>45713.772789351853</v>
      </c>
      <c r="D682" t="s">
        <v>74</v>
      </c>
      <c r="E682" s="4">
        <v>0</v>
      </c>
      <c r="F682" s="4">
        <v>349193.69199999998</v>
      </c>
      <c r="G682" s="4">
        <v>349193.69199999998</v>
      </c>
      <c r="H682" s="5">
        <f>0 / 86400</f>
        <v>0</v>
      </c>
      <c r="I682" t="s">
        <v>22</v>
      </c>
      <c r="J682" t="s">
        <v>22</v>
      </c>
      <c r="K682" s="5">
        <f>17 / 86400</f>
        <v>1.9675925925925926E-4</v>
      </c>
      <c r="L682" s="5">
        <f>19630 / 86400</f>
        <v>0.22719907407407408</v>
      </c>
    </row>
    <row r="683" spans="1:12" x14ac:dyDescent="0.25">
      <c r="A683" s="12"/>
      <c r="B683" s="12"/>
      <c r="C683" s="12"/>
      <c r="D683" s="12"/>
      <c r="E683" s="12"/>
      <c r="F683" s="12"/>
      <c r="G683" s="12"/>
      <c r="H683" s="12"/>
      <c r="I683" s="12"/>
      <c r="J683" s="12"/>
    </row>
    <row r="684" spans="1:12" x14ac:dyDescent="0.25">
      <c r="A684" s="12"/>
      <c r="B684" s="12"/>
      <c r="C684" s="12"/>
      <c r="D684" s="12"/>
      <c r="E684" s="12"/>
      <c r="F684" s="12"/>
      <c r="G684" s="12"/>
      <c r="H684" s="12"/>
      <c r="I684" s="12"/>
      <c r="J684" s="12"/>
    </row>
    <row r="685" spans="1:12" s="10" customFormat="1" ht="20.100000000000001" customHeight="1" x14ac:dyDescent="0.35">
      <c r="A685" s="15" t="s">
        <v>418</v>
      </c>
      <c r="B685" s="15"/>
      <c r="C685" s="15"/>
      <c r="D685" s="15"/>
      <c r="E685" s="15"/>
      <c r="F685" s="15"/>
      <c r="G685" s="15"/>
      <c r="H685" s="15"/>
      <c r="I685" s="15"/>
      <c r="J685" s="15"/>
    </row>
    <row r="686" spans="1:12" x14ac:dyDescent="0.25">
      <c r="A686" s="12"/>
      <c r="B686" s="12"/>
      <c r="C686" s="12"/>
      <c r="D686" s="12"/>
      <c r="E686" s="12"/>
      <c r="F686" s="12"/>
      <c r="G686" s="12"/>
      <c r="H686" s="12"/>
      <c r="I686" s="12"/>
      <c r="J686" s="12"/>
    </row>
    <row r="687" spans="1:12" ht="30" x14ac:dyDescent="0.25">
      <c r="A687" s="2" t="s">
        <v>6</v>
      </c>
      <c r="B687" s="2" t="s">
        <v>7</v>
      </c>
      <c r="C687" s="2" t="s">
        <v>8</v>
      </c>
      <c r="D687" s="2" t="s">
        <v>9</v>
      </c>
      <c r="E687" s="2" t="s">
        <v>10</v>
      </c>
      <c r="F687" s="2" t="s">
        <v>11</v>
      </c>
      <c r="G687" s="2" t="s">
        <v>12</v>
      </c>
      <c r="H687" s="2" t="s">
        <v>13</v>
      </c>
      <c r="I687" s="2" t="s">
        <v>14</v>
      </c>
      <c r="J687" s="2" t="s">
        <v>15</v>
      </c>
      <c r="K687" s="2" t="s">
        <v>16</v>
      </c>
      <c r="L687" s="2" t="s">
        <v>17</v>
      </c>
    </row>
    <row r="688" spans="1:12" x14ac:dyDescent="0.25">
      <c r="A688" s="3">
        <v>45713</v>
      </c>
      <c r="B688" t="s">
        <v>77</v>
      </c>
      <c r="C688" s="3">
        <v>45713.000810185185</v>
      </c>
      <c r="D688" t="s">
        <v>349</v>
      </c>
      <c r="E688" s="4">
        <v>6.9000000000000006E-2</v>
      </c>
      <c r="F688" s="4">
        <v>43166.218999999997</v>
      </c>
      <c r="G688" s="4">
        <v>43166.288</v>
      </c>
      <c r="H688" s="5">
        <f>20 / 86400</f>
        <v>2.3148148148148149E-4</v>
      </c>
      <c r="I688" t="s">
        <v>134</v>
      </c>
      <c r="J688" t="s">
        <v>141</v>
      </c>
      <c r="K688" s="5">
        <f>70 / 86400</f>
        <v>8.1018518518518516E-4</v>
      </c>
      <c r="L688" s="5">
        <f>987 / 86400</f>
        <v>1.1423611111111112E-2</v>
      </c>
    </row>
    <row r="689" spans="1:12" x14ac:dyDescent="0.25">
      <c r="A689" s="3">
        <v>45713.012233796297</v>
      </c>
      <c r="B689" t="s">
        <v>349</v>
      </c>
      <c r="C689" s="3">
        <v>45713.036493055552</v>
      </c>
      <c r="D689" t="s">
        <v>78</v>
      </c>
      <c r="E689" s="4">
        <v>14.743</v>
      </c>
      <c r="F689" s="4">
        <v>43166.288</v>
      </c>
      <c r="G689" s="4">
        <v>43181.031000000003</v>
      </c>
      <c r="H689" s="5">
        <f>221 / 86400</f>
        <v>2.5578703703703705E-3</v>
      </c>
      <c r="I689" t="s">
        <v>329</v>
      </c>
      <c r="J689" t="s">
        <v>190</v>
      </c>
      <c r="K689" s="5">
        <f>2096 / 86400</f>
        <v>2.4259259259259258E-2</v>
      </c>
      <c r="L689" s="5">
        <f>12537 / 86400</f>
        <v>0.14510416666666667</v>
      </c>
    </row>
    <row r="690" spans="1:12" x14ac:dyDescent="0.25">
      <c r="A690" s="3">
        <v>45713.181597222225</v>
      </c>
      <c r="B690" t="s">
        <v>78</v>
      </c>
      <c r="C690" s="3">
        <v>45713.371099537035</v>
      </c>
      <c r="D690" t="s">
        <v>132</v>
      </c>
      <c r="E690" s="4">
        <v>89.531999999999996</v>
      </c>
      <c r="F690" s="4">
        <v>43181.031000000003</v>
      </c>
      <c r="G690" s="4">
        <v>43270.563000000002</v>
      </c>
      <c r="H690" s="5">
        <f>4578 / 86400</f>
        <v>5.2986111111111109E-2</v>
      </c>
      <c r="I690" t="s">
        <v>19</v>
      </c>
      <c r="J690" t="s">
        <v>111</v>
      </c>
      <c r="K690" s="5">
        <f>16373 / 86400</f>
        <v>0.1895023148148148</v>
      </c>
      <c r="L690" s="5">
        <f>2207 / 86400</f>
        <v>2.554398148148148E-2</v>
      </c>
    </row>
    <row r="691" spans="1:12" x14ac:dyDescent="0.25">
      <c r="A691" s="3">
        <v>45713.396643518514</v>
      </c>
      <c r="B691" t="s">
        <v>132</v>
      </c>
      <c r="C691" s="3">
        <v>45713.670729166668</v>
      </c>
      <c r="D691" t="s">
        <v>82</v>
      </c>
      <c r="E691" s="4">
        <v>101.721</v>
      </c>
      <c r="F691" s="4">
        <v>43270.563000000002</v>
      </c>
      <c r="G691" s="4">
        <v>43372.284</v>
      </c>
      <c r="H691" s="5">
        <f>8740 / 86400</f>
        <v>0.1011574074074074</v>
      </c>
      <c r="I691" t="s">
        <v>35</v>
      </c>
      <c r="J691" t="s">
        <v>76</v>
      </c>
      <c r="K691" s="5">
        <f>23680 / 86400</f>
        <v>0.27407407407407408</v>
      </c>
      <c r="L691" s="5">
        <f>723 / 86400</f>
        <v>8.3680555555555557E-3</v>
      </c>
    </row>
    <row r="692" spans="1:12" x14ac:dyDescent="0.25">
      <c r="A692" s="3">
        <v>45713.679097222222</v>
      </c>
      <c r="B692" t="s">
        <v>82</v>
      </c>
      <c r="C692" s="3">
        <v>45713.6800462963</v>
      </c>
      <c r="D692" t="s">
        <v>82</v>
      </c>
      <c r="E692" s="4">
        <v>0.13300000000000001</v>
      </c>
      <c r="F692" s="4">
        <v>43372.284</v>
      </c>
      <c r="G692" s="4">
        <v>43372.417000000001</v>
      </c>
      <c r="H692" s="5">
        <f>0 / 86400</f>
        <v>0</v>
      </c>
      <c r="I692" t="s">
        <v>64</v>
      </c>
      <c r="J692" t="s">
        <v>145</v>
      </c>
      <c r="K692" s="5">
        <f>82 / 86400</f>
        <v>9.4907407407407408E-4</v>
      </c>
      <c r="L692" s="5">
        <f>802 / 86400</f>
        <v>9.2824074074074076E-3</v>
      </c>
    </row>
    <row r="693" spans="1:12" x14ac:dyDescent="0.25">
      <c r="A693" s="3">
        <v>45713.689328703702</v>
      </c>
      <c r="B693" t="s">
        <v>82</v>
      </c>
      <c r="C693" s="3">
        <v>45713.727094907408</v>
      </c>
      <c r="D693" t="s">
        <v>78</v>
      </c>
      <c r="E693" s="4">
        <v>15.795</v>
      </c>
      <c r="F693" s="4">
        <v>43372.417000000001</v>
      </c>
      <c r="G693" s="4">
        <v>43388.212</v>
      </c>
      <c r="H693" s="5">
        <f>1139 / 86400</f>
        <v>1.3182870370370371E-2</v>
      </c>
      <c r="I693" t="s">
        <v>65</v>
      </c>
      <c r="J693" t="s">
        <v>20</v>
      </c>
      <c r="K693" s="5">
        <f>3262 / 86400</f>
        <v>3.7754629629629631E-2</v>
      </c>
      <c r="L693" s="5">
        <f>23578 / 86400</f>
        <v>0.27289351851851851</v>
      </c>
    </row>
    <row r="694" spans="1:12" x14ac:dyDescent="0.25">
      <c r="A694" s="12"/>
      <c r="B694" s="12"/>
      <c r="C694" s="12"/>
      <c r="D694" s="12"/>
      <c r="E694" s="12"/>
      <c r="F694" s="12"/>
      <c r="G694" s="12"/>
      <c r="H694" s="12"/>
      <c r="I694" s="12"/>
      <c r="J694" s="12"/>
    </row>
    <row r="695" spans="1:12" x14ac:dyDescent="0.25">
      <c r="A695" s="12"/>
      <c r="B695" s="12"/>
      <c r="C695" s="12"/>
      <c r="D695" s="12"/>
      <c r="E695" s="12"/>
      <c r="F695" s="12"/>
      <c r="G695" s="12"/>
      <c r="H695" s="12"/>
      <c r="I695" s="12"/>
      <c r="J695" s="12"/>
    </row>
    <row r="696" spans="1:12" s="10" customFormat="1" ht="20.100000000000001" customHeight="1" x14ac:dyDescent="0.35">
      <c r="A696" s="15" t="s">
        <v>419</v>
      </c>
      <c r="B696" s="15"/>
      <c r="C696" s="15"/>
      <c r="D696" s="15"/>
      <c r="E696" s="15"/>
      <c r="F696" s="15"/>
      <c r="G696" s="15"/>
      <c r="H696" s="15"/>
      <c r="I696" s="15"/>
      <c r="J696" s="15"/>
    </row>
    <row r="697" spans="1:12" x14ac:dyDescent="0.25">
      <c r="A697" s="12"/>
      <c r="B697" s="12"/>
      <c r="C697" s="12"/>
      <c r="D697" s="12"/>
      <c r="E697" s="12"/>
      <c r="F697" s="12"/>
      <c r="G697" s="12"/>
      <c r="H697" s="12"/>
      <c r="I697" s="12"/>
      <c r="J697" s="12"/>
    </row>
    <row r="698" spans="1:12" ht="30" x14ac:dyDescent="0.25">
      <c r="A698" s="2" t="s">
        <v>6</v>
      </c>
      <c r="B698" s="2" t="s">
        <v>7</v>
      </c>
      <c r="C698" s="2" t="s">
        <v>8</v>
      </c>
      <c r="D698" s="2" t="s">
        <v>9</v>
      </c>
      <c r="E698" s="2" t="s">
        <v>10</v>
      </c>
      <c r="F698" s="2" t="s">
        <v>11</v>
      </c>
      <c r="G698" s="2" t="s">
        <v>12</v>
      </c>
      <c r="H698" s="2" t="s">
        <v>13</v>
      </c>
      <c r="I698" s="2" t="s">
        <v>14</v>
      </c>
      <c r="J698" s="2" t="s">
        <v>15</v>
      </c>
      <c r="K698" s="2" t="s">
        <v>16</v>
      </c>
      <c r="L698" s="2" t="s">
        <v>17</v>
      </c>
    </row>
    <row r="699" spans="1:12" x14ac:dyDescent="0.25">
      <c r="A699" s="3">
        <v>45713</v>
      </c>
      <c r="B699" t="s">
        <v>67</v>
      </c>
      <c r="C699" s="3">
        <v>45713.001539351855</v>
      </c>
      <c r="D699" t="s">
        <v>39</v>
      </c>
      <c r="E699" s="4">
        <v>0.90800000000000003</v>
      </c>
      <c r="F699" s="4">
        <v>49272.438999999998</v>
      </c>
      <c r="G699" s="4">
        <v>49273.347000000002</v>
      </c>
      <c r="H699" s="5">
        <f>20 / 86400</f>
        <v>2.3148148148148149E-4</v>
      </c>
      <c r="I699" t="s">
        <v>174</v>
      </c>
      <c r="J699" t="s">
        <v>190</v>
      </c>
      <c r="K699" s="5">
        <f>133 / 86400</f>
        <v>1.5393518518518519E-3</v>
      </c>
      <c r="L699" s="5">
        <f>15243 / 86400</f>
        <v>0.1764236111111111</v>
      </c>
    </row>
    <row r="700" spans="1:12" x14ac:dyDescent="0.25">
      <c r="A700" s="3">
        <v>45713.17796296296</v>
      </c>
      <c r="B700" t="s">
        <v>39</v>
      </c>
      <c r="C700" s="3">
        <v>45713.178587962961</v>
      </c>
      <c r="D700" t="s">
        <v>39</v>
      </c>
      <c r="E700" s="4">
        <v>3.1E-2</v>
      </c>
      <c r="F700" s="4">
        <v>49273.347000000002</v>
      </c>
      <c r="G700" s="4">
        <v>49273.377999999997</v>
      </c>
      <c r="H700" s="5">
        <f>19 / 86400</f>
        <v>2.199074074074074E-4</v>
      </c>
      <c r="I700" t="s">
        <v>141</v>
      </c>
      <c r="J700" t="s">
        <v>147</v>
      </c>
      <c r="K700" s="5">
        <f>54 / 86400</f>
        <v>6.2500000000000001E-4</v>
      </c>
      <c r="L700" s="5">
        <f>290 / 86400</f>
        <v>3.3564814814814816E-3</v>
      </c>
    </row>
    <row r="701" spans="1:12" x14ac:dyDescent="0.25">
      <c r="A701" s="3">
        <v>45713.181944444441</v>
      </c>
      <c r="B701" t="s">
        <v>39</v>
      </c>
      <c r="C701" s="3">
        <v>45713.185046296298</v>
      </c>
      <c r="D701" t="s">
        <v>67</v>
      </c>
      <c r="E701" s="4">
        <v>0.122</v>
      </c>
      <c r="F701" s="4">
        <v>49273.377999999997</v>
      </c>
      <c r="G701" s="4">
        <v>49273.5</v>
      </c>
      <c r="H701" s="5">
        <f>199 / 86400</f>
        <v>2.3032407407407407E-3</v>
      </c>
      <c r="I701" t="s">
        <v>29</v>
      </c>
      <c r="J701" t="s">
        <v>147</v>
      </c>
      <c r="K701" s="5">
        <f>268 / 86400</f>
        <v>3.1018518518518517E-3</v>
      </c>
      <c r="L701" s="5">
        <f>8539 / 86400</f>
        <v>9.8831018518518512E-2</v>
      </c>
    </row>
    <row r="702" spans="1:12" x14ac:dyDescent="0.25">
      <c r="A702" s="3">
        <v>45713.283877314811</v>
      </c>
      <c r="B702" t="s">
        <v>67</v>
      </c>
      <c r="C702" s="3">
        <v>45713.535821759258</v>
      </c>
      <c r="D702" t="s">
        <v>316</v>
      </c>
      <c r="E702" s="4">
        <v>83.263000000000005</v>
      </c>
      <c r="F702" s="4">
        <v>49273.5</v>
      </c>
      <c r="G702" s="4">
        <v>49356.762999999999</v>
      </c>
      <c r="H702" s="5">
        <f>8376 / 86400</f>
        <v>9.6944444444444444E-2</v>
      </c>
      <c r="I702" t="s">
        <v>94</v>
      </c>
      <c r="J702" t="s">
        <v>29</v>
      </c>
      <c r="K702" s="5">
        <f>21767 / 86400</f>
        <v>0.25193287037037038</v>
      </c>
      <c r="L702" s="5">
        <f>287 / 86400</f>
        <v>3.3217592592592591E-3</v>
      </c>
    </row>
    <row r="703" spans="1:12" x14ac:dyDescent="0.25">
      <c r="A703" s="3">
        <v>45713.539143518516</v>
      </c>
      <c r="B703" t="s">
        <v>316</v>
      </c>
      <c r="C703" s="3">
        <v>45713.539293981477</v>
      </c>
      <c r="D703" t="s">
        <v>316</v>
      </c>
      <c r="E703" s="4">
        <v>1E-3</v>
      </c>
      <c r="F703" s="4">
        <v>49356.762999999999</v>
      </c>
      <c r="G703" s="4">
        <v>49356.764000000003</v>
      </c>
      <c r="H703" s="5">
        <f>0 / 86400</f>
        <v>0</v>
      </c>
      <c r="I703" t="s">
        <v>22</v>
      </c>
      <c r="J703" t="s">
        <v>22</v>
      </c>
      <c r="K703" s="5">
        <f>13 / 86400</f>
        <v>1.5046296296296297E-4</v>
      </c>
      <c r="L703" s="5">
        <f>2309 / 86400</f>
        <v>2.6724537037037036E-2</v>
      </c>
    </row>
    <row r="704" spans="1:12" x14ac:dyDescent="0.25">
      <c r="A704" s="3">
        <v>45713.566018518519</v>
      </c>
      <c r="B704" t="s">
        <v>316</v>
      </c>
      <c r="C704" s="3">
        <v>45713.567627314813</v>
      </c>
      <c r="D704" t="s">
        <v>82</v>
      </c>
      <c r="E704" s="4">
        <v>0.113</v>
      </c>
      <c r="F704" s="4">
        <v>49356.764000000003</v>
      </c>
      <c r="G704" s="4">
        <v>49356.877</v>
      </c>
      <c r="H704" s="5">
        <f>99 / 86400</f>
        <v>1.1458333333333333E-3</v>
      </c>
      <c r="I704" t="s">
        <v>134</v>
      </c>
      <c r="J704" t="s">
        <v>106</v>
      </c>
      <c r="K704" s="5">
        <f>139 / 86400</f>
        <v>1.6087962962962963E-3</v>
      </c>
      <c r="L704" s="5">
        <f>184 / 86400</f>
        <v>2.1296296296296298E-3</v>
      </c>
    </row>
    <row r="705" spans="1:12" x14ac:dyDescent="0.25">
      <c r="A705" s="3">
        <v>45713.569756944446</v>
      </c>
      <c r="B705" t="s">
        <v>82</v>
      </c>
      <c r="C705" s="3">
        <v>45713.570497685185</v>
      </c>
      <c r="D705" t="s">
        <v>82</v>
      </c>
      <c r="E705" s="4">
        <v>5.2999999999999999E-2</v>
      </c>
      <c r="F705" s="4">
        <v>49356.877</v>
      </c>
      <c r="G705" s="4">
        <v>49356.93</v>
      </c>
      <c r="H705" s="5">
        <f>20 / 86400</f>
        <v>2.3148148148148149E-4</v>
      </c>
      <c r="I705" t="s">
        <v>64</v>
      </c>
      <c r="J705" t="s">
        <v>106</v>
      </c>
      <c r="K705" s="5">
        <f>64 / 86400</f>
        <v>7.407407407407407E-4</v>
      </c>
      <c r="L705" s="5">
        <f>1740 / 86400</f>
        <v>2.013888888888889E-2</v>
      </c>
    </row>
    <row r="706" spans="1:12" x14ac:dyDescent="0.25">
      <c r="A706" s="3">
        <v>45713.590636574074</v>
      </c>
      <c r="B706" t="s">
        <v>82</v>
      </c>
      <c r="C706" s="3">
        <v>45713.592129629629</v>
      </c>
      <c r="D706" t="s">
        <v>82</v>
      </c>
      <c r="E706" s="4">
        <v>1.4999999999999999E-2</v>
      </c>
      <c r="F706" s="4">
        <v>49356.93</v>
      </c>
      <c r="G706" s="4">
        <v>49356.945</v>
      </c>
      <c r="H706" s="5">
        <f>80 / 86400</f>
        <v>9.2592592592592596E-4</v>
      </c>
      <c r="I706" t="s">
        <v>146</v>
      </c>
      <c r="J706" t="s">
        <v>22</v>
      </c>
      <c r="K706" s="5">
        <f>129 / 86400</f>
        <v>1.4930555555555556E-3</v>
      </c>
      <c r="L706" s="5">
        <f>1065 / 86400</f>
        <v>1.2326388888888888E-2</v>
      </c>
    </row>
    <row r="707" spans="1:12" x14ac:dyDescent="0.25">
      <c r="A707" s="3">
        <v>45713.604456018518</v>
      </c>
      <c r="B707" t="s">
        <v>82</v>
      </c>
      <c r="C707" s="3">
        <v>45713.605162037042</v>
      </c>
      <c r="D707" t="s">
        <v>82</v>
      </c>
      <c r="E707" s="4">
        <v>0</v>
      </c>
      <c r="F707" s="4">
        <v>49356.945</v>
      </c>
      <c r="G707" s="4">
        <v>49356.945</v>
      </c>
      <c r="H707" s="5">
        <f>59 / 86400</f>
        <v>6.8287037037037036E-4</v>
      </c>
      <c r="I707" t="s">
        <v>22</v>
      </c>
      <c r="J707" t="s">
        <v>22</v>
      </c>
      <c r="K707" s="5">
        <f>60 / 86400</f>
        <v>6.9444444444444447E-4</v>
      </c>
      <c r="L707" s="5">
        <f>64 / 86400</f>
        <v>7.407407407407407E-4</v>
      </c>
    </row>
    <row r="708" spans="1:12" x14ac:dyDescent="0.25">
      <c r="A708" s="3">
        <v>45713.605902777781</v>
      </c>
      <c r="B708" t="s">
        <v>82</v>
      </c>
      <c r="C708" s="3">
        <v>45713.606180555551</v>
      </c>
      <c r="D708" t="s">
        <v>82</v>
      </c>
      <c r="E708" s="4">
        <v>0</v>
      </c>
      <c r="F708" s="4">
        <v>49356.945</v>
      </c>
      <c r="G708" s="4">
        <v>49356.945</v>
      </c>
      <c r="H708" s="5">
        <f>19 / 86400</f>
        <v>2.199074074074074E-4</v>
      </c>
      <c r="I708" t="s">
        <v>22</v>
      </c>
      <c r="J708" t="s">
        <v>22</v>
      </c>
      <c r="K708" s="5">
        <f>23 / 86400</f>
        <v>2.6620370370370372E-4</v>
      </c>
      <c r="L708" s="5">
        <f>92 / 86400</f>
        <v>1.0648148148148149E-3</v>
      </c>
    </row>
    <row r="709" spans="1:12" x14ac:dyDescent="0.25">
      <c r="A709" s="3">
        <v>45713.607245370367</v>
      </c>
      <c r="B709" t="s">
        <v>82</v>
      </c>
      <c r="C709" s="3">
        <v>45713.640833333338</v>
      </c>
      <c r="D709" t="s">
        <v>67</v>
      </c>
      <c r="E709" s="4">
        <v>18.786999999999999</v>
      </c>
      <c r="F709" s="4">
        <v>49356.945</v>
      </c>
      <c r="G709" s="4">
        <v>49375.732000000004</v>
      </c>
      <c r="H709" s="5">
        <f>819 / 86400</f>
        <v>9.479166666666667E-3</v>
      </c>
      <c r="I709" t="s">
        <v>168</v>
      </c>
      <c r="J709" t="s">
        <v>38</v>
      </c>
      <c r="K709" s="5">
        <f>2901 / 86400</f>
        <v>3.3576388888888892E-2</v>
      </c>
      <c r="L709" s="5">
        <f>590 / 86400</f>
        <v>6.828703703703704E-3</v>
      </c>
    </row>
    <row r="710" spans="1:12" x14ac:dyDescent="0.25">
      <c r="A710" s="3">
        <v>45713.647662037038</v>
      </c>
      <c r="B710" t="s">
        <v>67</v>
      </c>
      <c r="C710" s="3">
        <v>45713.851087962961</v>
      </c>
      <c r="D710" t="s">
        <v>194</v>
      </c>
      <c r="E710" s="4">
        <v>73.975999999999999</v>
      </c>
      <c r="F710" s="4">
        <v>49375.732000000004</v>
      </c>
      <c r="G710" s="4">
        <v>49449.707999999999</v>
      </c>
      <c r="H710" s="5">
        <f>6410 / 86400</f>
        <v>7.418981481481482E-2</v>
      </c>
      <c r="I710" t="s">
        <v>47</v>
      </c>
      <c r="J710" t="s">
        <v>76</v>
      </c>
      <c r="K710" s="5">
        <f>17575 / 86400</f>
        <v>0.20341435185185186</v>
      </c>
      <c r="L710" s="5">
        <f>103 / 86400</f>
        <v>1.1921296296296296E-3</v>
      </c>
    </row>
    <row r="711" spans="1:12" x14ac:dyDescent="0.25">
      <c r="A711" s="3">
        <v>45713.852280092593</v>
      </c>
      <c r="B711" t="s">
        <v>194</v>
      </c>
      <c r="C711" s="3">
        <v>45713.884212962963</v>
      </c>
      <c r="D711" t="s">
        <v>350</v>
      </c>
      <c r="E711" s="4">
        <v>19.102</v>
      </c>
      <c r="F711" s="4">
        <v>49449.707999999999</v>
      </c>
      <c r="G711" s="4">
        <v>49468.81</v>
      </c>
      <c r="H711" s="5">
        <f>997 / 86400</f>
        <v>1.1539351851851851E-2</v>
      </c>
      <c r="I711" t="s">
        <v>37</v>
      </c>
      <c r="J711" t="s">
        <v>190</v>
      </c>
      <c r="K711" s="5">
        <f>2759 / 86400</f>
        <v>3.1932870370370368E-2</v>
      </c>
      <c r="L711" s="5">
        <f>26 / 86400</f>
        <v>3.0092592592592595E-4</v>
      </c>
    </row>
    <row r="712" spans="1:12" x14ac:dyDescent="0.25">
      <c r="A712" s="3">
        <v>45713.884513888886</v>
      </c>
      <c r="B712" t="s">
        <v>350</v>
      </c>
      <c r="C712" s="3">
        <v>45713.884606481486</v>
      </c>
      <c r="D712" t="s">
        <v>350</v>
      </c>
      <c r="E712" s="4">
        <v>0</v>
      </c>
      <c r="F712" s="4">
        <v>49468.81</v>
      </c>
      <c r="G712" s="4">
        <v>49468.81</v>
      </c>
      <c r="H712" s="5">
        <f>0 / 86400</f>
        <v>0</v>
      </c>
      <c r="I712" t="s">
        <v>22</v>
      </c>
      <c r="J712" t="s">
        <v>22</v>
      </c>
      <c r="K712" s="5">
        <f>8 / 86400</f>
        <v>9.2592592592592588E-5</v>
      </c>
      <c r="L712" s="5">
        <f>28 / 86400</f>
        <v>3.2407407407407406E-4</v>
      </c>
    </row>
    <row r="713" spans="1:12" x14ac:dyDescent="0.25">
      <c r="A713" s="3">
        <v>45713.884930555556</v>
      </c>
      <c r="B713" t="s">
        <v>350</v>
      </c>
      <c r="C713" s="3">
        <v>45713.885659722218</v>
      </c>
      <c r="D713" t="s">
        <v>350</v>
      </c>
      <c r="E713" s="4">
        <v>1.6E-2</v>
      </c>
      <c r="F713" s="4">
        <v>49468.81</v>
      </c>
      <c r="G713" s="4">
        <v>49468.826000000001</v>
      </c>
      <c r="H713" s="5">
        <f>39 / 86400</f>
        <v>4.5138888888888887E-4</v>
      </c>
      <c r="I713" t="s">
        <v>141</v>
      </c>
      <c r="J713" t="s">
        <v>144</v>
      </c>
      <c r="K713" s="5">
        <f>62 / 86400</f>
        <v>7.1759259259259259E-4</v>
      </c>
      <c r="L713" s="5">
        <f>10 / 86400</f>
        <v>1.1574074074074075E-4</v>
      </c>
    </row>
    <row r="714" spans="1:12" x14ac:dyDescent="0.25">
      <c r="A714" s="3">
        <v>45713.885775462964</v>
      </c>
      <c r="B714" t="s">
        <v>350</v>
      </c>
      <c r="C714" s="3">
        <v>45713.938449074078</v>
      </c>
      <c r="D714" t="s">
        <v>39</v>
      </c>
      <c r="E714" s="4">
        <v>19.234999999999999</v>
      </c>
      <c r="F714" s="4">
        <v>49468.826000000001</v>
      </c>
      <c r="G714" s="4">
        <v>49488.061000000002</v>
      </c>
      <c r="H714" s="5">
        <f>2060 / 86400</f>
        <v>2.3842592592592592E-2</v>
      </c>
      <c r="I714" t="s">
        <v>93</v>
      </c>
      <c r="J714" t="s">
        <v>76</v>
      </c>
      <c r="K714" s="5">
        <f>4551 / 86400</f>
        <v>5.2673611111111109E-2</v>
      </c>
      <c r="L714" s="5">
        <f>5317 / 86400</f>
        <v>6.1539351851851852E-2</v>
      </c>
    </row>
    <row r="715" spans="1:12" x14ac:dyDescent="0.25">
      <c r="A715" s="12"/>
      <c r="B715" s="12"/>
      <c r="C715" s="12"/>
      <c r="D715" s="12"/>
      <c r="E715" s="12"/>
      <c r="F715" s="12"/>
      <c r="G715" s="12"/>
      <c r="H715" s="12"/>
      <c r="I715" s="12"/>
      <c r="J715" s="12"/>
    </row>
    <row r="716" spans="1:12" x14ac:dyDescent="0.25">
      <c r="A716" s="12"/>
      <c r="B716" s="12"/>
      <c r="C716" s="12"/>
      <c r="D716" s="12"/>
      <c r="E716" s="12"/>
      <c r="F716" s="12"/>
      <c r="G716" s="12"/>
      <c r="H716" s="12"/>
      <c r="I716" s="12"/>
      <c r="J716" s="12"/>
    </row>
    <row r="717" spans="1:12" s="10" customFormat="1" ht="20.100000000000001" customHeight="1" x14ac:dyDescent="0.35">
      <c r="A717" s="15" t="s">
        <v>420</v>
      </c>
      <c r="B717" s="15"/>
      <c r="C717" s="15"/>
      <c r="D717" s="15"/>
      <c r="E717" s="15"/>
      <c r="F717" s="15"/>
      <c r="G717" s="15"/>
      <c r="H717" s="15"/>
      <c r="I717" s="15"/>
      <c r="J717" s="15"/>
    </row>
    <row r="718" spans="1:12" x14ac:dyDescent="0.25">
      <c r="A718" s="12"/>
      <c r="B718" s="12"/>
      <c r="C718" s="12"/>
      <c r="D718" s="12"/>
      <c r="E718" s="12"/>
      <c r="F718" s="12"/>
      <c r="G718" s="12"/>
      <c r="H718" s="12"/>
      <c r="I718" s="12"/>
      <c r="J718" s="12"/>
    </row>
    <row r="719" spans="1:12" ht="30" x14ac:dyDescent="0.25">
      <c r="A719" s="2" t="s">
        <v>6</v>
      </c>
      <c r="B719" s="2" t="s">
        <v>7</v>
      </c>
      <c r="C719" s="2" t="s">
        <v>8</v>
      </c>
      <c r="D719" s="2" t="s">
        <v>9</v>
      </c>
      <c r="E719" s="2" t="s">
        <v>10</v>
      </c>
      <c r="F719" s="2" t="s">
        <v>11</v>
      </c>
      <c r="G719" s="2" t="s">
        <v>12</v>
      </c>
      <c r="H719" s="2" t="s">
        <v>13</v>
      </c>
      <c r="I719" s="2" t="s">
        <v>14</v>
      </c>
      <c r="J719" s="2" t="s">
        <v>15</v>
      </c>
      <c r="K719" s="2" t="s">
        <v>16</v>
      </c>
      <c r="L719" s="2" t="s">
        <v>17</v>
      </c>
    </row>
    <row r="720" spans="1:12" x14ac:dyDescent="0.25">
      <c r="A720" s="3">
        <v>45713</v>
      </c>
      <c r="B720" t="s">
        <v>79</v>
      </c>
      <c r="C720" s="3">
        <v>45713.026874999996</v>
      </c>
      <c r="D720" t="s">
        <v>351</v>
      </c>
      <c r="E720" s="4">
        <v>15.036</v>
      </c>
      <c r="F720" s="4">
        <v>531151.52500000002</v>
      </c>
      <c r="G720" s="4">
        <v>531166.56099999999</v>
      </c>
      <c r="H720" s="5">
        <f>719 / 86400</f>
        <v>8.3217592592592596E-3</v>
      </c>
      <c r="I720" t="s">
        <v>35</v>
      </c>
      <c r="J720" t="s">
        <v>38</v>
      </c>
      <c r="K720" s="5">
        <f>2322 / 86400</f>
        <v>2.6875E-2</v>
      </c>
      <c r="L720" s="5">
        <f>13683 / 86400</f>
        <v>0.15836805555555555</v>
      </c>
    </row>
    <row r="721" spans="1:12" x14ac:dyDescent="0.25">
      <c r="A721" s="3">
        <v>45713.185243055559</v>
      </c>
      <c r="B721" t="s">
        <v>351</v>
      </c>
      <c r="C721" s="3">
        <v>45713.35392361111</v>
      </c>
      <c r="D721" t="s">
        <v>310</v>
      </c>
      <c r="E721" s="4">
        <v>84.822000000059603</v>
      </c>
      <c r="F721" s="4">
        <v>531166.56099999999</v>
      </c>
      <c r="G721" s="4">
        <v>531251.38300000003</v>
      </c>
      <c r="H721" s="5">
        <f>3779 / 86400</f>
        <v>4.3738425925925924E-2</v>
      </c>
      <c r="I721" t="s">
        <v>94</v>
      </c>
      <c r="J721" t="s">
        <v>125</v>
      </c>
      <c r="K721" s="5">
        <f>14574 / 86400</f>
        <v>0.16868055555555556</v>
      </c>
      <c r="L721" s="5">
        <f>4275 / 86400</f>
        <v>4.9479166666666664E-2</v>
      </c>
    </row>
    <row r="722" spans="1:12" x14ac:dyDescent="0.25">
      <c r="A722" s="3">
        <v>45713.403402777782</v>
      </c>
      <c r="B722" t="s">
        <v>310</v>
      </c>
      <c r="C722" s="3">
        <v>45713.407592592594</v>
      </c>
      <c r="D722" t="s">
        <v>132</v>
      </c>
      <c r="E722" s="4">
        <v>1.2839999999403953</v>
      </c>
      <c r="F722" s="4">
        <v>531251.38300000003</v>
      </c>
      <c r="G722" s="4">
        <v>531252.66700000002</v>
      </c>
      <c r="H722" s="5">
        <f>19 / 86400</f>
        <v>2.199074074074074E-4</v>
      </c>
      <c r="I722" t="s">
        <v>125</v>
      </c>
      <c r="J722" t="s">
        <v>45</v>
      </c>
      <c r="K722" s="5">
        <f>361 / 86400</f>
        <v>4.178240740740741E-3</v>
      </c>
      <c r="L722" s="5">
        <f>491 / 86400</f>
        <v>5.6828703703703702E-3</v>
      </c>
    </row>
    <row r="723" spans="1:12" x14ac:dyDescent="0.25">
      <c r="A723" s="3">
        <v>45713.413275462968</v>
      </c>
      <c r="B723" t="s">
        <v>132</v>
      </c>
      <c r="C723" s="3">
        <v>45713.546944444446</v>
      </c>
      <c r="D723" t="s">
        <v>352</v>
      </c>
      <c r="E723" s="4">
        <v>50.562000000059605</v>
      </c>
      <c r="F723" s="4">
        <v>531252.66700000002</v>
      </c>
      <c r="G723" s="4">
        <v>531303.22900000005</v>
      </c>
      <c r="H723" s="5">
        <f>4939 / 86400</f>
        <v>5.7164351851851855E-2</v>
      </c>
      <c r="I723" t="s">
        <v>317</v>
      </c>
      <c r="J723" t="s">
        <v>32</v>
      </c>
      <c r="K723" s="5">
        <f>11548 / 86400</f>
        <v>0.13365740740740742</v>
      </c>
      <c r="L723" s="5">
        <f>183 / 86400</f>
        <v>2.1180555555555558E-3</v>
      </c>
    </row>
    <row r="724" spans="1:12" x14ac:dyDescent="0.25">
      <c r="A724" s="3">
        <v>45713.549062499995</v>
      </c>
      <c r="B724" t="s">
        <v>353</v>
      </c>
      <c r="C724" s="3">
        <v>45713.552523148144</v>
      </c>
      <c r="D724" t="s">
        <v>354</v>
      </c>
      <c r="E724" s="4">
        <v>0.7579999998807907</v>
      </c>
      <c r="F724" s="4">
        <v>531303.22900000005</v>
      </c>
      <c r="G724" s="4">
        <v>531303.98699999996</v>
      </c>
      <c r="H724" s="5">
        <f>140 / 86400</f>
        <v>1.6203703703703703E-3</v>
      </c>
      <c r="I724" t="s">
        <v>119</v>
      </c>
      <c r="J724" t="s">
        <v>64</v>
      </c>
      <c r="K724" s="5">
        <f>299 / 86400</f>
        <v>3.460648148148148E-3</v>
      </c>
      <c r="L724" s="5">
        <f>946 / 86400</f>
        <v>1.0949074074074075E-2</v>
      </c>
    </row>
    <row r="725" spans="1:12" x14ac:dyDescent="0.25">
      <c r="A725" s="3">
        <v>45713.563472222224</v>
      </c>
      <c r="B725" t="s">
        <v>354</v>
      </c>
      <c r="C725" s="3">
        <v>45713.704930555556</v>
      </c>
      <c r="D725" t="s">
        <v>82</v>
      </c>
      <c r="E725" s="4">
        <v>49.317000000059608</v>
      </c>
      <c r="F725" s="4">
        <v>531303.98699999996</v>
      </c>
      <c r="G725" s="4">
        <v>531353.304</v>
      </c>
      <c r="H725" s="5">
        <f>5420 / 86400</f>
        <v>6.2731481481481485E-2</v>
      </c>
      <c r="I725" t="s">
        <v>331</v>
      </c>
      <c r="J725" t="s">
        <v>76</v>
      </c>
      <c r="K725" s="5">
        <f>12222 / 86400</f>
        <v>0.14145833333333332</v>
      </c>
      <c r="L725" s="5">
        <f>225 / 86400</f>
        <v>2.6041666666666665E-3</v>
      </c>
    </row>
    <row r="726" spans="1:12" x14ac:dyDescent="0.25">
      <c r="A726" s="3">
        <v>45713.707534722227</v>
      </c>
      <c r="B726" t="s">
        <v>82</v>
      </c>
      <c r="C726" s="3">
        <v>45713.709004629629</v>
      </c>
      <c r="D726" t="s">
        <v>115</v>
      </c>
      <c r="E726" s="4">
        <v>0.27099999994039536</v>
      </c>
      <c r="F726" s="4">
        <v>531353.304</v>
      </c>
      <c r="G726" s="4">
        <v>531353.57499999995</v>
      </c>
      <c r="H726" s="5">
        <f>20 / 86400</f>
        <v>2.3148148148148149E-4</v>
      </c>
      <c r="I726" t="s">
        <v>166</v>
      </c>
      <c r="J726" t="s">
        <v>97</v>
      </c>
      <c r="K726" s="5">
        <f>127 / 86400</f>
        <v>1.4699074074074074E-3</v>
      </c>
      <c r="L726" s="5">
        <f>2709 / 86400</f>
        <v>3.1354166666666669E-2</v>
      </c>
    </row>
    <row r="727" spans="1:12" x14ac:dyDescent="0.25">
      <c r="A727" s="3">
        <v>45713.740358796298</v>
      </c>
      <c r="B727" t="s">
        <v>115</v>
      </c>
      <c r="C727" s="3">
        <v>45713.815532407403</v>
      </c>
      <c r="D727" t="s">
        <v>234</v>
      </c>
      <c r="E727" s="4">
        <v>39.246000000059603</v>
      </c>
      <c r="F727" s="4">
        <v>531353.57499999995</v>
      </c>
      <c r="G727" s="4">
        <v>531392.821</v>
      </c>
      <c r="H727" s="5">
        <f>1961 / 86400</f>
        <v>2.269675925925926E-2</v>
      </c>
      <c r="I727" t="s">
        <v>62</v>
      </c>
      <c r="J727" t="s">
        <v>136</v>
      </c>
      <c r="K727" s="5">
        <f>6495 / 86400</f>
        <v>7.5173611111111108E-2</v>
      </c>
      <c r="L727" s="5">
        <f>362 / 86400</f>
        <v>4.1898148148148146E-3</v>
      </c>
    </row>
    <row r="728" spans="1:12" x14ac:dyDescent="0.25">
      <c r="A728" s="3">
        <v>45713.819722222222</v>
      </c>
      <c r="B728" t="s">
        <v>234</v>
      </c>
      <c r="C728" s="3">
        <v>45713.820462962962</v>
      </c>
      <c r="D728" t="s">
        <v>234</v>
      </c>
      <c r="E728" s="4">
        <v>0</v>
      </c>
      <c r="F728" s="4">
        <v>531392.821</v>
      </c>
      <c r="G728" s="4">
        <v>531392.821</v>
      </c>
      <c r="H728" s="5">
        <f>59 / 86400</f>
        <v>6.8287037037037036E-4</v>
      </c>
      <c r="I728" t="s">
        <v>22</v>
      </c>
      <c r="J728" t="s">
        <v>22</v>
      </c>
      <c r="K728" s="5">
        <f>64 / 86400</f>
        <v>7.407407407407407E-4</v>
      </c>
      <c r="L728" s="5">
        <f>113 / 86400</f>
        <v>1.3078703703703703E-3</v>
      </c>
    </row>
    <row r="729" spans="1:12" x14ac:dyDescent="0.25">
      <c r="A729" s="3">
        <v>45713.821770833332</v>
      </c>
      <c r="B729" t="s">
        <v>234</v>
      </c>
      <c r="C729" s="3">
        <v>45713.984629629631</v>
      </c>
      <c r="D729" t="s">
        <v>278</v>
      </c>
      <c r="E729" s="4">
        <v>64.552000000000007</v>
      </c>
      <c r="F729" s="4">
        <v>531392.821</v>
      </c>
      <c r="G729" s="4">
        <v>531457.37300000002</v>
      </c>
      <c r="H729" s="5">
        <f>6502 / 86400</f>
        <v>7.525462962962963E-2</v>
      </c>
      <c r="I729" t="s">
        <v>81</v>
      </c>
      <c r="J729" t="s">
        <v>20</v>
      </c>
      <c r="K729" s="5">
        <f>14071 / 86400</f>
        <v>0.16285879629629629</v>
      </c>
      <c r="L729" s="5">
        <f>49 / 86400</f>
        <v>5.6712962962962967E-4</v>
      </c>
    </row>
    <row r="730" spans="1:12" x14ac:dyDescent="0.25">
      <c r="A730" s="3">
        <v>45713.985196759255</v>
      </c>
      <c r="B730" t="s">
        <v>278</v>
      </c>
      <c r="C730" s="3">
        <v>45713.985416666663</v>
      </c>
      <c r="D730" t="s">
        <v>278</v>
      </c>
      <c r="E730" s="4">
        <v>0</v>
      </c>
      <c r="F730" s="4">
        <v>531457.37300000002</v>
      </c>
      <c r="G730" s="4">
        <v>531457.37300000002</v>
      </c>
      <c r="H730" s="5">
        <f>0 / 86400</f>
        <v>0</v>
      </c>
      <c r="I730" t="s">
        <v>22</v>
      </c>
      <c r="J730" t="s">
        <v>22</v>
      </c>
      <c r="K730" s="5">
        <f>18 / 86400</f>
        <v>2.0833333333333335E-4</v>
      </c>
      <c r="L730" s="5">
        <f>3 / 86400</f>
        <v>3.4722222222222222E-5</v>
      </c>
    </row>
    <row r="731" spans="1:12" x14ac:dyDescent="0.25">
      <c r="A731" s="3">
        <v>45713.985451388886</v>
      </c>
      <c r="B731" t="s">
        <v>278</v>
      </c>
      <c r="C731" s="3">
        <v>45713.99998842593</v>
      </c>
      <c r="D731" t="s">
        <v>80</v>
      </c>
      <c r="E731" s="4">
        <v>6.0970000000000004</v>
      </c>
      <c r="F731" s="4">
        <v>531457.37300000002</v>
      </c>
      <c r="G731" s="4">
        <v>531463.47</v>
      </c>
      <c r="H731" s="5">
        <f>600 / 86400</f>
        <v>6.9444444444444441E-3</v>
      </c>
      <c r="I731" t="s">
        <v>31</v>
      </c>
      <c r="J731" t="s">
        <v>20</v>
      </c>
      <c r="K731" s="5">
        <f>1256 / 86400</f>
        <v>1.4537037037037038E-2</v>
      </c>
      <c r="L731" s="5">
        <f>0 / 86400</f>
        <v>0</v>
      </c>
    </row>
    <row r="732" spans="1:12" x14ac:dyDescent="0.25">
      <c r="A732" s="12"/>
      <c r="B732" s="12"/>
      <c r="C732" s="12"/>
      <c r="D732" s="12"/>
      <c r="E732" s="12"/>
      <c r="F732" s="12"/>
      <c r="G732" s="12"/>
      <c r="H732" s="12"/>
      <c r="I732" s="12"/>
      <c r="J732" s="12"/>
    </row>
    <row r="733" spans="1:12" x14ac:dyDescent="0.25">
      <c r="A733" s="12"/>
      <c r="B733" s="12"/>
      <c r="C733" s="12"/>
      <c r="D733" s="12"/>
      <c r="E733" s="12"/>
      <c r="F733" s="12"/>
      <c r="G733" s="12"/>
      <c r="H733" s="12"/>
      <c r="I733" s="12"/>
      <c r="J733" s="12"/>
    </row>
    <row r="734" spans="1:12" s="10" customFormat="1" ht="20.100000000000001" customHeight="1" x14ac:dyDescent="0.35">
      <c r="A734" s="15" t="s">
        <v>421</v>
      </c>
      <c r="B734" s="15"/>
      <c r="C734" s="15"/>
      <c r="D734" s="15"/>
      <c r="E734" s="15"/>
      <c r="F734" s="15"/>
      <c r="G734" s="15"/>
      <c r="H734" s="15"/>
      <c r="I734" s="15"/>
      <c r="J734" s="15"/>
    </row>
    <row r="735" spans="1:12" x14ac:dyDescent="0.25">
      <c r="A735" s="12"/>
      <c r="B735" s="12"/>
      <c r="C735" s="12"/>
      <c r="D735" s="12"/>
      <c r="E735" s="12"/>
      <c r="F735" s="12"/>
      <c r="G735" s="12"/>
      <c r="H735" s="12"/>
      <c r="I735" s="12"/>
      <c r="J735" s="12"/>
    </row>
    <row r="736" spans="1:12" ht="30" x14ac:dyDescent="0.25">
      <c r="A736" s="2" t="s">
        <v>6</v>
      </c>
      <c r="B736" s="2" t="s">
        <v>7</v>
      </c>
      <c r="C736" s="2" t="s">
        <v>8</v>
      </c>
      <c r="D736" s="2" t="s">
        <v>9</v>
      </c>
      <c r="E736" s="2" t="s">
        <v>10</v>
      </c>
      <c r="F736" s="2" t="s">
        <v>11</v>
      </c>
      <c r="G736" s="2" t="s">
        <v>12</v>
      </c>
      <c r="H736" s="2" t="s">
        <v>13</v>
      </c>
      <c r="I736" s="2" t="s">
        <v>14</v>
      </c>
      <c r="J736" s="2" t="s">
        <v>15</v>
      </c>
      <c r="K736" s="2" t="s">
        <v>16</v>
      </c>
      <c r="L736" s="2" t="s">
        <v>17</v>
      </c>
    </row>
    <row r="737" spans="1:12" x14ac:dyDescent="0.25">
      <c r="A737" s="3">
        <v>45713.212013888886</v>
      </c>
      <c r="B737" t="s">
        <v>39</v>
      </c>
      <c r="C737" s="3">
        <v>45713.217199074075</v>
      </c>
      <c r="D737" t="s">
        <v>175</v>
      </c>
      <c r="E737" s="4">
        <v>0.38400000000000001</v>
      </c>
      <c r="F737" s="4">
        <v>570151.85900000005</v>
      </c>
      <c r="G737" s="4">
        <v>570152.24300000002</v>
      </c>
      <c r="H737" s="5">
        <f>359 / 86400</f>
        <v>4.1550925925925922E-3</v>
      </c>
      <c r="I737" t="s">
        <v>105</v>
      </c>
      <c r="J737" t="s">
        <v>106</v>
      </c>
      <c r="K737" s="5">
        <f>448 / 86400</f>
        <v>5.185185185185185E-3</v>
      </c>
      <c r="L737" s="5">
        <f>18319 / 86400</f>
        <v>0.21202546296296296</v>
      </c>
    </row>
    <row r="738" spans="1:12" x14ac:dyDescent="0.25">
      <c r="A738" s="3">
        <v>45713.217210648145</v>
      </c>
      <c r="B738" t="s">
        <v>175</v>
      </c>
      <c r="C738" s="3">
        <v>45713.217581018514</v>
      </c>
      <c r="D738" t="s">
        <v>209</v>
      </c>
      <c r="E738" s="4">
        <v>4.0000000000000001E-3</v>
      </c>
      <c r="F738" s="4">
        <v>570152.24300000002</v>
      </c>
      <c r="G738" s="4">
        <v>570152.24699999997</v>
      </c>
      <c r="H738" s="5">
        <f>0 / 86400</f>
        <v>0</v>
      </c>
      <c r="I738" t="s">
        <v>147</v>
      </c>
      <c r="J738" t="s">
        <v>22</v>
      </c>
      <c r="K738" s="5">
        <f>32 / 86400</f>
        <v>3.7037037037037035E-4</v>
      </c>
      <c r="L738" s="5">
        <f>220 / 86400</f>
        <v>2.5462962962962965E-3</v>
      </c>
    </row>
    <row r="739" spans="1:12" x14ac:dyDescent="0.25">
      <c r="A739" s="3">
        <v>45713.220127314809</v>
      </c>
      <c r="B739" t="s">
        <v>209</v>
      </c>
      <c r="C739" s="3">
        <v>45713.220312500001</v>
      </c>
      <c r="D739" t="s">
        <v>209</v>
      </c>
      <c r="E739" s="4">
        <v>3.0000000000000001E-3</v>
      </c>
      <c r="F739" s="4">
        <v>570152.24699999997</v>
      </c>
      <c r="G739" s="4">
        <v>570152.25</v>
      </c>
      <c r="H739" s="5">
        <f>0 / 86400</f>
        <v>0</v>
      </c>
      <c r="I739" t="s">
        <v>22</v>
      </c>
      <c r="J739" t="s">
        <v>144</v>
      </c>
      <c r="K739" s="5">
        <f>16 / 86400</f>
        <v>1.8518518518518518E-4</v>
      </c>
      <c r="L739" s="5">
        <f>374 / 86400</f>
        <v>4.3287037037037035E-3</v>
      </c>
    </row>
    <row r="740" spans="1:12" x14ac:dyDescent="0.25">
      <c r="A740" s="3">
        <v>45713.224641203706</v>
      </c>
      <c r="B740" t="s">
        <v>209</v>
      </c>
      <c r="C740" s="3">
        <v>45713.22483796296</v>
      </c>
      <c r="D740" t="s">
        <v>209</v>
      </c>
      <c r="E740" s="4">
        <v>3.0000000000000001E-3</v>
      </c>
      <c r="F740" s="4">
        <v>570152.25</v>
      </c>
      <c r="G740" s="4">
        <v>570152.25300000003</v>
      </c>
      <c r="H740" s="5">
        <f>0 / 86400</f>
        <v>0</v>
      </c>
      <c r="I740" t="s">
        <v>22</v>
      </c>
      <c r="J740" t="s">
        <v>144</v>
      </c>
      <c r="K740" s="5">
        <f>16 / 86400</f>
        <v>1.8518518518518518E-4</v>
      </c>
      <c r="L740" s="5">
        <f>246 / 86400</f>
        <v>2.8472222222222223E-3</v>
      </c>
    </row>
    <row r="741" spans="1:12" x14ac:dyDescent="0.25">
      <c r="A741" s="3">
        <v>45713.227685185186</v>
      </c>
      <c r="B741" t="s">
        <v>209</v>
      </c>
      <c r="C741" s="3">
        <v>45713.44231481482</v>
      </c>
      <c r="D741" t="s">
        <v>82</v>
      </c>
      <c r="E741" s="4">
        <v>81.727999999999994</v>
      </c>
      <c r="F741" s="4">
        <v>570152.25300000003</v>
      </c>
      <c r="G741" s="4">
        <v>570233.98100000003</v>
      </c>
      <c r="H741" s="5">
        <f>6336 / 86400</f>
        <v>7.3333333333333334E-2</v>
      </c>
      <c r="I741" t="s">
        <v>65</v>
      </c>
      <c r="J741" t="s">
        <v>32</v>
      </c>
      <c r="K741" s="5">
        <f>18543 / 86400</f>
        <v>0.21461805555555555</v>
      </c>
      <c r="L741" s="5">
        <f>350 / 86400</f>
        <v>4.0509259259259257E-3</v>
      </c>
    </row>
    <row r="742" spans="1:12" x14ac:dyDescent="0.25">
      <c r="A742" s="3">
        <v>45713.44636574074</v>
      </c>
      <c r="B742" t="s">
        <v>82</v>
      </c>
      <c r="C742" s="3">
        <v>45713.44939814815</v>
      </c>
      <c r="D742" t="s">
        <v>137</v>
      </c>
      <c r="E742" s="4">
        <v>0.63600000000000001</v>
      </c>
      <c r="F742" s="4">
        <v>570233.98100000003</v>
      </c>
      <c r="G742" s="4">
        <v>570234.61699999997</v>
      </c>
      <c r="H742" s="5">
        <f>80 / 86400</f>
        <v>9.2592592592592596E-4</v>
      </c>
      <c r="I742" t="s">
        <v>166</v>
      </c>
      <c r="J742" t="s">
        <v>64</v>
      </c>
      <c r="K742" s="5">
        <f>262 / 86400</f>
        <v>3.0324074074074073E-3</v>
      </c>
      <c r="L742" s="5">
        <f>2665 / 86400</f>
        <v>3.0844907407407408E-2</v>
      </c>
    </row>
    <row r="743" spans="1:12" x14ac:dyDescent="0.25">
      <c r="A743" s="3">
        <v>45713.480243055557</v>
      </c>
      <c r="B743" t="s">
        <v>137</v>
      </c>
      <c r="C743" s="3">
        <v>45713.485682870371</v>
      </c>
      <c r="D743" t="s">
        <v>307</v>
      </c>
      <c r="E743" s="4">
        <v>0.71799999999999997</v>
      </c>
      <c r="F743" s="4">
        <v>570234.61699999997</v>
      </c>
      <c r="G743" s="4">
        <v>570235.33499999996</v>
      </c>
      <c r="H743" s="5">
        <f>240 / 86400</f>
        <v>2.7777777777777779E-3</v>
      </c>
      <c r="I743" t="s">
        <v>125</v>
      </c>
      <c r="J743" t="s">
        <v>146</v>
      </c>
      <c r="K743" s="5">
        <f>470 / 86400</f>
        <v>5.4398148148148149E-3</v>
      </c>
      <c r="L743" s="5">
        <f>3427 / 86400</f>
        <v>3.9664351851851853E-2</v>
      </c>
    </row>
    <row r="744" spans="1:12" x14ac:dyDescent="0.25">
      <c r="A744" s="3">
        <v>45713.525347222225</v>
      </c>
      <c r="B744" t="s">
        <v>307</v>
      </c>
      <c r="C744" s="3">
        <v>45713.52616898148</v>
      </c>
      <c r="D744" t="s">
        <v>313</v>
      </c>
      <c r="E744" s="4">
        <v>0.20100000000000001</v>
      </c>
      <c r="F744" s="4">
        <v>570235.33499999996</v>
      </c>
      <c r="G744" s="4">
        <v>570235.53599999996</v>
      </c>
      <c r="H744" s="5">
        <f>0 / 86400</f>
        <v>0</v>
      </c>
      <c r="I744" t="s">
        <v>76</v>
      </c>
      <c r="J744" t="s">
        <v>134</v>
      </c>
      <c r="K744" s="5">
        <f>70 / 86400</f>
        <v>8.1018518518518516E-4</v>
      </c>
      <c r="L744" s="5">
        <f>46 / 86400</f>
        <v>5.3240740740740744E-4</v>
      </c>
    </row>
    <row r="745" spans="1:12" x14ac:dyDescent="0.25">
      <c r="A745" s="3">
        <v>45713.526701388888</v>
      </c>
      <c r="B745" t="s">
        <v>313</v>
      </c>
      <c r="C745" s="3">
        <v>45713.670856481476</v>
      </c>
      <c r="D745" t="s">
        <v>355</v>
      </c>
      <c r="E745" s="4">
        <v>50.981000000000002</v>
      </c>
      <c r="F745" s="4">
        <v>570235.53599999996</v>
      </c>
      <c r="G745" s="4">
        <v>570286.51699999999</v>
      </c>
      <c r="H745" s="5">
        <f>4708 / 86400</f>
        <v>5.4490740740740742E-2</v>
      </c>
      <c r="I745" t="s">
        <v>40</v>
      </c>
      <c r="J745" t="s">
        <v>76</v>
      </c>
      <c r="K745" s="5">
        <f>12454 / 86400</f>
        <v>0.14414351851851853</v>
      </c>
      <c r="L745" s="5">
        <f>1 / 86400</f>
        <v>1.1574074074074073E-5</v>
      </c>
    </row>
    <row r="746" spans="1:12" x14ac:dyDescent="0.25">
      <c r="A746" s="3">
        <v>45713.67086805556</v>
      </c>
      <c r="B746" t="s">
        <v>355</v>
      </c>
      <c r="C746" s="3">
        <v>45713.672858796301</v>
      </c>
      <c r="D746" t="s">
        <v>323</v>
      </c>
      <c r="E746" s="4">
        <v>4.0000000000000001E-3</v>
      </c>
      <c r="F746" s="4">
        <v>570286.51699999999</v>
      </c>
      <c r="G746" s="4">
        <v>570286.52099999995</v>
      </c>
      <c r="H746" s="5">
        <f>157 / 86400</f>
        <v>1.8171296296296297E-3</v>
      </c>
      <c r="I746" t="s">
        <v>22</v>
      </c>
      <c r="J746" t="s">
        <v>22</v>
      </c>
      <c r="K746" s="5">
        <f>172 / 86400</f>
        <v>1.9907407407407408E-3</v>
      </c>
      <c r="L746" s="5">
        <f>1 / 86400</f>
        <v>1.1574074074074073E-5</v>
      </c>
    </row>
    <row r="747" spans="1:12" x14ac:dyDescent="0.25">
      <c r="A747" s="3">
        <v>45713.67287037037</v>
      </c>
      <c r="B747" t="s">
        <v>323</v>
      </c>
      <c r="C747" s="3">
        <v>45713.79310185185</v>
      </c>
      <c r="D747" t="s">
        <v>23</v>
      </c>
      <c r="E747" s="4">
        <v>30.768999999999998</v>
      </c>
      <c r="F747" s="4">
        <v>570286.52099999995</v>
      </c>
      <c r="G747" s="4">
        <v>570317.29</v>
      </c>
      <c r="H747" s="5">
        <f>4464 / 86400</f>
        <v>5.1666666666666666E-2</v>
      </c>
      <c r="I747" t="s">
        <v>309</v>
      </c>
      <c r="J747" t="s">
        <v>53</v>
      </c>
      <c r="K747" s="5">
        <f>10388 / 86400</f>
        <v>0.12023148148148148</v>
      </c>
      <c r="L747" s="5">
        <f>278 / 86400</f>
        <v>3.2175925925925926E-3</v>
      </c>
    </row>
    <row r="748" spans="1:12" x14ac:dyDescent="0.25">
      <c r="A748" s="3">
        <v>45713.796319444446</v>
      </c>
      <c r="B748" t="s">
        <v>23</v>
      </c>
      <c r="C748" s="3">
        <v>45713.797858796301</v>
      </c>
      <c r="D748" t="s">
        <v>27</v>
      </c>
      <c r="E748" s="4">
        <v>0.312</v>
      </c>
      <c r="F748" s="4">
        <v>570317.29</v>
      </c>
      <c r="G748" s="4">
        <v>570317.60199999996</v>
      </c>
      <c r="H748" s="5">
        <f>19 / 86400</f>
        <v>2.199074074074074E-4</v>
      </c>
      <c r="I748" t="s">
        <v>32</v>
      </c>
      <c r="J748" t="s">
        <v>97</v>
      </c>
      <c r="K748" s="5">
        <f>133 / 86400</f>
        <v>1.5393518518518519E-3</v>
      </c>
      <c r="L748" s="5">
        <f>298 / 86400</f>
        <v>3.449074074074074E-3</v>
      </c>
    </row>
    <row r="749" spans="1:12" x14ac:dyDescent="0.25">
      <c r="A749" s="3">
        <v>45713.801307870366</v>
      </c>
      <c r="B749" t="s">
        <v>27</v>
      </c>
      <c r="C749" s="3">
        <v>45713.802650462967</v>
      </c>
      <c r="D749" t="s">
        <v>27</v>
      </c>
      <c r="E749" s="4">
        <v>0.23400000000000001</v>
      </c>
      <c r="F749" s="4">
        <v>570317.60199999996</v>
      </c>
      <c r="G749" s="4">
        <v>570317.83600000001</v>
      </c>
      <c r="H749" s="5">
        <f>20 / 86400</f>
        <v>2.3148148148148149E-4</v>
      </c>
      <c r="I749" t="s">
        <v>38</v>
      </c>
      <c r="J749" t="s">
        <v>34</v>
      </c>
      <c r="K749" s="5">
        <f>116 / 86400</f>
        <v>1.3425925925925925E-3</v>
      </c>
      <c r="L749" s="5">
        <f>16 / 86400</f>
        <v>1.8518518518518518E-4</v>
      </c>
    </row>
    <row r="750" spans="1:12" x14ac:dyDescent="0.25">
      <c r="A750" s="3">
        <v>45713.802835648152</v>
      </c>
      <c r="B750" t="s">
        <v>27</v>
      </c>
      <c r="C750" s="3">
        <v>45713.802997685183</v>
      </c>
      <c r="D750" t="s">
        <v>27</v>
      </c>
      <c r="E750" s="4">
        <v>0</v>
      </c>
      <c r="F750" s="4">
        <v>570317.83600000001</v>
      </c>
      <c r="G750" s="4">
        <v>570317.83600000001</v>
      </c>
      <c r="H750" s="5">
        <f>0 / 86400</f>
        <v>0</v>
      </c>
      <c r="I750" t="s">
        <v>22</v>
      </c>
      <c r="J750" t="s">
        <v>22</v>
      </c>
      <c r="K750" s="5">
        <f>14 / 86400</f>
        <v>1.6203703703703703E-4</v>
      </c>
      <c r="L750" s="5">
        <f>6816 / 86400</f>
        <v>7.8888888888888883E-2</v>
      </c>
    </row>
    <row r="751" spans="1:12" x14ac:dyDescent="0.25">
      <c r="A751" s="3">
        <v>45713.881886574076</v>
      </c>
      <c r="B751" t="s">
        <v>27</v>
      </c>
      <c r="C751" s="3">
        <v>45713.883356481485</v>
      </c>
      <c r="D751" t="s">
        <v>27</v>
      </c>
      <c r="E751" s="4">
        <v>3.7999999999999999E-2</v>
      </c>
      <c r="F751" s="4">
        <v>570317.83600000001</v>
      </c>
      <c r="G751" s="4">
        <v>570317.87399999995</v>
      </c>
      <c r="H751" s="5">
        <f>59 / 86400</f>
        <v>6.8287037037037036E-4</v>
      </c>
      <c r="I751" t="s">
        <v>34</v>
      </c>
      <c r="J751" t="s">
        <v>144</v>
      </c>
      <c r="K751" s="5">
        <f>127 / 86400</f>
        <v>1.4699074074074074E-3</v>
      </c>
      <c r="L751" s="5">
        <f>10077 / 86400</f>
        <v>0.11663194444444444</v>
      </c>
    </row>
    <row r="752" spans="1:12" x14ac:dyDescent="0.25">
      <c r="A752" s="12"/>
      <c r="B752" s="12"/>
      <c r="C752" s="12"/>
      <c r="D752" s="12"/>
      <c r="E752" s="12"/>
      <c r="F752" s="12"/>
      <c r="G752" s="12"/>
      <c r="H752" s="12"/>
      <c r="I752" s="12"/>
      <c r="J752" s="12"/>
    </row>
    <row r="753" spans="1:12" x14ac:dyDescent="0.25">
      <c r="A753" s="12"/>
      <c r="B753" s="12"/>
      <c r="C753" s="12"/>
      <c r="D753" s="12"/>
      <c r="E753" s="12"/>
      <c r="F753" s="12"/>
      <c r="G753" s="12"/>
      <c r="H753" s="12"/>
      <c r="I753" s="12"/>
      <c r="J753" s="12"/>
    </row>
    <row r="754" spans="1:12" s="10" customFormat="1" ht="20.100000000000001" customHeight="1" x14ac:dyDescent="0.35">
      <c r="A754" s="15" t="s">
        <v>422</v>
      </c>
      <c r="B754" s="15"/>
      <c r="C754" s="15"/>
      <c r="D754" s="15"/>
      <c r="E754" s="15"/>
      <c r="F754" s="15"/>
      <c r="G754" s="15"/>
      <c r="H754" s="15"/>
      <c r="I754" s="15"/>
      <c r="J754" s="15"/>
    </row>
    <row r="755" spans="1:12" x14ac:dyDescent="0.25">
      <c r="A755" s="12"/>
      <c r="B755" s="12"/>
      <c r="C755" s="12"/>
      <c r="D755" s="12"/>
      <c r="E755" s="12"/>
      <c r="F755" s="12"/>
      <c r="G755" s="12"/>
      <c r="H755" s="12"/>
      <c r="I755" s="12"/>
      <c r="J755" s="12"/>
    </row>
    <row r="756" spans="1:12" ht="30" x14ac:dyDescent="0.25">
      <c r="A756" s="2" t="s">
        <v>6</v>
      </c>
      <c r="B756" s="2" t="s">
        <v>7</v>
      </c>
      <c r="C756" s="2" t="s">
        <v>8</v>
      </c>
      <c r="D756" s="2" t="s">
        <v>9</v>
      </c>
      <c r="E756" s="2" t="s">
        <v>10</v>
      </c>
      <c r="F756" s="2" t="s">
        <v>11</v>
      </c>
      <c r="G756" s="2" t="s">
        <v>12</v>
      </c>
      <c r="H756" s="2" t="s">
        <v>13</v>
      </c>
      <c r="I756" s="2" t="s">
        <v>14</v>
      </c>
      <c r="J756" s="2" t="s">
        <v>15</v>
      </c>
      <c r="K756" s="2" t="s">
        <v>16</v>
      </c>
      <c r="L756" s="2" t="s">
        <v>17</v>
      </c>
    </row>
    <row r="757" spans="1:12" x14ac:dyDescent="0.25">
      <c r="A757" s="3">
        <v>45713.215636574074</v>
      </c>
      <c r="B757" t="s">
        <v>82</v>
      </c>
      <c r="C757" s="3">
        <v>45713.217777777776</v>
      </c>
      <c r="D757" t="s">
        <v>115</v>
      </c>
      <c r="E757" s="4">
        <v>0.27200000000000002</v>
      </c>
      <c r="F757" s="4">
        <v>436854.43400000001</v>
      </c>
      <c r="G757" s="4">
        <v>436854.70600000001</v>
      </c>
      <c r="H757" s="5">
        <f>39 / 86400</f>
        <v>4.5138888888888887E-4</v>
      </c>
      <c r="I757" t="s">
        <v>111</v>
      </c>
      <c r="J757" t="s">
        <v>146</v>
      </c>
      <c r="K757" s="5">
        <f>185 / 86400</f>
        <v>2.1412037037037038E-3</v>
      </c>
      <c r="L757" s="5">
        <f>20953 / 86400</f>
        <v>0.24251157407407409</v>
      </c>
    </row>
    <row r="758" spans="1:12" x14ac:dyDescent="0.25">
      <c r="A758" s="3">
        <v>45713.244652777779</v>
      </c>
      <c r="B758" t="s">
        <v>115</v>
      </c>
      <c r="C758" s="3">
        <v>45713.248391203699</v>
      </c>
      <c r="D758" t="s">
        <v>316</v>
      </c>
      <c r="E758" s="4">
        <v>0.24399999999999999</v>
      </c>
      <c r="F758" s="4">
        <v>436854.70600000001</v>
      </c>
      <c r="G758" s="4">
        <v>436854.95</v>
      </c>
      <c r="H758" s="5">
        <f>199 / 86400</f>
        <v>2.3032407407407407E-3</v>
      </c>
      <c r="I758" t="s">
        <v>158</v>
      </c>
      <c r="J758" t="s">
        <v>106</v>
      </c>
      <c r="K758" s="5">
        <f>323 / 86400</f>
        <v>3.7384259259259259E-3</v>
      </c>
      <c r="L758" s="5">
        <f>4560 / 86400</f>
        <v>5.2777777777777778E-2</v>
      </c>
    </row>
    <row r="759" spans="1:12" x14ac:dyDescent="0.25">
      <c r="A759" s="3">
        <v>45713.301168981481</v>
      </c>
      <c r="B759" t="s">
        <v>316</v>
      </c>
      <c r="C759" s="3">
        <v>45713.302175925928</v>
      </c>
      <c r="D759" t="s">
        <v>316</v>
      </c>
      <c r="E759" s="4">
        <v>1.7999999999999999E-2</v>
      </c>
      <c r="F759" s="4">
        <v>436854.95</v>
      </c>
      <c r="G759" s="4">
        <v>436854.96799999999</v>
      </c>
      <c r="H759" s="5">
        <f>59 / 86400</f>
        <v>6.8287037037037036E-4</v>
      </c>
      <c r="I759" t="s">
        <v>146</v>
      </c>
      <c r="J759" t="s">
        <v>144</v>
      </c>
      <c r="K759" s="5">
        <f>87 / 86400</f>
        <v>1.0069444444444444E-3</v>
      </c>
      <c r="L759" s="5">
        <f>261 / 86400</f>
        <v>3.0208333333333333E-3</v>
      </c>
    </row>
    <row r="760" spans="1:12" x14ac:dyDescent="0.25">
      <c r="A760" s="3">
        <v>45713.305196759262</v>
      </c>
      <c r="B760" t="s">
        <v>316</v>
      </c>
      <c r="C760" s="3">
        <v>45713.595902777779</v>
      </c>
      <c r="D760" t="s">
        <v>82</v>
      </c>
      <c r="E760" s="4">
        <v>100.99</v>
      </c>
      <c r="F760" s="4">
        <v>436854.96799999999</v>
      </c>
      <c r="G760" s="4">
        <v>436955.95799999998</v>
      </c>
      <c r="H760" s="5">
        <f>9977 / 86400</f>
        <v>0.11547453703703704</v>
      </c>
      <c r="I760" t="s">
        <v>75</v>
      </c>
      <c r="J760" t="s">
        <v>29</v>
      </c>
      <c r="K760" s="5">
        <f>25117 / 86400</f>
        <v>0.29070601851851852</v>
      </c>
      <c r="L760" s="5">
        <f>6048 / 86400</f>
        <v>7.0000000000000007E-2</v>
      </c>
    </row>
    <row r="761" spans="1:12" x14ac:dyDescent="0.25">
      <c r="A761" s="3">
        <v>45713.665902777779</v>
      </c>
      <c r="B761" t="s">
        <v>82</v>
      </c>
      <c r="C761" s="3">
        <v>45713.666493055556</v>
      </c>
      <c r="D761" t="s">
        <v>82</v>
      </c>
      <c r="E761" s="4">
        <v>1.6E-2</v>
      </c>
      <c r="F761" s="4">
        <v>436955.95799999998</v>
      </c>
      <c r="G761" s="4">
        <v>436955.97399999999</v>
      </c>
      <c r="H761" s="5">
        <f>19 / 86400</f>
        <v>2.199074074074074E-4</v>
      </c>
      <c r="I761" t="s">
        <v>146</v>
      </c>
      <c r="J761" t="s">
        <v>144</v>
      </c>
      <c r="K761" s="5">
        <f>50 / 86400</f>
        <v>5.7870370370370367E-4</v>
      </c>
      <c r="L761" s="5">
        <f>344 / 86400</f>
        <v>3.9814814814814817E-3</v>
      </c>
    </row>
    <row r="762" spans="1:12" x14ac:dyDescent="0.25">
      <c r="A762" s="3">
        <v>45713.670474537037</v>
      </c>
      <c r="B762" t="s">
        <v>82</v>
      </c>
      <c r="C762" s="3">
        <v>45713.882685185185</v>
      </c>
      <c r="D762" t="s">
        <v>356</v>
      </c>
      <c r="E762" s="4">
        <v>69.528999999999996</v>
      </c>
      <c r="F762" s="4">
        <v>436955.97399999999</v>
      </c>
      <c r="G762" s="4">
        <v>437025.50300000003</v>
      </c>
      <c r="H762" s="5">
        <f>6841 / 86400</f>
        <v>7.9178240740740743E-2</v>
      </c>
      <c r="I762" t="s">
        <v>117</v>
      </c>
      <c r="J762" t="s">
        <v>29</v>
      </c>
      <c r="K762" s="5">
        <f>18335 / 86400</f>
        <v>0.21221064814814813</v>
      </c>
      <c r="L762" s="5">
        <f>335 / 86400</f>
        <v>3.8773148148148148E-3</v>
      </c>
    </row>
    <row r="763" spans="1:12" x14ac:dyDescent="0.25">
      <c r="A763" s="3">
        <v>45713.886562500003</v>
      </c>
      <c r="B763" t="s">
        <v>357</v>
      </c>
      <c r="C763" s="3">
        <v>45713.888217592597</v>
      </c>
      <c r="D763" t="s">
        <v>357</v>
      </c>
      <c r="E763" s="4">
        <v>6.2E-2</v>
      </c>
      <c r="F763" s="4">
        <v>437025.50300000003</v>
      </c>
      <c r="G763" s="4">
        <v>437025.565</v>
      </c>
      <c r="H763" s="5">
        <f>79 / 86400</f>
        <v>9.1435185185185185E-4</v>
      </c>
      <c r="I763" t="s">
        <v>34</v>
      </c>
      <c r="J763" t="s">
        <v>147</v>
      </c>
      <c r="K763" s="5">
        <f>142 / 86400</f>
        <v>1.6435185185185185E-3</v>
      </c>
      <c r="L763" s="5">
        <f>690 / 86400</f>
        <v>7.9861111111111105E-3</v>
      </c>
    </row>
    <row r="764" spans="1:12" x14ac:dyDescent="0.25">
      <c r="A764" s="3">
        <v>45713.896203703705</v>
      </c>
      <c r="B764" t="s">
        <v>358</v>
      </c>
      <c r="C764" s="3">
        <v>45713.909803240742</v>
      </c>
      <c r="D764" t="s">
        <v>320</v>
      </c>
      <c r="E764" s="4">
        <v>3.5110000000000001</v>
      </c>
      <c r="F764" s="4">
        <v>437025.565</v>
      </c>
      <c r="G764" s="4">
        <v>437029.076</v>
      </c>
      <c r="H764" s="5">
        <f>580 / 86400</f>
        <v>6.7129629629629631E-3</v>
      </c>
      <c r="I764" t="s">
        <v>216</v>
      </c>
      <c r="J764" t="s">
        <v>53</v>
      </c>
      <c r="K764" s="5">
        <f>1175 / 86400</f>
        <v>1.3599537037037037E-2</v>
      </c>
      <c r="L764" s="5">
        <f>1510 / 86400</f>
        <v>1.7476851851851851E-2</v>
      </c>
    </row>
    <row r="765" spans="1:12" x14ac:dyDescent="0.25">
      <c r="A765" s="3">
        <v>45713.927280092597</v>
      </c>
      <c r="B765" t="s">
        <v>320</v>
      </c>
      <c r="C765" s="3">
        <v>45713.927893518514</v>
      </c>
      <c r="D765" t="s">
        <v>320</v>
      </c>
      <c r="E765" s="4">
        <v>8.9999999999999993E-3</v>
      </c>
      <c r="F765" s="4">
        <v>437029.076</v>
      </c>
      <c r="G765" s="4">
        <v>437029.08500000002</v>
      </c>
      <c r="H765" s="5">
        <f>39 / 86400</f>
        <v>4.5138888888888887E-4</v>
      </c>
      <c r="I765" t="s">
        <v>22</v>
      </c>
      <c r="J765" t="s">
        <v>144</v>
      </c>
      <c r="K765" s="5">
        <f>52 / 86400</f>
        <v>6.018518518518519E-4</v>
      </c>
      <c r="L765" s="5">
        <f>660 / 86400</f>
        <v>7.6388888888888886E-3</v>
      </c>
    </row>
    <row r="766" spans="1:12" x14ac:dyDescent="0.25">
      <c r="A766" s="3">
        <v>45713.935532407406</v>
      </c>
      <c r="B766" t="s">
        <v>320</v>
      </c>
      <c r="C766" s="3">
        <v>45713.936689814815</v>
      </c>
      <c r="D766" t="s">
        <v>359</v>
      </c>
      <c r="E766" s="4">
        <v>0.314</v>
      </c>
      <c r="F766" s="4">
        <v>437029.08500000002</v>
      </c>
      <c r="G766" s="4">
        <v>437029.39899999998</v>
      </c>
      <c r="H766" s="5">
        <f>0 / 86400</f>
        <v>0</v>
      </c>
      <c r="I766" t="s">
        <v>29</v>
      </c>
      <c r="J766" t="s">
        <v>53</v>
      </c>
      <c r="K766" s="5">
        <f>99 / 86400</f>
        <v>1.1458333333333333E-3</v>
      </c>
      <c r="L766" s="5">
        <f>2629 / 86400</f>
        <v>3.0428240740740742E-2</v>
      </c>
    </row>
    <row r="767" spans="1:12" x14ac:dyDescent="0.25">
      <c r="A767" s="3">
        <v>45713.96711805556</v>
      </c>
      <c r="B767" t="s">
        <v>359</v>
      </c>
      <c r="C767" s="3">
        <v>45713.973703703705</v>
      </c>
      <c r="D767" t="s">
        <v>83</v>
      </c>
      <c r="E767" s="4">
        <v>0.84399999999999997</v>
      </c>
      <c r="F767" s="4">
        <v>437029.39899999998</v>
      </c>
      <c r="G767" s="4">
        <v>437030.24300000002</v>
      </c>
      <c r="H767" s="5">
        <f>239 / 86400</f>
        <v>2.7662037037037039E-3</v>
      </c>
      <c r="I767" t="s">
        <v>32</v>
      </c>
      <c r="J767" t="s">
        <v>146</v>
      </c>
      <c r="K767" s="5">
        <f>568 / 86400</f>
        <v>6.5740740740740742E-3</v>
      </c>
      <c r="L767" s="5">
        <f>2271 / 86400</f>
        <v>2.6284722222222223E-2</v>
      </c>
    </row>
    <row r="768" spans="1:12" x14ac:dyDescent="0.25">
      <c r="A768" s="12"/>
      <c r="B768" s="12"/>
      <c r="C768" s="12"/>
      <c r="D768" s="12"/>
      <c r="E768" s="12"/>
      <c r="F768" s="12"/>
      <c r="G768" s="12"/>
      <c r="H768" s="12"/>
      <c r="I768" s="12"/>
      <c r="J768" s="12"/>
    </row>
    <row r="769" spans="1:12" x14ac:dyDescent="0.25">
      <c r="A769" s="12"/>
      <c r="B769" s="12"/>
      <c r="C769" s="12"/>
      <c r="D769" s="12"/>
      <c r="E769" s="12"/>
      <c r="F769" s="12"/>
      <c r="G769" s="12"/>
      <c r="H769" s="12"/>
      <c r="I769" s="12"/>
      <c r="J769" s="12"/>
    </row>
    <row r="770" spans="1:12" s="10" customFormat="1" ht="20.100000000000001" customHeight="1" x14ac:dyDescent="0.35">
      <c r="A770" s="15" t="s">
        <v>423</v>
      </c>
      <c r="B770" s="15"/>
      <c r="C770" s="15"/>
      <c r="D770" s="15"/>
      <c r="E770" s="15"/>
      <c r="F770" s="15"/>
      <c r="G770" s="15"/>
      <c r="H770" s="15"/>
      <c r="I770" s="15"/>
      <c r="J770" s="15"/>
    </row>
    <row r="771" spans="1:12" x14ac:dyDescent="0.25">
      <c r="A771" s="12"/>
      <c r="B771" s="12"/>
      <c r="C771" s="12"/>
      <c r="D771" s="12"/>
      <c r="E771" s="12"/>
      <c r="F771" s="12"/>
      <c r="G771" s="12"/>
      <c r="H771" s="12"/>
      <c r="I771" s="12"/>
      <c r="J771" s="12"/>
    </row>
    <row r="772" spans="1:12" ht="30" x14ac:dyDescent="0.25">
      <c r="A772" s="2" t="s">
        <v>6</v>
      </c>
      <c r="B772" s="2" t="s">
        <v>7</v>
      </c>
      <c r="C772" s="2" t="s">
        <v>8</v>
      </c>
      <c r="D772" s="2" t="s">
        <v>9</v>
      </c>
      <c r="E772" s="2" t="s">
        <v>10</v>
      </c>
      <c r="F772" s="2" t="s">
        <v>11</v>
      </c>
      <c r="G772" s="2" t="s">
        <v>12</v>
      </c>
      <c r="H772" s="2" t="s">
        <v>13</v>
      </c>
      <c r="I772" s="2" t="s">
        <v>14</v>
      </c>
      <c r="J772" s="2" t="s">
        <v>15</v>
      </c>
      <c r="K772" s="2" t="s">
        <v>16</v>
      </c>
      <c r="L772" s="2" t="s">
        <v>17</v>
      </c>
    </row>
    <row r="773" spans="1:12" x14ac:dyDescent="0.25">
      <c r="A773" s="3">
        <v>45713.241111111114</v>
      </c>
      <c r="B773" t="s">
        <v>51</v>
      </c>
      <c r="C773" s="3">
        <v>45713.482303240744</v>
      </c>
      <c r="D773" t="s">
        <v>137</v>
      </c>
      <c r="E773" s="4">
        <v>101.61199999999999</v>
      </c>
      <c r="F773" s="4">
        <v>517865.891</v>
      </c>
      <c r="G773" s="4">
        <v>517967.50300000003</v>
      </c>
      <c r="H773" s="5">
        <f>6779 / 86400</f>
        <v>7.8460648148148154E-2</v>
      </c>
      <c r="I773" t="s">
        <v>19</v>
      </c>
      <c r="J773" t="s">
        <v>26</v>
      </c>
      <c r="K773" s="5">
        <f>20839 / 86400</f>
        <v>0.24119212962962963</v>
      </c>
      <c r="L773" s="5">
        <f>22587 / 86400</f>
        <v>0.26142361111111112</v>
      </c>
    </row>
    <row r="774" spans="1:12" x14ac:dyDescent="0.25">
      <c r="A774" s="3">
        <v>45713.502615740741</v>
      </c>
      <c r="B774" t="s">
        <v>137</v>
      </c>
      <c r="C774" s="3">
        <v>45713.50644675926</v>
      </c>
      <c r="D774" t="s">
        <v>132</v>
      </c>
      <c r="E774" s="4">
        <v>0.69899999999999995</v>
      </c>
      <c r="F774" s="4">
        <v>517967.50300000003</v>
      </c>
      <c r="G774" s="4">
        <v>517968.20199999999</v>
      </c>
      <c r="H774" s="5">
        <f>60 / 86400</f>
        <v>6.9444444444444447E-4</v>
      </c>
      <c r="I774" t="s">
        <v>111</v>
      </c>
      <c r="J774" t="s">
        <v>97</v>
      </c>
      <c r="K774" s="5">
        <f>331 / 86400</f>
        <v>3.8310185185185183E-3</v>
      </c>
      <c r="L774" s="5">
        <f>1718 / 86400</f>
        <v>1.9884259259259258E-2</v>
      </c>
    </row>
    <row r="775" spans="1:12" x14ac:dyDescent="0.25">
      <c r="A775" s="3">
        <v>45713.526331018518</v>
      </c>
      <c r="B775" t="s">
        <v>132</v>
      </c>
      <c r="C775" s="3">
        <v>45713.596597222218</v>
      </c>
      <c r="D775" t="s">
        <v>360</v>
      </c>
      <c r="E775" s="4">
        <v>32.668999999999997</v>
      </c>
      <c r="F775" s="4">
        <v>517968.20199999999</v>
      </c>
      <c r="G775" s="4">
        <v>518000.87099999998</v>
      </c>
      <c r="H775" s="5">
        <f>1829 / 86400</f>
        <v>2.1168981481481483E-2</v>
      </c>
      <c r="I775" t="s">
        <v>28</v>
      </c>
      <c r="J775" t="s">
        <v>92</v>
      </c>
      <c r="K775" s="5">
        <f>6071 / 86400</f>
        <v>7.0266203703703706E-2</v>
      </c>
      <c r="L775" s="5">
        <f>51 / 86400</f>
        <v>5.9027777777777778E-4</v>
      </c>
    </row>
    <row r="776" spans="1:12" x14ac:dyDescent="0.25">
      <c r="A776" s="3">
        <v>45713.597187499996</v>
      </c>
      <c r="B776" t="s">
        <v>361</v>
      </c>
      <c r="C776" s="3">
        <v>45713.597604166665</v>
      </c>
      <c r="D776" t="s">
        <v>361</v>
      </c>
      <c r="E776" s="4">
        <v>7.0000000000000001E-3</v>
      </c>
      <c r="F776" s="4">
        <v>518000.88199999998</v>
      </c>
      <c r="G776" s="4">
        <v>518000.88900000002</v>
      </c>
      <c r="H776" s="5">
        <f>15 / 86400</f>
        <v>1.7361111111111112E-4</v>
      </c>
      <c r="I776" t="s">
        <v>53</v>
      </c>
      <c r="J776" t="s">
        <v>144</v>
      </c>
      <c r="K776" s="5">
        <f>36 / 86400</f>
        <v>4.1666666666666669E-4</v>
      </c>
      <c r="L776" s="5">
        <f>11 / 86400</f>
        <v>1.273148148148148E-4</v>
      </c>
    </row>
    <row r="777" spans="1:12" x14ac:dyDescent="0.25">
      <c r="A777" s="3">
        <v>45713.597731481481</v>
      </c>
      <c r="B777" t="s">
        <v>79</v>
      </c>
      <c r="C777" s="3">
        <v>45713.616064814814</v>
      </c>
      <c r="D777" t="s">
        <v>339</v>
      </c>
      <c r="E777" s="4">
        <v>8.6910000000000007</v>
      </c>
      <c r="F777" s="4">
        <v>518000.9</v>
      </c>
      <c r="G777" s="4">
        <v>518009.59100000001</v>
      </c>
      <c r="H777" s="5">
        <f>360 / 86400</f>
        <v>4.1666666666666666E-3</v>
      </c>
      <c r="I777" t="s">
        <v>203</v>
      </c>
      <c r="J777" t="s">
        <v>111</v>
      </c>
      <c r="K777" s="5">
        <f>1584 / 86400</f>
        <v>1.8333333333333333E-2</v>
      </c>
      <c r="L777" s="5">
        <f>30 / 86400</f>
        <v>3.4722222222222224E-4</v>
      </c>
    </row>
    <row r="778" spans="1:12" x14ac:dyDescent="0.25">
      <c r="A778" s="3">
        <v>45713.616412037038</v>
      </c>
      <c r="B778" t="s">
        <v>339</v>
      </c>
      <c r="C778" s="3">
        <v>45713.682025462964</v>
      </c>
      <c r="D778" t="s">
        <v>362</v>
      </c>
      <c r="E778" s="4">
        <v>12.701000000000001</v>
      </c>
      <c r="F778" s="4">
        <v>518009.73200000002</v>
      </c>
      <c r="G778" s="4">
        <v>518022.43300000002</v>
      </c>
      <c r="H778" s="5">
        <f>3060 / 86400</f>
        <v>3.5416666666666666E-2</v>
      </c>
      <c r="I778" t="s">
        <v>153</v>
      </c>
      <c r="J778" t="s">
        <v>97</v>
      </c>
      <c r="K778" s="5">
        <f>5669 / 86400</f>
        <v>6.5613425925925922E-2</v>
      </c>
      <c r="L778" s="5">
        <f>30 / 86400</f>
        <v>3.4722222222222224E-4</v>
      </c>
    </row>
    <row r="779" spans="1:12" x14ac:dyDescent="0.25">
      <c r="A779" s="3">
        <v>45713.682372685187</v>
      </c>
      <c r="B779" t="s">
        <v>335</v>
      </c>
      <c r="C779" s="3">
        <v>45713.805983796294</v>
      </c>
      <c r="D779" t="s">
        <v>82</v>
      </c>
      <c r="E779" s="4">
        <v>47.155999999999999</v>
      </c>
      <c r="F779" s="4">
        <v>518022.50900000002</v>
      </c>
      <c r="G779" s="4">
        <v>518069.66499999998</v>
      </c>
      <c r="H779" s="5">
        <f>3661 / 86400</f>
        <v>4.2372685185185187E-2</v>
      </c>
      <c r="I779" t="s">
        <v>28</v>
      </c>
      <c r="J779" t="s">
        <v>32</v>
      </c>
      <c r="K779" s="5">
        <f>10680 / 86400</f>
        <v>0.12361111111111112</v>
      </c>
      <c r="L779" s="5">
        <f>1090 / 86400</f>
        <v>1.2615740740740742E-2</v>
      </c>
    </row>
    <row r="780" spans="1:12" x14ac:dyDescent="0.25">
      <c r="A780" s="3">
        <v>45713.818599537037</v>
      </c>
      <c r="B780" t="s">
        <v>82</v>
      </c>
      <c r="C780" s="3">
        <v>45713.823344907403</v>
      </c>
      <c r="D780" t="s">
        <v>51</v>
      </c>
      <c r="E780" s="4">
        <v>0.90200000000000002</v>
      </c>
      <c r="F780" s="4">
        <v>518069.66499999998</v>
      </c>
      <c r="G780" s="4">
        <v>518070.56699999998</v>
      </c>
      <c r="H780" s="5">
        <f>149 / 86400</f>
        <v>1.724537037037037E-3</v>
      </c>
      <c r="I780" t="s">
        <v>166</v>
      </c>
      <c r="J780" t="s">
        <v>97</v>
      </c>
      <c r="K780" s="5">
        <f>410 / 86400</f>
        <v>4.7453703703703703E-3</v>
      </c>
      <c r="L780" s="5">
        <f>15262 / 86400</f>
        <v>0.17664351851851851</v>
      </c>
    </row>
    <row r="781" spans="1:12" x14ac:dyDescent="0.25">
      <c r="A781" s="12"/>
      <c r="B781" s="12"/>
      <c r="C781" s="12"/>
      <c r="D781" s="12"/>
      <c r="E781" s="12"/>
      <c r="F781" s="12"/>
      <c r="G781" s="12"/>
      <c r="H781" s="12"/>
      <c r="I781" s="12"/>
      <c r="J781" s="12"/>
    </row>
    <row r="782" spans="1:12" x14ac:dyDescent="0.25">
      <c r="A782" s="12"/>
      <c r="B782" s="12"/>
      <c r="C782" s="12"/>
      <c r="D782" s="12"/>
      <c r="E782" s="12"/>
      <c r="F782" s="12"/>
      <c r="G782" s="12"/>
      <c r="H782" s="12"/>
      <c r="I782" s="12"/>
      <c r="J782" s="12"/>
    </row>
    <row r="783" spans="1:12" s="10" customFormat="1" ht="20.100000000000001" customHeight="1" x14ac:dyDescent="0.35">
      <c r="A783" s="15" t="s">
        <v>424</v>
      </c>
      <c r="B783" s="15"/>
      <c r="C783" s="15"/>
      <c r="D783" s="15"/>
      <c r="E783" s="15"/>
      <c r="F783" s="15"/>
      <c r="G783" s="15"/>
      <c r="H783" s="15"/>
      <c r="I783" s="15"/>
      <c r="J783" s="15"/>
    </row>
    <row r="784" spans="1:12" x14ac:dyDescent="0.25">
      <c r="A784" s="12"/>
      <c r="B784" s="12"/>
      <c r="C784" s="12"/>
      <c r="D784" s="12"/>
      <c r="E784" s="12"/>
      <c r="F784" s="12"/>
      <c r="G784" s="12"/>
      <c r="H784" s="12"/>
      <c r="I784" s="12"/>
      <c r="J784" s="12"/>
    </row>
    <row r="785" spans="1:12" ht="30" x14ac:dyDescent="0.25">
      <c r="A785" s="2" t="s">
        <v>6</v>
      </c>
      <c r="B785" s="2" t="s">
        <v>7</v>
      </c>
      <c r="C785" s="2" t="s">
        <v>8</v>
      </c>
      <c r="D785" s="2" t="s">
        <v>9</v>
      </c>
      <c r="E785" s="2" t="s">
        <v>10</v>
      </c>
      <c r="F785" s="2" t="s">
        <v>11</v>
      </c>
      <c r="G785" s="2" t="s">
        <v>12</v>
      </c>
      <c r="H785" s="2" t="s">
        <v>13</v>
      </c>
      <c r="I785" s="2" t="s">
        <v>14</v>
      </c>
      <c r="J785" s="2" t="s">
        <v>15</v>
      </c>
      <c r="K785" s="2" t="s">
        <v>16</v>
      </c>
      <c r="L785" s="2" t="s">
        <v>17</v>
      </c>
    </row>
    <row r="786" spans="1:12" x14ac:dyDescent="0.25">
      <c r="A786" s="3">
        <v>45713.230925925927</v>
      </c>
      <c r="B786" t="s">
        <v>84</v>
      </c>
      <c r="C786" s="3">
        <v>45713.82402777778</v>
      </c>
      <c r="D786" t="s">
        <v>85</v>
      </c>
      <c r="E786" s="4">
        <v>205.30699999999999</v>
      </c>
      <c r="F786" s="4">
        <v>507092.78899999999</v>
      </c>
      <c r="G786" s="4">
        <v>507298.09600000002</v>
      </c>
      <c r="H786" s="5">
        <f>20722 / 86400</f>
        <v>0.23983796296296298</v>
      </c>
      <c r="I786" t="s">
        <v>65</v>
      </c>
      <c r="J786" t="s">
        <v>29</v>
      </c>
      <c r="K786" s="5">
        <f>51244 / 86400</f>
        <v>0.59310185185185182</v>
      </c>
      <c r="L786" s="5">
        <f>35155 / 86400</f>
        <v>0.40688657407407408</v>
      </c>
    </row>
    <row r="787" spans="1:12" x14ac:dyDescent="0.25">
      <c r="A787" s="12"/>
      <c r="B787" s="12"/>
      <c r="C787" s="12"/>
      <c r="D787" s="12"/>
      <c r="E787" s="12"/>
      <c r="F787" s="12"/>
      <c r="G787" s="12"/>
      <c r="H787" s="12"/>
      <c r="I787" s="12"/>
      <c r="J787" s="12"/>
    </row>
    <row r="788" spans="1:12" x14ac:dyDescent="0.25">
      <c r="A788" s="12"/>
      <c r="B788" s="12"/>
      <c r="C788" s="12"/>
      <c r="D788" s="12"/>
      <c r="E788" s="12"/>
      <c r="F788" s="12"/>
      <c r="G788" s="12"/>
      <c r="H788" s="12"/>
      <c r="I788" s="12"/>
      <c r="J788" s="12"/>
    </row>
    <row r="789" spans="1:12" s="10" customFormat="1" ht="20.100000000000001" customHeight="1" x14ac:dyDescent="0.35">
      <c r="A789" s="15" t="s">
        <v>425</v>
      </c>
      <c r="B789" s="15"/>
      <c r="C789" s="15"/>
      <c r="D789" s="15"/>
      <c r="E789" s="15"/>
      <c r="F789" s="15"/>
      <c r="G789" s="15"/>
      <c r="H789" s="15"/>
      <c r="I789" s="15"/>
      <c r="J789" s="15"/>
    </row>
    <row r="790" spans="1:12" x14ac:dyDescent="0.25">
      <c r="A790" s="12"/>
      <c r="B790" s="12"/>
      <c r="C790" s="12"/>
      <c r="D790" s="12"/>
      <c r="E790" s="12"/>
      <c r="F790" s="12"/>
      <c r="G790" s="12"/>
      <c r="H790" s="12"/>
      <c r="I790" s="12"/>
      <c r="J790" s="12"/>
    </row>
    <row r="791" spans="1:12" ht="30" x14ac:dyDescent="0.25">
      <c r="A791" s="2" t="s">
        <v>6</v>
      </c>
      <c r="B791" s="2" t="s">
        <v>7</v>
      </c>
      <c r="C791" s="2" t="s">
        <v>8</v>
      </c>
      <c r="D791" s="2" t="s">
        <v>9</v>
      </c>
      <c r="E791" s="2" t="s">
        <v>10</v>
      </c>
      <c r="F791" s="2" t="s">
        <v>11</v>
      </c>
      <c r="G791" s="2" t="s">
        <v>12</v>
      </c>
      <c r="H791" s="2" t="s">
        <v>13</v>
      </c>
      <c r="I791" s="2" t="s">
        <v>14</v>
      </c>
      <c r="J791" s="2" t="s">
        <v>15</v>
      </c>
      <c r="K791" s="2" t="s">
        <v>16</v>
      </c>
      <c r="L791" s="2" t="s">
        <v>17</v>
      </c>
    </row>
    <row r="792" spans="1:12" x14ac:dyDescent="0.25">
      <c r="A792" s="3">
        <v>45713.21366898148</v>
      </c>
      <c r="B792" t="s">
        <v>86</v>
      </c>
      <c r="C792" s="3">
        <v>45713.213946759264</v>
      </c>
      <c r="D792" t="s">
        <v>86</v>
      </c>
      <c r="E792" s="4">
        <v>0</v>
      </c>
      <c r="F792" s="4">
        <v>412715.00799999997</v>
      </c>
      <c r="G792" s="4">
        <v>412715.00799999997</v>
      </c>
      <c r="H792" s="5">
        <f>19 / 86400</f>
        <v>2.199074074074074E-4</v>
      </c>
      <c r="I792" t="s">
        <v>22</v>
      </c>
      <c r="J792" t="s">
        <v>22</v>
      </c>
      <c r="K792" s="5">
        <f>24 / 86400</f>
        <v>2.7777777777777778E-4</v>
      </c>
      <c r="L792" s="5">
        <f>18501 / 86400</f>
        <v>0.21413194444444444</v>
      </c>
    </row>
    <row r="793" spans="1:12" x14ac:dyDescent="0.25">
      <c r="A793" s="3">
        <v>45713.214409722219</v>
      </c>
      <c r="B793" t="s">
        <v>86</v>
      </c>
      <c r="C793" s="3">
        <v>45713.234444444446</v>
      </c>
      <c r="D793" t="s">
        <v>346</v>
      </c>
      <c r="E793" s="4">
        <v>9.7509999999999994</v>
      </c>
      <c r="F793" s="4">
        <v>412715.00799999997</v>
      </c>
      <c r="G793" s="4">
        <v>412724.75900000002</v>
      </c>
      <c r="H793" s="5">
        <f>659 / 86400</f>
        <v>7.6273148148148151E-3</v>
      </c>
      <c r="I793" t="s">
        <v>151</v>
      </c>
      <c r="J793" t="s">
        <v>111</v>
      </c>
      <c r="K793" s="5">
        <f>1731 / 86400</f>
        <v>2.0034722222222221E-2</v>
      </c>
      <c r="L793" s="5">
        <f>1097 / 86400</f>
        <v>1.269675925925926E-2</v>
      </c>
    </row>
    <row r="794" spans="1:12" x14ac:dyDescent="0.25">
      <c r="A794" s="3">
        <v>45713.247141203705</v>
      </c>
      <c r="B794" t="s">
        <v>346</v>
      </c>
      <c r="C794" s="3">
        <v>45713.450879629629</v>
      </c>
      <c r="D794" t="s">
        <v>82</v>
      </c>
      <c r="E794" s="4">
        <v>85.540999999999997</v>
      </c>
      <c r="F794" s="4">
        <v>412724.75900000002</v>
      </c>
      <c r="G794" s="4">
        <v>412810.3</v>
      </c>
      <c r="H794" s="5">
        <f>5060 / 86400</f>
        <v>5.8564814814814813E-2</v>
      </c>
      <c r="I794" t="s">
        <v>331</v>
      </c>
      <c r="J794" t="s">
        <v>20</v>
      </c>
      <c r="K794" s="5">
        <f>17602 / 86400</f>
        <v>0.20372685185185185</v>
      </c>
      <c r="L794" s="5">
        <f>310 / 86400</f>
        <v>3.5879629629629629E-3</v>
      </c>
    </row>
    <row r="795" spans="1:12" x14ac:dyDescent="0.25">
      <c r="A795" s="3">
        <v>45713.454467592594</v>
      </c>
      <c r="B795" t="s">
        <v>82</v>
      </c>
      <c r="C795" s="3">
        <v>45713.458125000005</v>
      </c>
      <c r="D795" t="s">
        <v>137</v>
      </c>
      <c r="E795" s="4">
        <v>0.67900000000000005</v>
      </c>
      <c r="F795" s="4">
        <v>412810.3</v>
      </c>
      <c r="G795" s="4">
        <v>412810.97899999999</v>
      </c>
      <c r="H795" s="5">
        <f>100 / 86400</f>
        <v>1.1574074074074073E-3</v>
      </c>
      <c r="I795" t="s">
        <v>201</v>
      </c>
      <c r="J795" t="s">
        <v>97</v>
      </c>
      <c r="K795" s="5">
        <f>316 / 86400</f>
        <v>3.6574074074074074E-3</v>
      </c>
      <c r="L795" s="5">
        <f>1773 / 86400</f>
        <v>2.0520833333333332E-2</v>
      </c>
    </row>
    <row r="796" spans="1:12" x14ac:dyDescent="0.25">
      <c r="A796" s="3">
        <v>45713.478645833333</v>
      </c>
      <c r="B796" t="s">
        <v>137</v>
      </c>
      <c r="C796" s="3">
        <v>45713.48133101852</v>
      </c>
      <c r="D796" t="s">
        <v>132</v>
      </c>
      <c r="E796" s="4">
        <v>0.68700000000000006</v>
      </c>
      <c r="F796" s="4">
        <v>412810.97899999999</v>
      </c>
      <c r="G796" s="4">
        <v>412811.66600000003</v>
      </c>
      <c r="H796" s="5">
        <f>39 / 86400</f>
        <v>4.5138888888888887E-4</v>
      </c>
      <c r="I796" t="s">
        <v>136</v>
      </c>
      <c r="J796" t="s">
        <v>53</v>
      </c>
      <c r="K796" s="5">
        <f>232 / 86400</f>
        <v>2.685185185185185E-3</v>
      </c>
      <c r="L796" s="5">
        <f>1964 / 86400</f>
        <v>2.2731481481481481E-2</v>
      </c>
    </row>
    <row r="797" spans="1:12" x14ac:dyDescent="0.25">
      <c r="A797" s="3">
        <v>45713.504062499997</v>
      </c>
      <c r="B797" t="s">
        <v>132</v>
      </c>
      <c r="C797" s="3">
        <v>45713.785694444443</v>
      </c>
      <c r="D797" t="s">
        <v>86</v>
      </c>
      <c r="E797" s="4">
        <v>113.70399999999999</v>
      </c>
      <c r="F797" s="4">
        <v>412811.66600000003</v>
      </c>
      <c r="G797" s="4">
        <v>412925.37</v>
      </c>
      <c r="H797" s="5">
        <f>8439 / 86400</f>
        <v>9.7673611111111114E-2</v>
      </c>
      <c r="I797" t="s">
        <v>87</v>
      </c>
      <c r="J797" t="s">
        <v>20</v>
      </c>
      <c r="K797" s="5">
        <f>24332 / 86400</f>
        <v>0.28162037037037035</v>
      </c>
      <c r="L797" s="5">
        <f>18515 / 86400</f>
        <v>0.21429398148148149</v>
      </c>
    </row>
    <row r="798" spans="1:12" x14ac:dyDescent="0.25">
      <c r="A798" s="12"/>
      <c r="B798" s="12"/>
      <c r="C798" s="12"/>
      <c r="D798" s="12"/>
      <c r="E798" s="12"/>
      <c r="F798" s="12"/>
      <c r="G798" s="12"/>
      <c r="H798" s="12"/>
      <c r="I798" s="12"/>
      <c r="J798" s="12"/>
    </row>
    <row r="799" spans="1:12" x14ac:dyDescent="0.25">
      <c r="A799" s="12"/>
      <c r="B799" s="12"/>
      <c r="C799" s="12"/>
      <c r="D799" s="12"/>
      <c r="E799" s="12"/>
      <c r="F799" s="12"/>
      <c r="G799" s="12"/>
      <c r="H799" s="12"/>
      <c r="I799" s="12"/>
      <c r="J799" s="12"/>
    </row>
    <row r="800" spans="1:12" s="10" customFormat="1" ht="20.100000000000001" customHeight="1" x14ac:dyDescent="0.35">
      <c r="A800" s="15" t="s">
        <v>426</v>
      </c>
      <c r="B800" s="15"/>
      <c r="C800" s="15"/>
      <c r="D800" s="15"/>
      <c r="E800" s="15"/>
      <c r="F800" s="15"/>
      <c r="G800" s="15"/>
      <c r="H800" s="15"/>
      <c r="I800" s="15"/>
      <c r="J800" s="15"/>
    </row>
    <row r="801" spans="1:12" x14ac:dyDescent="0.25">
      <c r="A801" s="12"/>
      <c r="B801" s="12"/>
      <c r="C801" s="12"/>
      <c r="D801" s="12"/>
      <c r="E801" s="12"/>
      <c r="F801" s="12"/>
      <c r="G801" s="12"/>
      <c r="H801" s="12"/>
      <c r="I801" s="12"/>
      <c r="J801" s="12"/>
    </row>
    <row r="802" spans="1:12" ht="30" x14ac:dyDescent="0.25">
      <c r="A802" s="2" t="s">
        <v>6</v>
      </c>
      <c r="B802" s="2" t="s">
        <v>7</v>
      </c>
      <c r="C802" s="2" t="s">
        <v>8</v>
      </c>
      <c r="D802" s="2" t="s">
        <v>9</v>
      </c>
      <c r="E802" s="2" t="s">
        <v>10</v>
      </c>
      <c r="F802" s="2" t="s">
        <v>11</v>
      </c>
      <c r="G802" s="2" t="s">
        <v>12</v>
      </c>
      <c r="H802" s="2" t="s">
        <v>13</v>
      </c>
      <c r="I802" s="2" t="s">
        <v>14</v>
      </c>
      <c r="J802" s="2" t="s">
        <v>15</v>
      </c>
      <c r="K802" s="2" t="s">
        <v>16</v>
      </c>
      <c r="L802" s="2" t="s">
        <v>17</v>
      </c>
    </row>
    <row r="803" spans="1:12" x14ac:dyDescent="0.25">
      <c r="A803" s="3">
        <v>45713.149652777778</v>
      </c>
      <c r="B803" t="s">
        <v>27</v>
      </c>
      <c r="C803" s="3">
        <v>45713.215717592597</v>
      </c>
      <c r="D803" t="s">
        <v>322</v>
      </c>
      <c r="E803" s="4">
        <v>34.645000000000003</v>
      </c>
      <c r="F803" s="4">
        <v>443528.37</v>
      </c>
      <c r="G803" s="4">
        <v>443563.01500000001</v>
      </c>
      <c r="H803" s="5">
        <f>1120 / 86400</f>
        <v>1.2962962962962963E-2</v>
      </c>
      <c r="I803" t="s">
        <v>87</v>
      </c>
      <c r="J803" t="s">
        <v>136</v>
      </c>
      <c r="K803" s="5">
        <f>5708 / 86400</f>
        <v>6.6064814814814812E-2</v>
      </c>
      <c r="L803" s="5">
        <f>13134 / 86400</f>
        <v>0.15201388888888889</v>
      </c>
    </row>
    <row r="804" spans="1:12" x14ac:dyDescent="0.25">
      <c r="A804" s="3">
        <v>45713.218078703707</v>
      </c>
      <c r="B804" t="s">
        <v>322</v>
      </c>
      <c r="C804" s="3">
        <v>45713.31521990741</v>
      </c>
      <c r="D804" t="s">
        <v>132</v>
      </c>
      <c r="E804" s="4">
        <v>50.722000000000001</v>
      </c>
      <c r="F804" s="4">
        <v>443563.01500000001</v>
      </c>
      <c r="G804" s="4">
        <v>443613.73700000002</v>
      </c>
      <c r="H804" s="5">
        <f>2020 / 86400</f>
        <v>2.3379629629629629E-2</v>
      </c>
      <c r="I804" t="s">
        <v>28</v>
      </c>
      <c r="J804" t="s">
        <v>136</v>
      </c>
      <c r="K804" s="5">
        <f>8392 / 86400</f>
        <v>9.7129629629629635E-2</v>
      </c>
      <c r="L804" s="5">
        <f>2092 / 86400</f>
        <v>2.4212962962962964E-2</v>
      </c>
    </row>
    <row r="805" spans="1:12" x14ac:dyDescent="0.25">
      <c r="A805" s="3">
        <v>45713.339432870373</v>
      </c>
      <c r="B805" t="s">
        <v>132</v>
      </c>
      <c r="C805" s="3">
        <v>45713.347557870366</v>
      </c>
      <c r="D805" t="s">
        <v>363</v>
      </c>
      <c r="E805" s="4">
        <v>1.4390000000000001</v>
      </c>
      <c r="F805" s="4">
        <v>443613.73700000002</v>
      </c>
      <c r="G805" s="4">
        <v>443615.17599999998</v>
      </c>
      <c r="H805" s="5">
        <f>300 / 86400</f>
        <v>3.472222222222222E-3</v>
      </c>
      <c r="I805" t="s">
        <v>150</v>
      </c>
      <c r="J805" t="s">
        <v>34</v>
      </c>
      <c r="K805" s="5">
        <f>701 / 86400</f>
        <v>8.1134259259259267E-3</v>
      </c>
      <c r="L805" s="5">
        <f>544 / 86400</f>
        <v>6.2962962962962964E-3</v>
      </c>
    </row>
    <row r="806" spans="1:12" x14ac:dyDescent="0.25">
      <c r="A806" s="3">
        <v>45713.353854166664</v>
      </c>
      <c r="B806" t="s">
        <v>363</v>
      </c>
      <c r="C806" s="3">
        <v>45713.498622685191</v>
      </c>
      <c r="D806" t="s">
        <v>163</v>
      </c>
      <c r="E806" s="4">
        <v>50.295999999999999</v>
      </c>
      <c r="F806" s="4">
        <v>443615.17599999998</v>
      </c>
      <c r="G806" s="4">
        <v>443665.47200000001</v>
      </c>
      <c r="H806" s="5">
        <f>5060 / 86400</f>
        <v>5.8564814814814813E-2</v>
      </c>
      <c r="I806" t="s">
        <v>160</v>
      </c>
      <c r="J806" t="s">
        <v>29</v>
      </c>
      <c r="K806" s="5">
        <f>12507 / 86400</f>
        <v>0.14475694444444445</v>
      </c>
      <c r="L806" s="5">
        <f>3711 / 86400</f>
        <v>4.2951388888888886E-2</v>
      </c>
    </row>
    <row r="807" spans="1:12" x14ac:dyDescent="0.25">
      <c r="A807" s="3">
        <v>45713.541574074072</v>
      </c>
      <c r="B807" t="s">
        <v>163</v>
      </c>
      <c r="C807" s="3">
        <v>45713.714583333334</v>
      </c>
      <c r="D807" t="s">
        <v>157</v>
      </c>
      <c r="E807" s="4">
        <v>67.796999999999997</v>
      </c>
      <c r="F807" s="4">
        <v>443665.47200000001</v>
      </c>
      <c r="G807" s="4">
        <v>443733.26899999997</v>
      </c>
      <c r="H807" s="5">
        <f>5021 / 86400</f>
        <v>5.8113425925925923E-2</v>
      </c>
      <c r="I807" t="s">
        <v>181</v>
      </c>
      <c r="J807" t="s">
        <v>32</v>
      </c>
      <c r="K807" s="5">
        <f>14947 / 86400</f>
        <v>0.17299768518518518</v>
      </c>
      <c r="L807" s="5">
        <f>280 / 86400</f>
        <v>3.2407407407407406E-3</v>
      </c>
    </row>
    <row r="808" spans="1:12" x14ac:dyDescent="0.25">
      <c r="A808" s="3">
        <v>45713.717824074076</v>
      </c>
      <c r="B808" t="s">
        <v>157</v>
      </c>
      <c r="C808" s="3">
        <v>45713.724502314813</v>
      </c>
      <c r="D808" t="s">
        <v>27</v>
      </c>
      <c r="E808" s="4">
        <v>1.9390000000000001</v>
      </c>
      <c r="F808" s="4">
        <v>443733.26899999997</v>
      </c>
      <c r="G808" s="4">
        <v>443735.20799999998</v>
      </c>
      <c r="H808" s="5">
        <f>99 / 86400</f>
        <v>1.1458333333333333E-3</v>
      </c>
      <c r="I808" t="s">
        <v>150</v>
      </c>
      <c r="J808" t="s">
        <v>158</v>
      </c>
      <c r="K808" s="5">
        <f>576 / 86400</f>
        <v>6.6666666666666671E-3</v>
      </c>
      <c r="L808" s="5">
        <f>23802 / 86400</f>
        <v>0.2754861111111111</v>
      </c>
    </row>
    <row r="809" spans="1:12" x14ac:dyDescent="0.25">
      <c r="A809" s="12"/>
      <c r="B809" s="12"/>
      <c r="C809" s="12"/>
      <c r="D809" s="12"/>
      <c r="E809" s="12"/>
      <c r="F809" s="12"/>
      <c r="G809" s="12"/>
      <c r="H809" s="12"/>
      <c r="I809" s="12"/>
      <c r="J809" s="12"/>
    </row>
    <row r="810" spans="1:12" x14ac:dyDescent="0.25">
      <c r="A810" s="12"/>
      <c r="B810" s="12"/>
      <c r="C810" s="12"/>
      <c r="D810" s="12"/>
      <c r="E810" s="12"/>
      <c r="F810" s="12"/>
      <c r="G810" s="12"/>
      <c r="H810" s="12"/>
      <c r="I810" s="12"/>
      <c r="J810" s="12"/>
    </row>
    <row r="811" spans="1:12" s="10" customFormat="1" ht="20.100000000000001" customHeight="1" x14ac:dyDescent="0.35">
      <c r="A811" s="15" t="s">
        <v>427</v>
      </c>
      <c r="B811" s="15"/>
      <c r="C811" s="15"/>
      <c r="D811" s="15"/>
      <c r="E811" s="15"/>
      <c r="F811" s="15"/>
      <c r="G811" s="15"/>
      <c r="H811" s="15"/>
      <c r="I811" s="15"/>
      <c r="J811" s="15"/>
    </row>
    <row r="812" spans="1:12" x14ac:dyDescent="0.25">
      <c r="A812" s="12"/>
      <c r="B812" s="12"/>
      <c r="C812" s="12"/>
      <c r="D812" s="12"/>
      <c r="E812" s="12"/>
      <c r="F812" s="12"/>
      <c r="G812" s="12"/>
      <c r="H812" s="12"/>
      <c r="I812" s="12"/>
      <c r="J812" s="12"/>
    </row>
    <row r="813" spans="1:12" ht="30" x14ac:dyDescent="0.25">
      <c r="A813" s="2" t="s">
        <v>6</v>
      </c>
      <c r="B813" s="2" t="s">
        <v>7</v>
      </c>
      <c r="C813" s="2" t="s">
        <v>8</v>
      </c>
      <c r="D813" s="2" t="s">
        <v>9</v>
      </c>
      <c r="E813" s="2" t="s">
        <v>10</v>
      </c>
      <c r="F813" s="2" t="s">
        <v>11</v>
      </c>
      <c r="G813" s="2" t="s">
        <v>12</v>
      </c>
      <c r="H813" s="2" t="s">
        <v>13</v>
      </c>
      <c r="I813" s="2" t="s">
        <v>14</v>
      </c>
      <c r="J813" s="2" t="s">
        <v>15</v>
      </c>
      <c r="K813" s="2" t="s">
        <v>16</v>
      </c>
      <c r="L813" s="2" t="s">
        <v>17</v>
      </c>
    </row>
    <row r="814" spans="1:12" x14ac:dyDescent="0.25">
      <c r="A814" s="3">
        <v>45713.247430555552</v>
      </c>
      <c r="B814" t="s">
        <v>88</v>
      </c>
      <c r="C814" s="3">
        <v>45713.371736111112</v>
      </c>
      <c r="D814" t="s">
        <v>322</v>
      </c>
      <c r="E814" s="4">
        <v>46.866999999999997</v>
      </c>
      <c r="F814" s="4">
        <v>475866.10100000002</v>
      </c>
      <c r="G814" s="4">
        <v>475912.96799999999</v>
      </c>
      <c r="H814" s="5">
        <f>4401 / 86400</f>
        <v>5.0937499999999997E-2</v>
      </c>
      <c r="I814" t="s">
        <v>90</v>
      </c>
      <c r="J814" t="s">
        <v>32</v>
      </c>
      <c r="K814" s="5">
        <f>10740 / 86400</f>
        <v>0.12430555555555556</v>
      </c>
      <c r="L814" s="5">
        <f>21455 / 86400</f>
        <v>0.24832175925925926</v>
      </c>
    </row>
    <row r="815" spans="1:12" x14ac:dyDescent="0.25">
      <c r="A815" s="3">
        <v>45713.372627314813</v>
      </c>
      <c r="B815" t="s">
        <v>322</v>
      </c>
      <c r="C815" s="3">
        <v>45713.525358796294</v>
      </c>
      <c r="D815" t="s">
        <v>137</v>
      </c>
      <c r="E815" s="4">
        <v>49.914000000000001</v>
      </c>
      <c r="F815" s="4">
        <v>475912.96799999999</v>
      </c>
      <c r="G815" s="4">
        <v>475962.88199999998</v>
      </c>
      <c r="H815" s="5">
        <f>5200 / 86400</f>
        <v>6.0185185185185182E-2</v>
      </c>
      <c r="I815" t="s">
        <v>52</v>
      </c>
      <c r="J815" t="s">
        <v>29</v>
      </c>
      <c r="K815" s="5">
        <f>13195 / 86400</f>
        <v>0.1527199074074074</v>
      </c>
      <c r="L815" s="5">
        <f>1648 / 86400</f>
        <v>1.9074074074074073E-2</v>
      </c>
    </row>
    <row r="816" spans="1:12" x14ac:dyDescent="0.25">
      <c r="A816" s="3">
        <v>45713.544432870374</v>
      </c>
      <c r="B816" t="s">
        <v>137</v>
      </c>
      <c r="C816" s="3">
        <v>45713.547777777778</v>
      </c>
      <c r="D816" t="s">
        <v>132</v>
      </c>
      <c r="E816" s="4">
        <v>0.72199999999999998</v>
      </c>
      <c r="F816" s="4">
        <v>475962.88199999998</v>
      </c>
      <c r="G816" s="4">
        <v>475963.60399999999</v>
      </c>
      <c r="H816" s="5">
        <f>40 / 86400</f>
        <v>4.6296296296296298E-4</v>
      </c>
      <c r="I816" t="s">
        <v>136</v>
      </c>
      <c r="J816" t="s">
        <v>64</v>
      </c>
      <c r="K816" s="5">
        <f>289 / 86400</f>
        <v>3.3449074074074076E-3</v>
      </c>
      <c r="L816" s="5">
        <f>1333 / 86400</f>
        <v>1.5428240740740741E-2</v>
      </c>
    </row>
    <row r="817" spans="1:12" x14ac:dyDescent="0.25">
      <c r="A817" s="3">
        <v>45713.563206018516</v>
      </c>
      <c r="B817" t="s">
        <v>132</v>
      </c>
      <c r="C817" s="3">
        <v>45713.567881944444</v>
      </c>
      <c r="D817" t="s">
        <v>364</v>
      </c>
      <c r="E817" s="4">
        <v>1.538</v>
      </c>
      <c r="F817" s="4">
        <v>475963.60399999999</v>
      </c>
      <c r="G817" s="4">
        <v>475965.14199999999</v>
      </c>
      <c r="H817" s="5">
        <f>79 / 86400</f>
        <v>9.1435185185185185E-4</v>
      </c>
      <c r="I817" t="s">
        <v>105</v>
      </c>
      <c r="J817" t="s">
        <v>29</v>
      </c>
      <c r="K817" s="5">
        <f>403 / 86400</f>
        <v>4.6643518518518518E-3</v>
      </c>
      <c r="L817" s="5">
        <f>763 / 86400</f>
        <v>8.8310185185185193E-3</v>
      </c>
    </row>
    <row r="818" spans="1:12" x14ac:dyDescent="0.25">
      <c r="A818" s="3">
        <v>45713.576712962968</v>
      </c>
      <c r="B818" t="s">
        <v>364</v>
      </c>
      <c r="C818" s="3">
        <v>45713.682939814811</v>
      </c>
      <c r="D818" t="s">
        <v>365</v>
      </c>
      <c r="E818" s="4">
        <v>46.814999999999998</v>
      </c>
      <c r="F818" s="4">
        <v>475965.14199999999</v>
      </c>
      <c r="G818" s="4">
        <v>476011.95699999999</v>
      </c>
      <c r="H818" s="5">
        <f>2880 / 86400</f>
        <v>3.3333333333333333E-2</v>
      </c>
      <c r="I818" t="s">
        <v>93</v>
      </c>
      <c r="J818" t="s">
        <v>26</v>
      </c>
      <c r="K818" s="5">
        <f>9177 / 86400</f>
        <v>0.10621527777777778</v>
      </c>
      <c r="L818" s="5">
        <f>78 / 86400</f>
        <v>9.0277777777777774E-4</v>
      </c>
    </row>
    <row r="819" spans="1:12" x14ac:dyDescent="0.25">
      <c r="A819" s="3">
        <v>45713.683842592596</v>
      </c>
      <c r="B819" t="s">
        <v>365</v>
      </c>
      <c r="C819" s="3">
        <v>45713.819432870368</v>
      </c>
      <c r="D819" t="s">
        <v>366</v>
      </c>
      <c r="E819" s="4">
        <v>44.710999999999999</v>
      </c>
      <c r="F819" s="4">
        <v>476011.95699999999</v>
      </c>
      <c r="G819" s="4">
        <v>476056.66800000001</v>
      </c>
      <c r="H819" s="5">
        <f>4199 / 86400</f>
        <v>4.8599537037037038E-2</v>
      </c>
      <c r="I819" t="s">
        <v>325</v>
      </c>
      <c r="J819" t="s">
        <v>29</v>
      </c>
      <c r="K819" s="5">
        <f>11715 / 86400</f>
        <v>0.13559027777777777</v>
      </c>
      <c r="L819" s="5">
        <f>742 / 86400</f>
        <v>8.5879629629629622E-3</v>
      </c>
    </row>
    <row r="820" spans="1:12" x14ac:dyDescent="0.25">
      <c r="A820" s="3">
        <v>45713.828020833331</v>
      </c>
      <c r="B820" t="s">
        <v>366</v>
      </c>
      <c r="C820" s="3">
        <v>45713.831759259258</v>
      </c>
      <c r="D820" t="s">
        <v>89</v>
      </c>
      <c r="E820" s="4">
        <v>0.81299999999999994</v>
      </c>
      <c r="F820" s="4">
        <v>476056.66800000001</v>
      </c>
      <c r="G820" s="4">
        <v>476057.48100000003</v>
      </c>
      <c r="H820" s="5">
        <f>59 / 86400</f>
        <v>6.8287037037037036E-4</v>
      </c>
      <c r="I820" t="s">
        <v>201</v>
      </c>
      <c r="J820" t="s">
        <v>64</v>
      </c>
      <c r="K820" s="5">
        <f>322 / 86400</f>
        <v>3.7268518518518519E-3</v>
      </c>
      <c r="L820" s="5">
        <f>14535 / 86400</f>
        <v>0.16822916666666668</v>
      </c>
    </row>
    <row r="821" spans="1:12" x14ac:dyDescent="0.25">
      <c r="A821" s="12"/>
      <c r="B821" s="12"/>
      <c r="C821" s="12"/>
      <c r="D821" s="12"/>
      <c r="E821" s="12"/>
      <c r="F821" s="12"/>
      <c r="G821" s="12"/>
      <c r="H821" s="12"/>
      <c r="I821" s="12"/>
      <c r="J821" s="12"/>
    </row>
    <row r="822" spans="1:12" x14ac:dyDescent="0.25">
      <c r="A822" s="12"/>
      <c r="B822" s="12"/>
      <c r="C822" s="12"/>
      <c r="D822" s="12"/>
      <c r="E822" s="12"/>
      <c r="F822" s="12"/>
      <c r="G822" s="12"/>
      <c r="H822" s="12"/>
      <c r="I822" s="12"/>
      <c r="J822" s="12"/>
    </row>
    <row r="823" spans="1:12" s="10" customFormat="1" ht="20.100000000000001" customHeight="1" x14ac:dyDescent="0.35">
      <c r="A823" s="15" t="s">
        <v>428</v>
      </c>
      <c r="B823" s="15"/>
      <c r="C823" s="15"/>
      <c r="D823" s="15"/>
      <c r="E823" s="15"/>
      <c r="F823" s="15"/>
      <c r="G823" s="15"/>
      <c r="H823" s="15"/>
      <c r="I823" s="15"/>
      <c r="J823" s="15"/>
    </row>
    <row r="824" spans="1:12" x14ac:dyDescent="0.25">
      <c r="A824" s="12"/>
      <c r="B824" s="12"/>
      <c r="C824" s="12"/>
      <c r="D824" s="12"/>
      <c r="E824" s="12"/>
      <c r="F824" s="12"/>
      <c r="G824" s="12"/>
      <c r="H824" s="12"/>
      <c r="I824" s="12"/>
      <c r="J824" s="12"/>
    </row>
    <row r="825" spans="1:12" ht="30" x14ac:dyDescent="0.25">
      <c r="A825" s="2" t="s">
        <v>6</v>
      </c>
      <c r="B825" s="2" t="s">
        <v>7</v>
      </c>
      <c r="C825" s="2" t="s">
        <v>8</v>
      </c>
      <c r="D825" s="2" t="s">
        <v>9</v>
      </c>
      <c r="E825" s="2" t="s">
        <v>10</v>
      </c>
      <c r="F825" s="2" t="s">
        <v>11</v>
      </c>
      <c r="G825" s="2" t="s">
        <v>12</v>
      </c>
      <c r="H825" s="2" t="s">
        <v>13</v>
      </c>
      <c r="I825" s="2" t="s">
        <v>14</v>
      </c>
      <c r="J825" s="2" t="s">
        <v>15</v>
      </c>
      <c r="K825" s="2" t="s">
        <v>16</v>
      </c>
      <c r="L825" s="2" t="s">
        <v>17</v>
      </c>
    </row>
    <row r="826" spans="1:12" x14ac:dyDescent="0.25">
      <c r="A826" s="3">
        <v>45713.002476851849</v>
      </c>
      <c r="B826" t="s">
        <v>84</v>
      </c>
      <c r="C826" s="3">
        <v>45713.002835648149</v>
      </c>
      <c r="D826" t="s">
        <v>84</v>
      </c>
      <c r="E826" s="4">
        <v>4.9000000000000002E-2</v>
      </c>
      <c r="F826" s="4">
        <v>416309.93900000001</v>
      </c>
      <c r="G826" s="4">
        <v>416309.98800000001</v>
      </c>
      <c r="H826" s="5">
        <f>0 / 86400</f>
        <v>0</v>
      </c>
      <c r="I826" t="s">
        <v>145</v>
      </c>
      <c r="J826" t="s">
        <v>145</v>
      </c>
      <c r="K826" s="5">
        <f>31 / 86400</f>
        <v>3.5879629629629629E-4</v>
      </c>
      <c r="L826" s="5">
        <f>1010 / 86400</f>
        <v>1.1689814814814814E-2</v>
      </c>
    </row>
    <row r="827" spans="1:12" x14ac:dyDescent="0.25">
      <c r="A827" s="3">
        <v>45713.012048611112</v>
      </c>
      <c r="B827" t="s">
        <v>84</v>
      </c>
      <c r="C827" s="3">
        <v>45713.014930555553</v>
      </c>
      <c r="D827" t="s">
        <v>85</v>
      </c>
      <c r="E827" s="4">
        <v>1.486</v>
      </c>
      <c r="F827" s="4">
        <v>416309.98800000001</v>
      </c>
      <c r="G827" s="4">
        <v>416311.47399999999</v>
      </c>
      <c r="H827" s="5">
        <f>20 / 86400</f>
        <v>2.3148148148148149E-4</v>
      </c>
      <c r="I827" t="s">
        <v>203</v>
      </c>
      <c r="J827" t="s">
        <v>125</v>
      </c>
      <c r="K827" s="5">
        <f>249 / 86400</f>
        <v>2.8819444444444444E-3</v>
      </c>
      <c r="L827" s="5">
        <f>44 / 86400</f>
        <v>5.0925925925925921E-4</v>
      </c>
    </row>
    <row r="828" spans="1:12" x14ac:dyDescent="0.25">
      <c r="A828" s="3">
        <v>45713.015439814815</v>
      </c>
      <c r="B828" t="s">
        <v>85</v>
      </c>
      <c r="C828" s="3">
        <v>45713.016099537039</v>
      </c>
      <c r="D828" t="s">
        <v>85</v>
      </c>
      <c r="E828" s="4">
        <v>2.1999999999999999E-2</v>
      </c>
      <c r="F828" s="4">
        <v>416311.47399999999</v>
      </c>
      <c r="G828" s="4">
        <v>416311.49599999998</v>
      </c>
      <c r="H828" s="5">
        <f>39 / 86400</f>
        <v>4.5138888888888887E-4</v>
      </c>
      <c r="I828" t="s">
        <v>134</v>
      </c>
      <c r="J828" t="s">
        <v>144</v>
      </c>
      <c r="K828" s="5">
        <f>57 / 86400</f>
        <v>6.5972222222222224E-4</v>
      </c>
      <c r="L828" s="5">
        <f>24426 / 86400</f>
        <v>0.28270833333333334</v>
      </c>
    </row>
    <row r="829" spans="1:12" x14ac:dyDescent="0.25">
      <c r="A829" s="3">
        <v>45713.298807870371</v>
      </c>
      <c r="B829" t="s">
        <v>85</v>
      </c>
      <c r="C829" s="3">
        <v>45713.301215277781</v>
      </c>
      <c r="D829" t="s">
        <v>85</v>
      </c>
      <c r="E829" s="4">
        <v>1.6E-2</v>
      </c>
      <c r="F829" s="4">
        <v>416311.49599999998</v>
      </c>
      <c r="G829" s="4">
        <v>416311.51199999999</v>
      </c>
      <c r="H829" s="5">
        <f>159 / 86400</f>
        <v>1.8402777777777777E-3</v>
      </c>
      <c r="I829" t="s">
        <v>147</v>
      </c>
      <c r="J829" t="s">
        <v>22</v>
      </c>
      <c r="K829" s="5">
        <f>208 / 86400</f>
        <v>2.4074074074074076E-3</v>
      </c>
      <c r="L829" s="5">
        <f>5336 / 86400</f>
        <v>6.1759259259259257E-2</v>
      </c>
    </row>
    <row r="830" spans="1:12" x14ac:dyDescent="0.25">
      <c r="A830" s="3">
        <v>45713.362974537042</v>
      </c>
      <c r="B830" t="s">
        <v>85</v>
      </c>
      <c r="C830" s="3">
        <v>45713.363703703704</v>
      </c>
      <c r="D830" t="s">
        <v>85</v>
      </c>
      <c r="E830" s="4">
        <v>8.9999999999999993E-3</v>
      </c>
      <c r="F830" s="4">
        <v>416311.51199999999</v>
      </c>
      <c r="G830" s="4">
        <v>416311.52100000001</v>
      </c>
      <c r="H830" s="5">
        <f>39 / 86400</f>
        <v>4.5138888888888887E-4</v>
      </c>
      <c r="I830" t="s">
        <v>146</v>
      </c>
      <c r="J830" t="s">
        <v>144</v>
      </c>
      <c r="K830" s="5">
        <f>63 / 86400</f>
        <v>7.291666666666667E-4</v>
      </c>
      <c r="L830" s="5">
        <f>23358 / 86400</f>
        <v>0.27034722222222224</v>
      </c>
    </row>
    <row r="831" spans="1:12" x14ac:dyDescent="0.25">
      <c r="A831" s="3">
        <v>45713.634050925924</v>
      </c>
      <c r="B831" t="s">
        <v>85</v>
      </c>
      <c r="C831" s="3">
        <v>45713.686655092592</v>
      </c>
      <c r="D831" t="s">
        <v>82</v>
      </c>
      <c r="E831" s="4">
        <v>24.300999999999998</v>
      </c>
      <c r="F831" s="4">
        <v>416311.52100000001</v>
      </c>
      <c r="G831" s="4">
        <v>416335.82199999999</v>
      </c>
      <c r="H831" s="5">
        <f>1498 / 86400</f>
        <v>1.7337962962962961E-2</v>
      </c>
      <c r="I831" t="s">
        <v>19</v>
      </c>
      <c r="J831" t="s">
        <v>92</v>
      </c>
      <c r="K831" s="5">
        <f>4544 / 86400</f>
        <v>5.2592592592592594E-2</v>
      </c>
      <c r="L831" s="5">
        <f>745 / 86400</f>
        <v>8.6226851851851846E-3</v>
      </c>
    </row>
    <row r="832" spans="1:12" x14ac:dyDescent="0.25">
      <c r="A832" s="3">
        <v>45713.695277777777</v>
      </c>
      <c r="B832" t="s">
        <v>82</v>
      </c>
      <c r="C832" s="3">
        <v>45713.696273148147</v>
      </c>
      <c r="D832" t="s">
        <v>316</v>
      </c>
      <c r="E832" s="4">
        <v>0.06</v>
      </c>
      <c r="F832" s="4">
        <v>416335.82199999999</v>
      </c>
      <c r="G832" s="4">
        <v>416335.88199999998</v>
      </c>
      <c r="H832" s="5">
        <f>19 / 86400</f>
        <v>2.199074074074074E-4</v>
      </c>
      <c r="I832" t="s">
        <v>34</v>
      </c>
      <c r="J832" t="s">
        <v>106</v>
      </c>
      <c r="K832" s="5">
        <f>86 / 86400</f>
        <v>9.9537037037037042E-4</v>
      </c>
      <c r="L832" s="5">
        <f>300 / 86400</f>
        <v>3.472222222222222E-3</v>
      </c>
    </row>
    <row r="833" spans="1:12" x14ac:dyDescent="0.25">
      <c r="A833" s="3">
        <v>45713.699745370366</v>
      </c>
      <c r="B833" t="s">
        <v>316</v>
      </c>
      <c r="C833" s="3">
        <v>45713.700601851851</v>
      </c>
      <c r="D833" t="s">
        <v>115</v>
      </c>
      <c r="E833" s="4">
        <v>0.27200000000000002</v>
      </c>
      <c r="F833" s="4">
        <v>416335.88199999998</v>
      </c>
      <c r="G833" s="4">
        <v>416336.15399999998</v>
      </c>
      <c r="H833" s="5">
        <f>0 / 86400</f>
        <v>0</v>
      </c>
      <c r="I833" t="s">
        <v>164</v>
      </c>
      <c r="J833" t="s">
        <v>45</v>
      </c>
      <c r="K833" s="5">
        <f>74 / 86400</f>
        <v>8.564814814814815E-4</v>
      </c>
      <c r="L833" s="5">
        <f>47 / 86400</f>
        <v>5.4398148148148144E-4</v>
      </c>
    </row>
    <row r="834" spans="1:12" x14ac:dyDescent="0.25">
      <c r="A834" s="3">
        <v>45713.701145833329</v>
      </c>
      <c r="B834" t="s">
        <v>115</v>
      </c>
      <c r="C834" s="3">
        <v>45713.843541666662</v>
      </c>
      <c r="D834" t="s">
        <v>367</v>
      </c>
      <c r="E834" s="4">
        <v>65.293999999999997</v>
      </c>
      <c r="F834" s="4">
        <v>416336.15399999998</v>
      </c>
      <c r="G834" s="4">
        <v>416401.44799999997</v>
      </c>
      <c r="H834" s="5">
        <f>4440 / 86400</f>
        <v>5.1388888888888887E-2</v>
      </c>
      <c r="I834" t="s">
        <v>47</v>
      </c>
      <c r="J834" t="s">
        <v>92</v>
      </c>
      <c r="K834" s="5">
        <f>12303 / 86400</f>
        <v>0.14239583333333333</v>
      </c>
      <c r="L834" s="5">
        <f>896 / 86400</f>
        <v>1.037037037037037E-2</v>
      </c>
    </row>
    <row r="835" spans="1:12" x14ac:dyDescent="0.25">
      <c r="A835" s="3">
        <v>45713.853912037041</v>
      </c>
      <c r="B835" t="s">
        <v>367</v>
      </c>
      <c r="C835" s="3">
        <v>45713.858356481476</v>
      </c>
      <c r="D835" t="s">
        <v>367</v>
      </c>
      <c r="E835" s="4">
        <v>2.9000000000000001E-2</v>
      </c>
      <c r="F835" s="4">
        <v>416401.44799999997</v>
      </c>
      <c r="G835" s="4">
        <v>416401.47700000001</v>
      </c>
      <c r="H835" s="5">
        <f>340 / 86400</f>
        <v>3.9351851851851848E-3</v>
      </c>
      <c r="I835" t="s">
        <v>147</v>
      </c>
      <c r="J835" t="s">
        <v>22</v>
      </c>
      <c r="K835" s="5">
        <f>384 / 86400</f>
        <v>4.4444444444444444E-3</v>
      </c>
      <c r="L835" s="5">
        <f>41 / 86400</f>
        <v>4.7453703703703704E-4</v>
      </c>
    </row>
    <row r="836" spans="1:12" x14ac:dyDescent="0.25">
      <c r="A836" s="3">
        <v>45713.858831018515</v>
      </c>
      <c r="B836" t="s">
        <v>367</v>
      </c>
      <c r="C836" s="3">
        <v>45713.858969907407</v>
      </c>
      <c r="D836" t="s">
        <v>367</v>
      </c>
      <c r="E836" s="4">
        <v>1.2999999999999999E-2</v>
      </c>
      <c r="F836" s="4">
        <v>416401.47700000001</v>
      </c>
      <c r="G836" s="4">
        <v>416401.49</v>
      </c>
      <c r="H836" s="5">
        <f>0 / 86400</f>
        <v>0</v>
      </c>
      <c r="I836" t="s">
        <v>147</v>
      </c>
      <c r="J836" t="s">
        <v>141</v>
      </c>
      <c r="K836" s="5">
        <f>11 / 86400</f>
        <v>1.273148148148148E-4</v>
      </c>
      <c r="L836" s="5">
        <f>290 / 86400</f>
        <v>3.3564814814814816E-3</v>
      </c>
    </row>
    <row r="837" spans="1:12" x14ac:dyDescent="0.25">
      <c r="A837" s="3">
        <v>45713.862326388888</v>
      </c>
      <c r="B837" t="s">
        <v>367</v>
      </c>
      <c r="C837" s="3">
        <v>45713.863854166666</v>
      </c>
      <c r="D837" t="s">
        <v>367</v>
      </c>
      <c r="E837" s="4">
        <v>6.0000000000000001E-3</v>
      </c>
      <c r="F837" s="4">
        <v>416401.49</v>
      </c>
      <c r="G837" s="4">
        <v>416401.49599999998</v>
      </c>
      <c r="H837" s="5">
        <f>119 / 86400</f>
        <v>1.3773148148148147E-3</v>
      </c>
      <c r="I837" t="s">
        <v>22</v>
      </c>
      <c r="J837" t="s">
        <v>22</v>
      </c>
      <c r="K837" s="5">
        <f>132 / 86400</f>
        <v>1.5277777777777779E-3</v>
      </c>
      <c r="L837" s="5">
        <f>62 / 86400</f>
        <v>7.1759259259259259E-4</v>
      </c>
    </row>
    <row r="838" spans="1:12" x14ac:dyDescent="0.25">
      <c r="A838" s="3">
        <v>45713.864571759259</v>
      </c>
      <c r="B838" t="s">
        <v>367</v>
      </c>
      <c r="C838" s="3">
        <v>45713.864814814813</v>
      </c>
      <c r="D838" t="s">
        <v>367</v>
      </c>
      <c r="E838" s="4">
        <v>1E-3</v>
      </c>
      <c r="F838" s="4">
        <v>416401.49599999998</v>
      </c>
      <c r="G838" s="4">
        <v>416401.49699999997</v>
      </c>
      <c r="H838" s="5">
        <f>19 / 86400</f>
        <v>2.199074074074074E-4</v>
      </c>
      <c r="I838" t="s">
        <v>22</v>
      </c>
      <c r="J838" t="s">
        <v>22</v>
      </c>
      <c r="K838" s="5">
        <f>21 / 86400</f>
        <v>2.4305555555555555E-4</v>
      </c>
      <c r="L838" s="5">
        <f>104 / 86400</f>
        <v>1.2037037037037038E-3</v>
      </c>
    </row>
    <row r="839" spans="1:12" x14ac:dyDescent="0.25">
      <c r="A839" s="3">
        <v>45713.866018518514</v>
      </c>
      <c r="B839" t="s">
        <v>367</v>
      </c>
      <c r="C839" s="3">
        <v>45713.99998842593</v>
      </c>
      <c r="D839" t="s">
        <v>91</v>
      </c>
      <c r="E839" s="4">
        <v>67.855000000000004</v>
      </c>
      <c r="F839" s="4">
        <v>416401.49699999997</v>
      </c>
      <c r="G839" s="4">
        <v>416469.35200000001</v>
      </c>
      <c r="H839" s="5">
        <f>3459 / 86400</f>
        <v>4.0034722222222222E-2</v>
      </c>
      <c r="I839" t="s">
        <v>19</v>
      </c>
      <c r="J839" t="s">
        <v>125</v>
      </c>
      <c r="K839" s="5">
        <f>11575 / 86400</f>
        <v>0.13396990740740741</v>
      </c>
      <c r="L839" s="5">
        <f>0 / 86400</f>
        <v>0</v>
      </c>
    </row>
    <row r="840" spans="1:12" x14ac:dyDescent="0.25">
      <c r="A840" s="12"/>
      <c r="B840" s="12"/>
      <c r="C840" s="12"/>
      <c r="D840" s="12"/>
      <c r="E840" s="12"/>
      <c r="F840" s="12"/>
      <c r="G840" s="12"/>
      <c r="H840" s="12"/>
      <c r="I840" s="12"/>
      <c r="J840" s="12"/>
    </row>
    <row r="841" spans="1:12" x14ac:dyDescent="0.25">
      <c r="A841" s="12"/>
      <c r="B841" s="12"/>
      <c r="C841" s="12"/>
      <c r="D841" s="12"/>
      <c r="E841" s="12"/>
      <c r="F841" s="12"/>
      <c r="G841" s="12"/>
      <c r="H841" s="12"/>
      <c r="I841" s="12"/>
      <c r="J841" s="12"/>
    </row>
    <row r="842" spans="1:12" s="10" customFormat="1" ht="20.100000000000001" customHeight="1" x14ac:dyDescent="0.35">
      <c r="A842" s="15" t="s">
        <v>429</v>
      </c>
      <c r="B842" s="15"/>
      <c r="C842" s="15"/>
      <c r="D842" s="15"/>
      <c r="E842" s="15"/>
      <c r="F842" s="15"/>
      <c r="G842" s="15"/>
      <c r="H842" s="15"/>
      <c r="I842" s="15"/>
      <c r="J842" s="15"/>
    </row>
    <row r="843" spans="1:12" x14ac:dyDescent="0.25">
      <c r="A843" s="12"/>
      <c r="B843" s="12"/>
      <c r="C843" s="12"/>
      <c r="D843" s="12"/>
      <c r="E843" s="12"/>
      <c r="F843" s="12"/>
      <c r="G843" s="12"/>
      <c r="H843" s="12"/>
      <c r="I843" s="12"/>
      <c r="J843" s="12"/>
    </row>
    <row r="844" spans="1:12" ht="30" x14ac:dyDescent="0.25">
      <c r="A844" s="2" t="s">
        <v>6</v>
      </c>
      <c r="B844" s="2" t="s">
        <v>7</v>
      </c>
      <c r="C844" s="2" t="s">
        <v>8</v>
      </c>
      <c r="D844" s="2" t="s">
        <v>9</v>
      </c>
      <c r="E844" s="2" t="s">
        <v>10</v>
      </c>
      <c r="F844" s="2" t="s">
        <v>11</v>
      </c>
      <c r="G844" s="2" t="s">
        <v>12</v>
      </c>
      <c r="H844" s="2" t="s">
        <v>13</v>
      </c>
      <c r="I844" s="2" t="s">
        <v>14</v>
      </c>
      <c r="J844" s="2" t="s">
        <v>15</v>
      </c>
      <c r="K844" s="2" t="s">
        <v>16</v>
      </c>
      <c r="L844" s="2" t="s">
        <v>17</v>
      </c>
    </row>
    <row r="845" spans="1:12" x14ac:dyDescent="0.25">
      <c r="A845" s="3">
        <v>45713.172858796301</v>
      </c>
      <c r="B845" t="s">
        <v>27</v>
      </c>
      <c r="C845" s="3">
        <v>45713.174641203703</v>
      </c>
      <c r="D845" t="s">
        <v>27</v>
      </c>
      <c r="E845" s="4">
        <v>1.9E-2</v>
      </c>
      <c r="F845" s="4">
        <v>330931.56</v>
      </c>
      <c r="G845" s="4">
        <v>330931.57900000003</v>
      </c>
      <c r="H845" s="5">
        <f>119 / 86400</f>
        <v>1.3773148148148147E-3</v>
      </c>
      <c r="I845" t="s">
        <v>141</v>
      </c>
      <c r="J845" t="s">
        <v>22</v>
      </c>
      <c r="K845" s="5">
        <f>153 / 86400</f>
        <v>1.7708333333333332E-3</v>
      </c>
      <c r="L845" s="5">
        <f>14968 / 86400</f>
        <v>0.17324074074074075</v>
      </c>
    </row>
    <row r="846" spans="1:12" x14ac:dyDescent="0.25">
      <c r="A846" s="3">
        <v>45713.175023148149</v>
      </c>
      <c r="B846" t="s">
        <v>27</v>
      </c>
      <c r="C846" s="3">
        <v>45713.347997685181</v>
      </c>
      <c r="D846" t="s">
        <v>126</v>
      </c>
      <c r="E846" s="4">
        <v>83.256</v>
      </c>
      <c r="F846" s="4">
        <v>330931.57900000003</v>
      </c>
      <c r="G846" s="4">
        <v>331014.83500000002</v>
      </c>
      <c r="H846" s="5">
        <f>3700 / 86400</f>
        <v>4.2824074074074077E-2</v>
      </c>
      <c r="I846" t="s">
        <v>154</v>
      </c>
      <c r="J846" t="s">
        <v>111</v>
      </c>
      <c r="K846" s="5">
        <f>14944 / 86400</f>
        <v>0.17296296296296296</v>
      </c>
      <c r="L846" s="5">
        <f>2703 / 86400</f>
        <v>3.1284722222222221E-2</v>
      </c>
    </row>
    <row r="847" spans="1:12" x14ac:dyDescent="0.25">
      <c r="A847" s="3">
        <v>45713.379282407404</v>
      </c>
      <c r="B847" t="s">
        <v>126</v>
      </c>
      <c r="C847" s="3">
        <v>45713.38444444444</v>
      </c>
      <c r="D847" t="s">
        <v>132</v>
      </c>
      <c r="E847" s="4">
        <v>1.099</v>
      </c>
      <c r="F847" s="4">
        <v>331014.83500000002</v>
      </c>
      <c r="G847" s="4">
        <v>331015.93400000001</v>
      </c>
      <c r="H847" s="5">
        <f>20 / 86400</f>
        <v>2.3148148148148149E-4</v>
      </c>
      <c r="I847" t="s">
        <v>125</v>
      </c>
      <c r="J847" t="s">
        <v>64</v>
      </c>
      <c r="K847" s="5">
        <f>446 / 86400</f>
        <v>5.162037037037037E-3</v>
      </c>
      <c r="L847" s="5">
        <f>3074 / 86400</f>
        <v>3.5578703703703703E-2</v>
      </c>
    </row>
    <row r="848" spans="1:12" x14ac:dyDescent="0.25">
      <c r="A848" s="3">
        <v>45713.420023148152</v>
      </c>
      <c r="B848" t="s">
        <v>132</v>
      </c>
      <c r="C848" s="3">
        <v>45713.671817129631</v>
      </c>
      <c r="D848" t="s">
        <v>23</v>
      </c>
      <c r="E848" s="4">
        <v>86.747</v>
      </c>
      <c r="F848" s="4">
        <v>331015.93400000001</v>
      </c>
      <c r="G848" s="4">
        <v>331102.68099999998</v>
      </c>
      <c r="H848" s="5">
        <f>7668 / 86400</f>
        <v>8.8749999999999996E-2</v>
      </c>
      <c r="I848" t="s">
        <v>94</v>
      </c>
      <c r="J848" t="s">
        <v>29</v>
      </c>
      <c r="K848" s="5">
        <f>21754 / 86400</f>
        <v>0.25178240740740743</v>
      </c>
      <c r="L848" s="5">
        <f>265 / 86400</f>
        <v>3.0671296296296297E-3</v>
      </c>
    </row>
    <row r="849" spans="1:12" x14ac:dyDescent="0.25">
      <c r="A849" s="3">
        <v>45713.674884259264</v>
      </c>
      <c r="B849" t="s">
        <v>23</v>
      </c>
      <c r="C849" s="3">
        <v>45713.785185185188</v>
      </c>
      <c r="D849" t="s">
        <v>368</v>
      </c>
      <c r="E849" s="4">
        <v>44.448999999999998</v>
      </c>
      <c r="F849" s="4">
        <v>331102.68099999998</v>
      </c>
      <c r="G849" s="4">
        <v>331147.13</v>
      </c>
      <c r="H849" s="5">
        <f>3720 / 86400</f>
        <v>4.3055555555555555E-2</v>
      </c>
      <c r="I849" t="s">
        <v>93</v>
      </c>
      <c r="J849" t="s">
        <v>20</v>
      </c>
      <c r="K849" s="5">
        <f>9529 / 86400</f>
        <v>0.11028935185185185</v>
      </c>
      <c r="L849" s="5">
        <f>3 / 86400</f>
        <v>3.4722222222222222E-5</v>
      </c>
    </row>
    <row r="850" spans="1:12" x14ac:dyDescent="0.25">
      <c r="A850" s="3">
        <v>45713.785219907411</v>
      </c>
      <c r="B850" t="s">
        <v>368</v>
      </c>
      <c r="C850" s="3">
        <v>45713.806574074071</v>
      </c>
      <c r="D850" t="s">
        <v>238</v>
      </c>
      <c r="E850" s="4">
        <v>5.2690000000000001</v>
      </c>
      <c r="F850" s="4">
        <v>331147.13</v>
      </c>
      <c r="G850" s="4">
        <v>331152.39899999998</v>
      </c>
      <c r="H850" s="5">
        <f>700 / 86400</f>
        <v>8.1018518518518514E-3</v>
      </c>
      <c r="I850" t="s">
        <v>211</v>
      </c>
      <c r="J850" t="s">
        <v>134</v>
      </c>
      <c r="K850" s="5">
        <f>1845 / 86400</f>
        <v>2.1354166666666667E-2</v>
      </c>
      <c r="L850" s="5">
        <f>64 / 86400</f>
        <v>7.407407407407407E-4</v>
      </c>
    </row>
    <row r="851" spans="1:12" x14ac:dyDescent="0.25">
      <c r="A851" s="3">
        <v>45713.807314814811</v>
      </c>
      <c r="B851" t="s">
        <v>369</v>
      </c>
      <c r="C851" s="3">
        <v>45713.871446759258</v>
      </c>
      <c r="D851" t="s">
        <v>370</v>
      </c>
      <c r="E851" s="4">
        <v>24.222000000000001</v>
      </c>
      <c r="F851" s="4">
        <v>331152.39899999998</v>
      </c>
      <c r="G851" s="4">
        <v>331176.62099999998</v>
      </c>
      <c r="H851" s="5">
        <f>2079 / 86400</f>
        <v>2.4062500000000001E-2</v>
      </c>
      <c r="I851" t="s">
        <v>154</v>
      </c>
      <c r="J851" t="s">
        <v>32</v>
      </c>
      <c r="K851" s="5">
        <f>5540 / 86400</f>
        <v>6.4120370370370369E-2</v>
      </c>
      <c r="L851" s="5">
        <f>11 / 86400</f>
        <v>1.273148148148148E-4</v>
      </c>
    </row>
    <row r="852" spans="1:12" x14ac:dyDescent="0.25">
      <c r="A852" s="3">
        <v>45713.871574074074</v>
      </c>
      <c r="B852" t="s">
        <v>370</v>
      </c>
      <c r="C852" s="3">
        <v>45713.871678240743</v>
      </c>
      <c r="D852" t="s">
        <v>370</v>
      </c>
      <c r="E852" s="4">
        <v>0</v>
      </c>
      <c r="F852" s="4">
        <v>331176.62099999998</v>
      </c>
      <c r="G852" s="4">
        <v>331176.62099999998</v>
      </c>
      <c r="H852" s="5">
        <f>0 / 86400</f>
        <v>0</v>
      </c>
      <c r="I852" t="s">
        <v>22</v>
      </c>
      <c r="J852" t="s">
        <v>22</v>
      </c>
      <c r="K852" s="5">
        <f>9 / 86400</f>
        <v>1.0416666666666667E-4</v>
      </c>
      <c r="L852" s="5">
        <f>1246 / 86400</f>
        <v>1.4421296296296297E-2</v>
      </c>
    </row>
    <row r="853" spans="1:12" x14ac:dyDescent="0.25">
      <c r="A853" s="3">
        <v>45713.886099537034</v>
      </c>
      <c r="B853" t="s">
        <v>254</v>
      </c>
      <c r="C853" s="3">
        <v>45713.976493055554</v>
      </c>
      <c r="D853" t="s">
        <v>351</v>
      </c>
      <c r="E853" s="4">
        <v>36.148000000000003</v>
      </c>
      <c r="F853" s="4">
        <v>331176.62099999998</v>
      </c>
      <c r="G853" s="4">
        <v>331212.76899999997</v>
      </c>
      <c r="H853" s="5">
        <f>3280 / 86400</f>
        <v>3.7962962962962962E-2</v>
      </c>
      <c r="I853" t="s">
        <v>87</v>
      </c>
      <c r="J853" t="s">
        <v>20</v>
      </c>
      <c r="K853" s="5">
        <f>7810 / 86400</f>
        <v>9.0393518518518512E-2</v>
      </c>
      <c r="L853" s="5">
        <f>452 / 86400</f>
        <v>5.2314814814814811E-3</v>
      </c>
    </row>
    <row r="854" spans="1:12" x14ac:dyDescent="0.25">
      <c r="A854" s="3">
        <v>45713.981724537036</v>
      </c>
      <c r="B854" t="s">
        <v>351</v>
      </c>
      <c r="C854" s="3">
        <v>45713.982974537037</v>
      </c>
      <c r="D854" t="s">
        <v>67</v>
      </c>
      <c r="E854" s="4">
        <v>9.2999999999999999E-2</v>
      </c>
      <c r="F854" s="4">
        <v>331212.76899999997</v>
      </c>
      <c r="G854" s="4">
        <v>331212.86200000002</v>
      </c>
      <c r="H854" s="5">
        <f>20 / 86400</f>
        <v>2.3148148148148149E-4</v>
      </c>
      <c r="I854" t="s">
        <v>53</v>
      </c>
      <c r="J854" t="s">
        <v>106</v>
      </c>
      <c r="K854" s="5">
        <f>108 / 86400</f>
        <v>1.25E-3</v>
      </c>
      <c r="L854" s="5">
        <f>541 / 86400</f>
        <v>6.2615740740740739E-3</v>
      </c>
    </row>
    <row r="855" spans="1:12" x14ac:dyDescent="0.25">
      <c r="A855" s="3">
        <v>45713.989236111112</v>
      </c>
      <c r="B855" t="s">
        <v>67</v>
      </c>
      <c r="C855" s="3">
        <v>45713.99998842593</v>
      </c>
      <c r="D855" t="s">
        <v>27</v>
      </c>
      <c r="E855" s="4">
        <v>5.7480000000000002</v>
      </c>
      <c r="F855" s="4">
        <v>331212.86200000002</v>
      </c>
      <c r="G855" s="4">
        <v>331218.61</v>
      </c>
      <c r="H855" s="5">
        <f>200 / 86400</f>
        <v>2.3148148148148147E-3</v>
      </c>
      <c r="I855" t="s">
        <v>193</v>
      </c>
      <c r="J855" t="s">
        <v>136</v>
      </c>
      <c r="K855" s="5">
        <f>929 / 86400</f>
        <v>1.0752314814814815E-2</v>
      </c>
      <c r="L855" s="5">
        <f>0 / 86400</f>
        <v>0</v>
      </c>
    </row>
    <row r="856" spans="1:12" x14ac:dyDescent="0.25">
      <c r="A856" s="12"/>
      <c r="B856" s="12"/>
      <c r="C856" s="12"/>
      <c r="D856" s="12"/>
      <c r="E856" s="12"/>
      <c r="F856" s="12"/>
      <c r="G856" s="12"/>
      <c r="H856" s="12"/>
      <c r="I856" s="12"/>
      <c r="J856" s="12"/>
    </row>
    <row r="857" spans="1:12" x14ac:dyDescent="0.25">
      <c r="A857" s="12"/>
      <c r="B857" s="12"/>
      <c r="C857" s="12"/>
      <c r="D857" s="12"/>
      <c r="E857" s="12"/>
      <c r="F857" s="12"/>
      <c r="G857" s="12"/>
      <c r="H857" s="12"/>
      <c r="I857" s="12"/>
      <c r="J857" s="12"/>
    </row>
    <row r="858" spans="1:12" s="10" customFormat="1" ht="20.100000000000001" customHeight="1" x14ac:dyDescent="0.35">
      <c r="A858" s="15" t="s">
        <v>430</v>
      </c>
      <c r="B858" s="15"/>
      <c r="C858" s="15"/>
      <c r="D858" s="15"/>
      <c r="E858" s="15"/>
      <c r="F858" s="15"/>
      <c r="G858" s="15"/>
      <c r="H858" s="15"/>
      <c r="I858" s="15"/>
      <c r="J858" s="15"/>
    </row>
    <row r="859" spans="1:12" x14ac:dyDescent="0.25">
      <c r="A859" s="12"/>
      <c r="B859" s="12"/>
      <c r="C859" s="12"/>
      <c r="D859" s="12"/>
      <c r="E859" s="12"/>
      <c r="F859" s="12"/>
      <c r="G859" s="12"/>
      <c r="H859" s="12"/>
      <c r="I859" s="12"/>
      <c r="J859" s="12"/>
    </row>
    <row r="860" spans="1:12" ht="30" x14ac:dyDescent="0.25">
      <c r="A860" s="2" t="s">
        <v>6</v>
      </c>
      <c r="B860" s="2" t="s">
        <v>7</v>
      </c>
      <c r="C860" s="2" t="s">
        <v>8</v>
      </c>
      <c r="D860" s="2" t="s">
        <v>9</v>
      </c>
      <c r="E860" s="2" t="s">
        <v>10</v>
      </c>
      <c r="F860" s="2" t="s">
        <v>11</v>
      </c>
      <c r="G860" s="2" t="s">
        <v>12</v>
      </c>
      <c r="H860" s="2" t="s">
        <v>13</v>
      </c>
      <c r="I860" s="2" t="s">
        <v>14</v>
      </c>
      <c r="J860" s="2" t="s">
        <v>15</v>
      </c>
      <c r="K860" s="2" t="s">
        <v>16</v>
      </c>
      <c r="L860" s="2" t="s">
        <v>17</v>
      </c>
    </row>
    <row r="861" spans="1:12" x14ac:dyDescent="0.25">
      <c r="A861" s="3">
        <v>45713.294652777782</v>
      </c>
      <c r="B861" t="s">
        <v>27</v>
      </c>
      <c r="C861" s="3">
        <v>45713.302916666667</v>
      </c>
      <c r="D861" t="s">
        <v>157</v>
      </c>
      <c r="E861" s="4">
        <v>0.61199999999999999</v>
      </c>
      <c r="F861" s="4">
        <v>361718.73499999999</v>
      </c>
      <c r="G861" s="4">
        <v>361719.34700000001</v>
      </c>
      <c r="H861" s="5">
        <f>500 / 86400</f>
        <v>5.7870370370370367E-3</v>
      </c>
      <c r="I861" t="s">
        <v>92</v>
      </c>
      <c r="J861" t="s">
        <v>106</v>
      </c>
      <c r="K861" s="5">
        <f>714 / 86400</f>
        <v>8.2638888888888883E-3</v>
      </c>
      <c r="L861" s="5">
        <f>28966 / 86400</f>
        <v>0.33525462962962965</v>
      </c>
    </row>
    <row r="862" spans="1:12" x14ac:dyDescent="0.25">
      <c r="A862" s="3">
        <v>45713.343518518523</v>
      </c>
      <c r="B862" t="s">
        <v>157</v>
      </c>
      <c r="C862" s="3">
        <v>45713.589305555557</v>
      </c>
      <c r="D862" t="s">
        <v>126</v>
      </c>
      <c r="E862" s="4">
        <v>82.135000000000005</v>
      </c>
      <c r="F862" s="4">
        <v>361719.34700000001</v>
      </c>
      <c r="G862" s="4">
        <v>361801.48200000002</v>
      </c>
      <c r="H862" s="5">
        <f>8643 / 86400</f>
        <v>0.10003472222222222</v>
      </c>
      <c r="I862" t="s">
        <v>154</v>
      </c>
      <c r="J862" t="s">
        <v>29</v>
      </c>
      <c r="K862" s="5">
        <f>21236 / 86400</f>
        <v>0.24578703703703703</v>
      </c>
      <c r="L862" s="5">
        <f>1985 / 86400</f>
        <v>2.2974537037037036E-2</v>
      </c>
    </row>
    <row r="863" spans="1:12" x14ac:dyDescent="0.25">
      <c r="A863" s="3">
        <v>45713.612280092595</v>
      </c>
      <c r="B863" t="s">
        <v>126</v>
      </c>
      <c r="C863" s="3">
        <v>45713.613541666666</v>
      </c>
      <c r="D863" t="s">
        <v>126</v>
      </c>
      <c r="E863" s="4">
        <v>0.1</v>
      </c>
      <c r="F863" s="4">
        <v>361801.48200000002</v>
      </c>
      <c r="G863" s="4">
        <v>361801.58199999999</v>
      </c>
      <c r="H863" s="5">
        <f>20 / 86400</f>
        <v>2.3148148148148149E-4</v>
      </c>
      <c r="I863" t="s">
        <v>34</v>
      </c>
      <c r="J863" t="s">
        <v>106</v>
      </c>
      <c r="K863" s="5">
        <f>108 / 86400</f>
        <v>1.25E-3</v>
      </c>
      <c r="L863" s="5">
        <f>1091 / 86400</f>
        <v>1.2627314814814815E-2</v>
      </c>
    </row>
    <row r="864" spans="1:12" x14ac:dyDescent="0.25">
      <c r="A864" s="3">
        <v>45713.626168981486</v>
      </c>
      <c r="B864" t="s">
        <v>126</v>
      </c>
      <c r="C864" s="3">
        <v>45713.63208333333</v>
      </c>
      <c r="D864" t="s">
        <v>82</v>
      </c>
      <c r="E864" s="4">
        <v>1.194</v>
      </c>
      <c r="F864" s="4">
        <v>361801.58199999999</v>
      </c>
      <c r="G864" s="4">
        <v>361802.77600000001</v>
      </c>
      <c r="H864" s="5">
        <f>199 / 86400</f>
        <v>2.3032407407407407E-3</v>
      </c>
      <c r="I864" t="s">
        <v>156</v>
      </c>
      <c r="J864" t="s">
        <v>97</v>
      </c>
      <c r="K864" s="5">
        <f>511 / 86400</f>
        <v>5.9143518518518521E-3</v>
      </c>
      <c r="L864" s="5">
        <f>825 / 86400</f>
        <v>9.5486111111111119E-3</v>
      </c>
    </row>
    <row r="865" spans="1:12" x14ac:dyDescent="0.25">
      <c r="A865" s="3">
        <v>45713.64163194444</v>
      </c>
      <c r="B865" t="s">
        <v>82</v>
      </c>
      <c r="C865" s="3">
        <v>45713.926319444443</v>
      </c>
      <c r="D865" t="s">
        <v>27</v>
      </c>
      <c r="E865" s="4">
        <v>108.96</v>
      </c>
      <c r="F865" s="4">
        <v>361802.77600000001</v>
      </c>
      <c r="G865" s="4">
        <v>361911.73599999998</v>
      </c>
      <c r="H865" s="5">
        <f>8837 / 86400</f>
        <v>0.10228009259259259</v>
      </c>
      <c r="I865" t="s">
        <v>94</v>
      </c>
      <c r="J865" t="s">
        <v>32</v>
      </c>
      <c r="K865" s="5">
        <f>24597 / 86400</f>
        <v>0.28468749999999998</v>
      </c>
      <c r="L865" s="5">
        <f>6365 / 86400</f>
        <v>7.3668981481481488E-2</v>
      </c>
    </row>
    <row r="866" spans="1:12" x14ac:dyDescent="0.25">
      <c r="A866" s="12"/>
      <c r="B866" s="12"/>
      <c r="C866" s="12"/>
      <c r="D866" s="12"/>
      <c r="E866" s="12"/>
      <c r="F866" s="12"/>
      <c r="G866" s="12"/>
      <c r="H866" s="12"/>
      <c r="I866" s="12"/>
      <c r="J866" s="12"/>
    </row>
    <row r="867" spans="1:12" x14ac:dyDescent="0.25">
      <c r="A867" s="12"/>
      <c r="B867" s="12"/>
      <c r="C867" s="12"/>
      <c r="D867" s="12"/>
      <c r="E867" s="12"/>
      <c r="F867" s="12"/>
      <c r="G867" s="12"/>
      <c r="H867" s="12"/>
      <c r="I867" s="12"/>
      <c r="J867" s="12"/>
    </row>
    <row r="868" spans="1:12" s="10" customFormat="1" ht="20.100000000000001" customHeight="1" x14ac:dyDescent="0.35">
      <c r="A868" s="15" t="s">
        <v>431</v>
      </c>
      <c r="B868" s="15"/>
      <c r="C868" s="15"/>
      <c r="D868" s="15"/>
      <c r="E868" s="15"/>
      <c r="F868" s="15"/>
      <c r="G868" s="15"/>
      <c r="H868" s="15"/>
      <c r="I868" s="15"/>
      <c r="J868" s="15"/>
    </row>
    <row r="869" spans="1:12" x14ac:dyDescent="0.25">
      <c r="A869" s="12"/>
      <c r="B869" s="12"/>
      <c r="C869" s="12"/>
      <c r="D869" s="12"/>
      <c r="E869" s="12"/>
      <c r="F869" s="12"/>
      <c r="G869" s="12"/>
      <c r="H869" s="12"/>
      <c r="I869" s="12"/>
      <c r="J869" s="12"/>
    </row>
    <row r="870" spans="1:12" ht="30" x14ac:dyDescent="0.25">
      <c r="A870" s="2" t="s">
        <v>6</v>
      </c>
      <c r="B870" s="2" t="s">
        <v>7</v>
      </c>
      <c r="C870" s="2" t="s">
        <v>8</v>
      </c>
      <c r="D870" s="2" t="s">
        <v>9</v>
      </c>
      <c r="E870" s="2" t="s">
        <v>10</v>
      </c>
      <c r="F870" s="2" t="s">
        <v>11</v>
      </c>
      <c r="G870" s="2" t="s">
        <v>12</v>
      </c>
      <c r="H870" s="2" t="s">
        <v>13</v>
      </c>
      <c r="I870" s="2" t="s">
        <v>14</v>
      </c>
      <c r="J870" s="2" t="s">
        <v>15</v>
      </c>
      <c r="K870" s="2" t="s">
        <v>16</v>
      </c>
      <c r="L870" s="2" t="s">
        <v>17</v>
      </c>
    </row>
    <row r="871" spans="1:12" x14ac:dyDescent="0.25">
      <c r="A871" s="3">
        <v>45713.366574074069</v>
      </c>
      <c r="B871" t="s">
        <v>18</v>
      </c>
      <c r="C871" s="3">
        <v>45713.402766203704</v>
      </c>
      <c r="D871" t="s">
        <v>18</v>
      </c>
      <c r="E871" s="4">
        <v>0</v>
      </c>
      <c r="F871" s="4">
        <v>82854.596000000005</v>
      </c>
      <c r="G871" s="4">
        <v>82854.596000000005</v>
      </c>
      <c r="H871" s="5">
        <f>3119 / 86400</f>
        <v>3.6099537037037034E-2</v>
      </c>
      <c r="I871" t="s">
        <v>22</v>
      </c>
      <c r="J871" t="s">
        <v>22</v>
      </c>
      <c r="K871" s="5">
        <f>3126 / 86400</f>
        <v>3.6180555555555556E-2</v>
      </c>
      <c r="L871" s="5">
        <f>43567 / 86400</f>
        <v>0.50424768518518515</v>
      </c>
    </row>
    <row r="872" spans="1:12" x14ac:dyDescent="0.25">
      <c r="A872" s="3">
        <v>45713.540439814809</v>
      </c>
      <c r="B872" t="s">
        <v>18</v>
      </c>
      <c r="C872" s="3">
        <v>45713.548194444447</v>
      </c>
      <c r="D872" t="s">
        <v>18</v>
      </c>
      <c r="E872" s="4">
        <v>0</v>
      </c>
      <c r="F872" s="4">
        <v>82854.596000000005</v>
      </c>
      <c r="G872" s="4">
        <v>82854.596000000005</v>
      </c>
      <c r="H872" s="5">
        <f>659 / 86400</f>
        <v>7.6273148148148151E-3</v>
      </c>
      <c r="I872" t="s">
        <v>22</v>
      </c>
      <c r="J872" t="s">
        <v>22</v>
      </c>
      <c r="K872" s="5">
        <f>670 / 86400</f>
        <v>7.7546296296296295E-3</v>
      </c>
      <c r="L872" s="5">
        <f>846 / 86400</f>
        <v>9.7916666666666673E-3</v>
      </c>
    </row>
    <row r="873" spans="1:12" x14ac:dyDescent="0.25">
      <c r="A873" s="3">
        <v>45713.557986111111</v>
      </c>
      <c r="B873" t="s">
        <v>18</v>
      </c>
      <c r="C873" s="3">
        <v>45713.567928240736</v>
      </c>
      <c r="D873" t="s">
        <v>18</v>
      </c>
      <c r="E873" s="4">
        <v>3.653</v>
      </c>
      <c r="F873" s="4">
        <v>82854.596000000005</v>
      </c>
      <c r="G873" s="4">
        <v>82858.248999999996</v>
      </c>
      <c r="H873" s="5">
        <f>339 / 86400</f>
        <v>3.9236111111111112E-3</v>
      </c>
      <c r="I873" t="s">
        <v>117</v>
      </c>
      <c r="J873" t="s">
        <v>76</v>
      </c>
      <c r="K873" s="5">
        <f>859 / 86400</f>
        <v>9.9421296296296289E-3</v>
      </c>
      <c r="L873" s="5">
        <f>30 / 86400</f>
        <v>3.4722222222222224E-4</v>
      </c>
    </row>
    <row r="874" spans="1:12" x14ac:dyDescent="0.25">
      <c r="A874" s="3">
        <v>45713.568275462967</v>
      </c>
      <c r="B874" t="s">
        <v>18</v>
      </c>
      <c r="C874" s="3">
        <v>45713.573379629626</v>
      </c>
      <c r="D874" t="s">
        <v>18</v>
      </c>
      <c r="E874" s="4">
        <v>0</v>
      </c>
      <c r="F874" s="4">
        <v>82858.248999999996</v>
      </c>
      <c r="G874" s="4">
        <v>82858.248999999996</v>
      </c>
      <c r="H874" s="5">
        <f>439 / 86400</f>
        <v>5.0810185185185186E-3</v>
      </c>
      <c r="I874" t="s">
        <v>22</v>
      </c>
      <c r="J874" t="s">
        <v>22</v>
      </c>
      <c r="K874" s="5">
        <f>441 / 86400</f>
        <v>5.1041666666666666E-3</v>
      </c>
      <c r="L874" s="5">
        <f>1339 / 86400</f>
        <v>1.5497685185185186E-2</v>
      </c>
    </row>
    <row r="875" spans="1:12" x14ac:dyDescent="0.25">
      <c r="A875" s="3">
        <v>45713.588877314818</v>
      </c>
      <c r="B875" t="s">
        <v>18</v>
      </c>
      <c r="C875" s="3">
        <v>45713.589282407411</v>
      </c>
      <c r="D875" t="s">
        <v>18</v>
      </c>
      <c r="E875" s="4">
        <v>0</v>
      </c>
      <c r="F875" s="4">
        <v>82858.248999999996</v>
      </c>
      <c r="G875" s="4">
        <v>82858.248999999996</v>
      </c>
      <c r="H875" s="5">
        <f>19 / 86400</f>
        <v>2.199074074074074E-4</v>
      </c>
      <c r="I875" t="s">
        <v>22</v>
      </c>
      <c r="J875" t="s">
        <v>22</v>
      </c>
      <c r="K875" s="5">
        <f>34 / 86400</f>
        <v>3.9351851851851852E-4</v>
      </c>
      <c r="L875" s="5">
        <f>2168 / 86400</f>
        <v>2.5092592592592593E-2</v>
      </c>
    </row>
    <row r="876" spans="1:12" x14ac:dyDescent="0.25">
      <c r="A876" s="3">
        <v>45713.614375000005</v>
      </c>
      <c r="B876" t="s">
        <v>18</v>
      </c>
      <c r="C876" s="3">
        <v>45713.615543981483</v>
      </c>
      <c r="D876" t="s">
        <v>18</v>
      </c>
      <c r="E876" s="4">
        <v>0</v>
      </c>
      <c r="F876" s="4">
        <v>82858.248999999996</v>
      </c>
      <c r="G876" s="4">
        <v>82858.248999999996</v>
      </c>
      <c r="H876" s="5">
        <f>99 / 86400</f>
        <v>1.1458333333333333E-3</v>
      </c>
      <c r="I876" t="s">
        <v>22</v>
      </c>
      <c r="J876" t="s">
        <v>22</v>
      </c>
      <c r="K876" s="5">
        <f>100 / 86400</f>
        <v>1.1574074074074073E-3</v>
      </c>
      <c r="L876" s="5">
        <f>2 / 86400</f>
        <v>2.3148148148148147E-5</v>
      </c>
    </row>
    <row r="877" spans="1:12" x14ac:dyDescent="0.25">
      <c r="A877" s="3">
        <v>45713.615567129629</v>
      </c>
      <c r="B877" t="s">
        <v>18</v>
      </c>
      <c r="C877" s="3">
        <v>45713.700983796298</v>
      </c>
      <c r="D877" t="s">
        <v>364</v>
      </c>
      <c r="E877" s="4">
        <v>33.582000000000001</v>
      </c>
      <c r="F877" s="4">
        <v>82858.248999999996</v>
      </c>
      <c r="G877" s="4">
        <v>82891.831000000006</v>
      </c>
      <c r="H877" s="5">
        <f>3337 / 86400</f>
        <v>3.8622685185185184E-2</v>
      </c>
      <c r="I877" t="s">
        <v>96</v>
      </c>
      <c r="J877" t="s">
        <v>32</v>
      </c>
      <c r="K877" s="5">
        <f>7380 / 86400</f>
        <v>8.5416666666666669E-2</v>
      </c>
      <c r="L877" s="5">
        <f>181 / 86400</f>
        <v>2.0949074074074073E-3</v>
      </c>
    </row>
    <row r="878" spans="1:12" x14ac:dyDescent="0.25">
      <c r="A878" s="3">
        <v>45713.703078703707</v>
      </c>
      <c r="B878" t="s">
        <v>371</v>
      </c>
      <c r="C878" s="3">
        <v>45713.764293981483</v>
      </c>
      <c r="D878" t="s">
        <v>95</v>
      </c>
      <c r="E878" s="4">
        <v>1.1870000000000001</v>
      </c>
      <c r="F878" s="4">
        <v>82891.831000000006</v>
      </c>
      <c r="G878" s="4">
        <v>82893.017999999996</v>
      </c>
      <c r="H878" s="5">
        <f>5040 / 86400</f>
        <v>5.8333333333333334E-2</v>
      </c>
      <c r="I878" t="s">
        <v>33</v>
      </c>
      <c r="J878" t="s">
        <v>144</v>
      </c>
      <c r="K878" s="5">
        <f>5288 / 86400</f>
        <v>6.1203703703703705E-2</v>
      </c>
      <c r="L878" s="5">
        <f>8836 / 86400</f>
        <v>0.10226851851851852</v>
      </c>
    </row>
    <row r="879" spans="1:12" x14ac:dyDescent="0.25">
      <c r="A879" s="3">
        <v>45713.866562499999</v>
      </c>
      <c r="B879" t="s">
        <v>95</v>
      </c>
      <c r="C879" s="3">
        <v>45713.869259259256</v>
      </c>
      <c r="D879" t="s">
        <v>95</v>
      </c>
      <c r="E879" s="4">
        <v>9.7000000000000003E-2</v>
      </c>
      <c r="F879" s="4">
        <v>82893.017999999996</v>
      </c>
      <c r="G879" s="4">
        <v>82893.115000000005</v>
      </c>
      <c r="H879" s="5">
        <f>139 / 86400</f>
        <v>1.6087962962962963E-3</v>
      </c>
      <c r="I879" t="s">
        <v>34</v>
      </c>
      <c r="J879" t="s">
        <v>147</v>
      </c>
      <c r="K879" s="5">
        <f>232 / 86400</f>
        <v>2.685185185185185E-3</v>
      </c>
      <c r="L879" s="5">
        <f>11295 / 86400</f>
        <v>0.13072916666666667</v>
      </c>
    </row>
    <row r="880" spans="1:12" x14ac:dyDescent="0.25">
      <c r="A880" s="12"/>
      <c r="B880" s="12"/>
      <c r="C880" s="12"/>
      <c r="D880" s="12"/>
      <c r="E880" s="12"/>
      <c r="F880" s="12"/>
      <c r="G880" s="12"/>
      <c r="H880" s="12"/>
      <c r="I880" s="12"/>
      <c r="J880" s="12"/>
    </row>
    <row r="881" spans="1:12" x14ac:dyDescent="0.25">
      <c r="A881" s="12"/>
      <c r="B881" s="12"/>
      <c r="C881" s="12"/>
      <c r="D881" s="12"/>
      <c r="E881" s="12"/>
      <c r="F881" s="12"/>
      <c r="G881" s="12"/>
      <c r="H881" s="12"/>
      <c r="I881" s="12"/>
      <c r="J881" s="12"/>
    </row>
    <row r="882" spans="1:12" s="10" customFormat="1" ht="20.100000000000001" customHeight="1" x14ac:dyDescent="0.35">
      <c r="A882" s="15" t="s">
        <v>432</v>
      </c>
      <c r="B882" s="15"/>
      <c r="C882" s="15"/>
      <c r="D882" s="15"/>
      <c r="E882" s="15"/>
      <c r="F882" s="15"/>
      <c r="G882" s="15"/>
      <c r="H882" s="15"/>
      <c r="I882" s="15"/>
      <c r="J882" s="15"/>
    </row>
    <row r="883" spans="1:12" x14ac:dyDescent="0.25">
      <c r="A883" s="12"/>
      <c r="B883" s="12"/>
      <c r="C883" s="12"/>
      <c r="D883" s="12"/>
      <c r="E883" s="12"/>
      <c r="F883" s="12"/>
      <c r="G883" s="12"/>
      <c r="H883" s="12"/>
      <c r="I883" s="12"/>
      <c r="J883" s="12"/>
    </row>
    <row r="884" spans="1:12" ht="30" x14ac:dyDescent="0.25">
      <c r="A884" s="2" t="s">
        <v>6</v>
      </c>
      <c r="B884" s="2" t="s">
        <v>7</v>
      </c>
      <c r="C884" s="2" t="s">
        <v>8</v>
      </c>
      <c r="D884" s="2" t="s">
        <v>9</v>
      </c>
      <c r="E884" s="2" t="s">
        <v>10</v>
      </c>
      <c r="F884" s="2" t="s">
        <v>11</v>
      </c>
      <c r="G884" s="2" t="s">
        <v>12</v>
      </c>
      <c r="H884" s="2" t="s">
        <v>13</v>
      </c>
      <c r="I884" s="2" t="s">
        <v>14</v>
      </c>
      <c r="J884" s="2" t="s">
        <v>15</v>
      </c>
      <c r="K884" s="2" t="s">
        <v>16</v>
      </c>
      <c r="L884" s="2" t="s">
        <v>17</v>
      </c>
    </row>
    <row r="885" spans="1:12" x14ac:dyDescent="0.25">
      <c r="A885" s="3">
        <v>45713.206226851849</v>
      </c>
      <c r="B885" t="s">
        <v>98</v>
      </c>
      <c r="C885" s="3">
        <v>45713.210995370369</v>
      </c>
      <c r="D885" t="s">
        <v>372</v>
      </c>
      <c r="E885" s="4">
        <v>0.60099999999999998</v>
      </c>
      <c r="F885" s="4">
        <v>472177.29399999999</v>
      </c>
      <c r="G885" s="4">
        <v>472177.89500000002</v>
      </c>
      <c r="H885" s="5">
        <f>199 / 86400</f>
        <v>2.3032407407407407E-3</v>
      </c>
      <c r="I885" t="s">
        <v>190</v>
      </c>
      <c r="J885" t="s">
        <v>146</v>
      </c>
      <c r="K885" s="5">
        <f>412 / 86400</f>
        <v>4.7685185185185183E-3</v>
      </c>
      <c r="L885" s="5">
        <f>18670 / 86400</f>
        <v>0.21608796296296295</v>
      </c>
    </row>
    <row r="886" spans="1:12" x14ac:dyDescent="0.25">
      <c r="A886" s="3">
        <v>45713.220856481479</v>
      </c>
      <c r="B886" t="s">
        <v>133</v>
      </c>
      <c r="C886" s="3">
        <v>45713.221226851849</v>
      </c>
      <c r="D886" t="s">
        <v>137</v>
      </c>
      <c r="E886" s="4">
        <v>2.1999999999999999E-2</v>
      </c>
      <c r="F886" s="4">
        <v>472177.89500000002</v>
      </c>
      <c r="G886" s="4">
        <v>472177.91700000002</v>
      </c>
      <c r="H886" s="5">
        <f>0 / 86400</f>
        <v>0</v>
      </c>
      <c r="I886" t="s">
        <v>147</v>
      </c>
      <c r="J886" t="s">
        <v>106</v>
      </c>
      <c r="K886" s="5">
        <f>31 / 86400</f>
        <v>3.5879629629629629E-4</v>
      </c>
      <c r="L886" s="5">
        <f>3418 / 86400</f>
        <v>3.9560185185185184E-2</v>
      </c>
    </row>
    <row r="887" spans="1:12" x14ac:dyDescent="0.25">
      <c r="A887" s="3">
        <v>45713.260787037041</v>
      </c>
      <c r="B887" t="s">
        <v>137</v>
      </c>
      <c r="C887" s="3">
        <v>45713.262094907404</v>
      </c>
      <c r="D887" t="s">
        <v>133</v>
      </c>
      <c r="E887" s="4">
        <v>2.7E-2</v>
      </c>
      <c r="F887" s="4">
        <v>472177.91700000002</v>
      </c>
      <c r="G887" s="4">
        <v>472177.94400000002</v>
      </c>
      <c r="H887" s="5">
        <f>80 / 86400</f>
        <v>9.2592592592592596E-4</v>
      </c>
      <c r="I887" t="s">
        <v>146</v>
      </c>
      <c r="J887" t="s">
        <v>144</v>
      </c>
      <c r="K887" s="5">
        <f>112 / 86400</f>
        <v>1.2962962962962963E-3</v>
      </c>
      <c r="L887" s="5">
        <f>296 / 86400</f>
        <v>3.425925925925926E-3</v>
      </c>
    </row>
    <row r="888" spans="1:12" x14ac:dyDescent="0.25">
      <c r="A888" s="3">
        <v>45713.265520833331</v>
      </c>
      <c r="B888" t="s">
        <v>133</v>
      </c>
      <c r="C888" s="3">
        <v>45713.533009259263</v>
      </c>
      <c r="D888" t="s">
        <v>373</v>
      </c>
      <c r="E888" s="4">
        <v>101.593</v>
      </c>
      <c r="F888" s="4">
        <v>472177.94400000002</v>
      </c>
      <c r="G888" s="4">
        <v>472279.53700000001</v>
      </c>
      <c r="H888" s="5">
        <f>8058 / 86400</f>
        <v>9.3263888888888882E-2</v>
      </c>
      <c r="I888" t="s">
        <v>71</v>
      </c>
      <c r="J888" t="s">
        <v>32</v>
      </c>
      <c r="K888" s="5">
        <f>23110 / 86400</f>
        <v>0.26747685185185183</v>
      </c>
      <c r="L888" s="5">
        <f>1 / 86400</f>
        <v>1.1574074074074073E-5</v>
      </c>
    </row>
    <row r="889" spans="1:12" x14ac:dyDescent="0.25">
      <c r="A889" s="3">
        <v>45713.533020833333</v>
      </c>
      <c r="B889" t="s">
        <v>373</v>
      </c>
      <c r="C889" s="3">
        <v>45713.533819444448</v>
      </c>
      <c r="D889" t="s">
        <v>132</v>
      </c>
      <c r="E889" s="4">
        <v>0.15</v>
      </c>
      <c r="F889" s="4">
        <v>472279.53700000001</v>
      </c>
      <c r="G889" s="4">
        <v>472279.68699999998</v>
      </c>
      <c r="H889" s="5">
        <f>0 / 86400</f>
        <v>0</v>
      </c>
      <c r="I889" t="s">
        <v>158</v>
      </c>
      <c r="J889" t="s">
        <v>97</v>
      </c>
      <c r="K889" s="5">
        <f>69 / 86400</f>
        <v>7.9861111111111116E-4</v>
      </c>
      <c r="L889" s="5">
        <f>694 / 86400</f>
        <v>8.0324074074074082E-3</v>
      </c>
    </row>
    <row r="890" spans="1:12" x14ac:dyDescent="0.25">
      <c r="A890" s="3">
        <v>45713.541851851856</v>
      </c>
      <c r="B890" t="s">
        <v>132</v>
      </c>
      <c r="C890" s="3">
        <v>45713.547719907408</v>
      </c>
      <c r="D890" t="s">
        <v>82</v>
      </c>
      <c r="E890" s="4">
        <v>1.355</v>
      </c>
      <c r="F890" s="4">
        <v>472279.68699999998</v>
      </c>
      <c r="G890" s="4">
        <v>472281.04200000002</v>
      </c>
      <c r="H890" s="5">
        <f>199 / 86400</f>
        <v>2.3032407407407407E-3</v>
      </c>
      <c r="I890" t="s">
        <v>131</v>
      </c>
      <c r="J890" t="s">
        <v>134</v>
      </c>
      <c r="K890" s="5">
        <f>507 / 86400</f>
        <v>5.8680555555555552E-3</v>
      </c>
      <c r="L890" s="5">
        <f>599 / 86400</f>
        <v>6.9328703703703705E-3</v>
      </c>
    </row>
    <row r="891" spans="1:12" x14ac:dyDescent="0.25">
      <c r="A891" s="3">
        <v>45713.554652777777</v>
      </c>
      <c r="B891" t="s">
        <v>82</v>
      </c>
      <c r="C891" s="3">
        <v>45713.559004629627</v>
      </c>
      <c r="D891" t="s">
        <v>98</v>
      </c>
      <c r="E891" s="4">
        <v>0.97199999999999998</v>
      </c>
      <c r="F891" s="4">
        <v>472281.04200000002</v>
      </c>
      <c r="G891" s="4">
        <v>472282.01400000002</v>
      </c>
      <c r="H891" s="5">
        <f>158 / 86400</f>
        <v>1.8287037037037037E-3</v>
      </c>
      <c r="I891" t="s">
        <v>105</v>
      </c>
      <c r="J891" t="s">
        <v>64</v>
      </c>
      <c r="K891" s="5">
        <f>375 / 86400</f>
        <v>4.340277777777778E-3</v>
      </c>
      <c r="L891" s="5">
        <f>44 / 86400</f>
        <v>5.0925925925925921E-4</v>
      </c>
    </row>
    <row r="892" spans="1:12" x14ac:dyDescent="0.25">
      <c r="A892" s="3">
        <v>45713.559513888889</v>
      </c>
      <c r="B892" t="s">
        <v>98</v>
      </c>
      <c r="C892" s="3">
        <v>45713.560092592597</v>
      </c>
      <c r="D892" t="s">
        <v>98</v>
      </c>
      <c r="E892" s="4">
        <v>0</v>
      </c>
      <c r="F892" s="4">
        <v>472282.01400000002</v>
      </c>
      <c r="G892" s="4">
        <v>472282.01400000002</v>
      </c>
      <c r="H892" s="5">
        <f>39 / 86400</f>
        <v>4.5138888888888887E-4</v>
      </c>
      <c r="I892" t="s">
        <v>22</v>
      </c>
      <c r="J892" t="s">
        <v>22</v>
      </c>
      <c r="K892" s="5">
        <f>49 / 86400</f>
        <v>5.6712962962962967E-4</v>
      </c>
      <c r="L892" s="5">
        <f>63 / 86400</f>
        <v>7.291666666666667E-4</v>
      </c>
    </row>
    <row r="893" spans="1:12" x14ac:dyDescent="0.25">
      <c r="A893" s="3">
        <v>45713.56082175926</v>
      </c>
      <c r="B893" t="s">
        <v>98</v>
      </c>
      <c r="C893" s="3">
        <v>45713.563032407408</v>
      </c>
      <c r="D893" t="s">
        <v>98</v>
      </c>
      <c r="E893" s="4">
        <v>4.0000000000000001E-3</v>
      </c>
      <c r="F893" s="4">
        <v>472282.01400000002</v>
      </c>
      <c r="G893" s="4">
        <v>472282.01799999998</v>
      </c>
      <c r="H893" s="5">
        <f>139 / 86400</f>
        <v>1.6087962962962963E-3</v>
      </c>
      <c r="I893" t="s">
        <v>144</v>
      </c>
      <c r="J893" t="s">
        <v>22</v>
      </c>
      <c r="K893" s="5">
        <f>190 / 86400</f>
        <v>2.1990740740740742E-3</v>
      </c>
      <c r="L893" s="5">
        <f>3 / 86400</f>
        <v>3.4722222222222222E-5</v>
      </c>
    </row>
    <row r="894" spans="1:12" x14ac:dyDescent="0.25">
      <c r="A894" s="3">
        <v>45713.563067129631</v>
      </c>
      <c r="B894" t="s">
        <v>98</v>
      </c>
      <c r="C894" s="3">
        <v>45713.567048611112</v>
      </c>
      <c r="D894" t="s">
        <v>98</v>
      </c>
      <c r="E894" s="4">
        <v>5.5E-2</v>
      </c>
      <c r="F894" s="4">
        <v>472282.01799999998</v>
      </c>
      <c r="G894" s="4">
        <v>472282.07299999997</v>
      </c>
      <c r="H894" s="5">
        <f>266 / 86400</f>
        <v>3.0787037037037037E-3</v>
      </c>
      <c r="I894" t="s">
        <v>34</v>
      </c>
      <c r="J894" t="s">
        <v>144</v>
      </c>
      <c r="K894" s="5">
        <f>344 / 86400</f>
        <v>3.9814814814814817E-3</v>
      </c>
      <c r="L894" s="5">
        <f>1257 / 86400</f>
        <v>1.4548611111111111E-2</v>
      </c>
    </row>
    <row r="895" spans="1:12" x14ac:dyDescent="0.25">
      <c r="A895" s="3">
        <v>45713.581597222219</v>
      </c>
      <c r="B895" t="s">
        <v>98</v>
      </c>
      <c r="C895" s="3">
        <v>45713.581701388888</v>
      </c>
      <c r="D895" t="s">
        <v>98</v>
      </c>
      <c r="E895" s="4">
        <v>0</v>
      </c>
      <c r="F895" s="4">
        <v>472282.07299999997</v>
      </c>
      <c r="G895" s="4">
        <v>472282.07299999997</v>
      </c>
      <c r="H895" s="5">
        <f>0 / 86400</f>
        <v>0</v>
      </c>
      <c r="I895" t="s">
        <v>22</v>
      </c>
      <c r="J895" t="s">
        <v>22</v>
      </c>
      <c r="K895" s="5">
        <f>9 / 86400</f>
        <v>1.0416666666666667E-4</v>
      </c>
      <c r="L895" s="5">
        <f>358 / 86400</f>
        <v>4.1435185185185186E-3</v>
      </c>
    </row>
    <row r="896" spans="1:12" x14ac:dyDescent="0.25">
      <c r="A896" s="3">
        <v>45713.585844907408</v>
      </c>
      <c r="B896" t="s">
        <v>98</v>
      </c>
      <c r="C896" s="3">
        <v>45713.587187500001</v>
      </c>
      <c r="D896" t="s">
        <v>98</v>
      </c>
      <c r="E896" s="4">
        <v>0</v>
      </c>
      <c r="F896" s="4">
        <v>472282.07299999997</v>
      </c>
      <c r="G896" s="4">
        <v>472282.07299999997</v>
      </c>
      <c r="H896" s="5">
        <f>99 / 86400</f>
        <v>1.1458333333333333E-3</v>
      </c>
      <c r="I896" t="s">
        <v>22</v>
      </c>
      <c r="J896" t="s">
        <v>22</v>
      </c>
      <c r="K896" s="5">
        <f>115 / 86400</f>
        <v>1.3310185185185185E-3</v>
      </c>
      <c r="L896" s="5">
        <f>2925 / 86400</f>
        <v>3.3854166666666664E-2</v>
      </c>
    </row>
    <row r="897" spans="1:12" x14ac:dyDescent="0.25">
      <c r="A897" s="3">
        <v>45713.621041666665</v>
      </c>
      <c r="B897" t="s">
        <v>98</v>
      </c>
      <c r="C897" s="3">
        <v>45713.622743055559</v>
      </c>
      <c r="D897" t="s">
        <v>98</v>
      </c>
      <c r="E897" s="4">
        <v>0</v>
      </c>
      <c r="F897" s="4">
        <v>472282.07299999997</v>
      </c>
      <c r="G897" s="4">
        <v>472282.07299999997</v>
      </c>
      <c r="H897" s="5">
        <f>139 / 86400</f>
        <v>1.6087962962962963E-3</v>
      </c>
      <c r="I897" t="s">
        <v>22</v>
      </c>
      <c r="J897" t="s">
        <v>22</v>
      </c>
      <c r="K897" s="5">
        <f>147 / 86400</f>
        <v>1.7013888888888888E-3</v>
      </c>
      <c r="L897" s="5">
        <f>1 / 86400</f>
        <v>1.1574074074074073E-5</v>
      </c>
    </row>
    <row r="898" spans="1:12" x14ac:dyDescent="0.25">
      <c r="A898" s="3">
        <v>45713.622754629629</v>
      </c>
      <c r="B898" t="s">
        <v>98</v>
      </c>
      <c r="C898" s="3">
        <v>45713.622812500005</v>
      </c>
      <c r="D898" t="s">
        <v>98</v>
      </c>
      <c r="E898" s="4">
        <v>0</v>
      </c>
      <c r="F898" s="4">
        <v>472282.07299999997</v>
      </c>
      <c r="G898" s="4">
        <v>472282.07299999997</v>
      </c>
      <c r="H898" s="5">
        <f>0 / 86400</f>
        <v>0</v>
      </c>
      <c r="I898" t="s">
        <v>22</v>
      </c>
      <c r="J898" t="s">
        <v>22</v>
      </c>
      <c r="K898" s="5">
        <f>5 / 86400</f>
        <v>5.7870370370370373E-5</v>
      </c>
      <c r="L898" s="5">
        <f>11220 / 86400</f>
        <v>0.12986111111111112</v>
      </c>
    </row>
    <row r="899" spans="1:12" x14ac:dyDescent="0.25">
      <c r="A899" s="3">
        <v>45713.75267361111</v>
      </c>
      <c r="B899" t="s">
        <v>98</v>
      </c>
      <c r="C899" s="3">
        <v>45713.760497685187</v>
      </c>
      <c r="D899" t="s">
        <v>133</v>
      </c>
      <c r="E899" s="4">
        <v>1.038</v>
      </c>
      <c r="F899" s="4">
        <v>472282.07299999997</v>
      </c>
      <c r="G899" s="4">
        <v>472283.11099999998</v>
      </c>
      <c r="H899" s="5">
        <f>439 / 86400</f>
        <v>5.0810185185185186E-3</v>
      </c>
      <c r="I899" t="s">
        <v>33</v>
      </c>
      <c r="J899" t="s">
        <v>145</v>
      </c>
      <c r="K899" s="5">
        <f>676 / 86400</f>
        <v>7.8240740740740736E-3</v>
      </c>
      <c r="L899" s="5">
        <f>181 / 86400</f>
        <v>2.0949074074074073E-3</v>
      </c>
    </row>
    <row r="900" spans="1:12" x14ac:dyDescent="0.25">
      <c r="A900" s="3">
        <v>45713.762592592597</v>
      </c>
      <c r="B900" t="s">
        <v>133</v>
      </c>
      <c r="C900" s="3">
        <v>45713.762766203705</v>
      </c>
      <c r="D900" t="s">
        <v>372</v>
      </c>
      <c r="E900" s="4">
        <v>4.0000000000000001E-3</v>
      </c>
      <c r="F900" s="4">
        <v>472283.11099999998</v>
      </c>
      <c r="G900" s="4">
        <v>472283.11499999999</v>
      </c>
      <c r="H900" s="5">
        <f>0 / 86400</f>
        <v>0</v>
      </c>
      <c r="I900" t="s">
        <v>22</v>
      </c>
      <c r="J900" t="s">
        <v>144</v>
      </c>
      <c r="K900" s="5">
        <f>15 / 86400</f>
        <v>1.7361111111111112E-4</v>
      </c>
      <c r="L900" s="5">
        <f>392 / 86400</f>
        <v>4.5370370370370373E-3</v>
      </c>
    </row>
    <row r="901" spans="1:12" x14ac:dyDescent="0.25">
      <c r="A901" s="3">
        <v>45713.76730324074</v>
      </c>
      <c r="B901" t="s">
        <v>133</v>
      </c>
      <c r="C901" s="3">
        <v>45713.767928240741</v>
      </c>
      <c r="D901" t="s">
        <v>133</v>
      </c>
      <c r="E901" s="4">
        <v>8.9999999999999993E-3</v>
      </c>
      <c r="F901" s="4">
        <v>472283.11499999999</v>
      </c>
      <c r="G901" s="4">
        <v>472283.12400000001</v>
      </c>
      <c r="H901" s="5">
        <f>19 / 86400</f>
        <v>2.199074074074074E-4</v>
      </c>
      <c r="I901" t="s">
        <v>106</v>
      </c>
      <c r="J901" t="s">
        <v>144</v>
      </c>
      <c r="K901" s="5">
        <f>54 / 86400</f>
        <v>6.2500000000000001E-4</v>
      </c>
      <c r="L901" s="5">
        <f>276 / 86400</f>
        <v>3.1944444444444446E-3</v>
      </c>
    </row>
    <row r="902" spans="1:12" x14ac:dyDescent="0.25">
      <c r="A902" s="3">
        <v>45713.771122685182</v>
      </c>
      <c r="B902" t="s">
        <v>133</v>
      </c>
      <c r="C902" s="3">
        <v>45713.984027777777</v>
      </c>
      <c r="D902" t="s">
        <v>98</v>
      </c>
      <c r="E902" s="4">
        <v>94.497</v>
      </c>
      <c r="F902" s="4">
        <v>472283.12400000001</v>
      </c>
      <c r="G902" s="4">
        <v>472377.62099999998</v>
      </c>
      <c r="H902" s="5">
        <f>6060 / 86400</f>
        <v>7.013888888888889E-2</v>
      </c>
      <c r="I902" t="s">
        <v>87</v>
      </c>
      <c r="J902" t="s">
        <v>26</v>
      </c>
      <c r="K902" s="5">
        <f>18395 / 86400</f>
        <v>0.2129050925925926</v>
      </c>
      <c r="L902" s="5">
        <f>1379 / 86400</f>
        <v>1.5960648148148147E-2</v>
      </c>
    </row>
    <row r="903" spans="1:12" x14ac:dyDescent="0.25">
      <c r="A903" s="12"/>
      <c r="B903" s="12"/>
      <c r="C903" s="12"/>
      <c r="D903" s="12"/>
      <c r="E903" s="12"/>
      <c r="F903" s="12"/>
      <c r="G903" s="12"/>
      <c r="H903" s="12"/>
      <c r="I903" s="12"/>
      <c r="J903" s="12"/>
    </row>
    <row r="904" spans="1:12" x14ac:dyDescent="0.25">
      <c r="A904" s="12"/>
      <c r="B904" s="12"/>
      <c r="C904" s="12"/>
      <c r="D904" s="12"/>
      <c r="E904" s="12"/>
      <c r="F904" s="12"/>
      <c r="G904" s="12"/>
      <c r="H904" s="12"/>
      <c r="I904" s="12"/>
      <c r="J904" s="12"/>
    </row>
    <row r="905" spans="1:12" s="10" customFormat="1" ht="20.100000000000001" customHeight="1" x14ac:dyDescent="0.35">
      <c r="A905" s="15" t="s">
        <v>433</v>
      </c>
      <c r="B905" s="15"/>
      <c r="C905" s="15"/>
      <c r="D905" s="15"/>
      <c r="E905" s="15"/>
      <c r="F905" s="15"/>
      <c r="G905" s="15"/>
      <c r="H905" s="15"/>
      <c r="I905" s="15"/>
      <c r="J905" s="15"/>
    </row>
    <row r="906" spans="1:12" x14ac:dyDescent="0.25">
      <c r="A906" s="12"/>
      <c r="B906" s="12"/>
      <c r="C906" s="12"/>
      <c r="D906" s="12"/>
      <c r="E906" s="12"/>
      <c r="F906" s="12"/>
      <c r="G906" s="12"/>
      <c r="H906" s="12"/>
      <c r="I906" s="12"/>
      <c r="J906" s="12"/>
    </row>
    <row r="907" spans="1:12" ht="30" x14ac:dyDescent="0.25">
      <c r="A907" s="2" t="s">
        <v>6</v>
      </c>
      <c r="B907" s="2" t="s">
        <v>7</v>
      </c>
      <c r="C907" s="2" t="s">
        <v>8</v>
      </c>
      <c r="D907" s="2" t="s">
        <v>9</v>
      </c>
      <c r="E907" s="2" t="s">
        <v>10</v>
      </c>
      <c r="F907" s="2" t="s">
        <v>11</v>
      </c>
      <c r="G907" s="2" t="s">
        <v>12</v>
      </c>
      <c r="H907" s="2" t="s">
        <v>13</v>
      </c>
      <c r="I907" s="2" t="s">
        <v>14</v>
      </c>
      <c r="J907" s="2" t="s">
        <v>15</v>
      </c>
      <c r="K907" s="2" t="s">
        <v>16</v>
      </c>
      <c r="L907" s="2" t="s">
        <v>17</v>
      </c>
    </row>
    <row r="908" spans="1:12" x14ac:dyDescent="0.25">
      <c r="A908" s="3">
        <v>45713</v>
      </c>
      <c r="B908" t="s">
        <v>99</v>
      </c>
      <c r="C908" s="3">
        <v>45713.01630787037</v>
      </c>
      <c r="D908" t="s">
        <v>99</v>
      </c>
      <c r="E908" s="4">
        <v>0</v>
      </c>
      <c r="F908" s="4">
        <v>428213.33600000001</v>
      </c>
      <c r="G908" s="4">
        <v>428213.33600000001</v>
      </c>
      <c r="H908" s="5">
        <f>1400 / 86400</f>
        <v>1.6203703703703703E-2</v>
      </c>
      <c r="I908" t="s">
        <v>22</v>
      </c>
      <c r="J908" t="s">
        <v>22</v>
      </c>
      <c r="K908" s="5">
        <f>1409 / 86400</f>
        <v>1.6307870370370372E-2</v>
      </c>
      <c r="L908" s="5">
        <f>77 / 86400</f>
        <v>8.9120370370370373E-4</v>
      </c>
    </row>
    <row r="909" spans="1:12" x14ac:dyDescent="0.25">
      <c r="A909" s="3">
        <v>45713.017199074078</v>
      </c>
      <c r="B909" t="s">
        <v>99</v>
      </c>
      <c r="C909" s="3">
        <v>45713.017453703702</v>
      </c>
      <c r="D909" t="s">
        <v>99</v>
      </c>
      <c r="E909" s="4">
        <v>0</v>
      </c>
      <c r="F909" s="4">
        <v>428213.33600000001</v>
      </c>
      <c r="G909" s="4">
        <v>428213.33600000001</v>
      </c>
      <c r="H909" s="5">
        <f>19 / 86400</f>
        <v>2.199074074074074E-4</v>
      </c>
      <c r="I909" t="s">
        <v>22</v>
      </c>
      <c r="J909" t="s">
        <v>22</v>
      </c>
      <c r="K909" s="5">
        <f>22 / 86400</f>
        <v>2.5462962962962961E-4</v>
      </c>
      <c r="L909" s="5">
        <f>22542 / 86400</f>
        <v>0.26090277777777776</v>
      </c>
    </row>
    <row r="910" spans="1:12" x14ac:dyDescent="0.25">
      <c r="A910" s="3">
        <v>45713.278356481482</v>
      </c>
      <c r="B910" t="s">
        <v>99</v>
      </c>
      <c r="C910" s="3">
        <v>45713.284189814818</v>
      </c>
      <c r="D910" t="s">
        <v>99</v>
      </c>
      <c r="E910" s="4">
        <v>0</v>
      </c>
      <c r="F910" s="4">
        <v>428213.33600000001</v>
      </c>
      <c r="G910" s="4">
        <v>428213.33600000001</v>
      </c>
      <c r="H910" s="5">
        <f>499 / 86400</f>
        <v>5.7754629629629631E-3</v>
      </c>
      <c r="I910" t="s">
        <v>22</v>
      </c>
      <c r="J910" t="s">
        <v>22</v>
      </c>
      <c r="K910" s="5">
        <f>504 / 86400</f>
        <v>5.8333333333333336E-3</v>
      </c>
      <c r="L910" s="5">
        <f>521 / 86400</f>
        <v>6.030092592592593E-3</v>
      </c>
    </row>
    <row r="911" spans="1:12" x14ac:dyDescent="0.25">
      <c r="A911" s="3">
        <v>45713.290219907409</v>
      </c>
      <c r="B911" t="s">
        <v>99</v>
      </c>
      <c r="C911" s="3">
        <v>45713.296979166669</v>
      </c>
      <c r="D911" t="s">
        <v>99</v>
      </c>
      <c r="E911" s="4">
        <v>0</v>
      </c>
      <c r="F911" s="4">
        <v>428213.33600000001</v>
      </c>
      <c r="G911" s="4">
        <v>428213.33600000001</v>
      </c>
      <c r="H911" s="5">
        <f>579 / 86400</f>
        <v>6.7013888888888887E-3</v>
      </c>
      <c r="I911" t="s">
        <v>22</v>
      </c>
      <c r="J911" t="s">
        <v>22</v>
      </c>
      <c r="K911" s="5">
        <f>584 / 86400</f>
        <v>6.7592592592592591E-3</v>
      </c>
      <c r="L911" s="5">
        <f>212 / 86400</f>
        <v>2.4537037037037036E-3</v>
      </c>
    </row>
    <row r="912" spans="1:12" x14ac:dyDescent="0.25">
      <c r="A912" s="3">
        <v>45713.299432870372</v>
      </c>
      <c r="B912" t="s">
        <v>99</v>
      </c>
      <c r="C912" s="3">
        <v>45713.299560185187</v>
      </c>
      <c r="D912" t="s">
        <v>99</v>
      </c>
      <c r="E912" s="4">
        <v>0</v>
      </c>
      <c r="F912" s="4">
        <v>428213.33600000001</v>
      </c>
      <c r="G912" s="4">
        <v>428213.33600000001</v>
      </c>
      <c r="H912" s="5">
        <f>0 / 86400</f>
        <v>0</v>
      </c>
      <c r="I912" t="s">
        <v>22</v>
      </c>
      <c r="J912" t="s">
        <v>22</v>
      </c>
      <c r="K912" s="5">
        <f>11 / 86400</f>
        <v>1.273148148148148E-4</v>
      </c>
      <c r="L912" s="5">
        <f>363 / 86400</f>
        <v>4.2013888888888891E-3</v>
      </c>
    </row>
    <row r="913" spans="1:12" x14ac:dyDescent="0.25">
      <c r="A913" s="3">
        <v>45713.303761574076</v>
      </c>
      <c r="B913" t="s">
        <v>99</v>
      </c>
      <c r="C913" s="3">
        <v>45713.467094907406</v>
      </c>
      <c r="D913" t="s">
        <v>99</v>
      </c>
      <c r="E913" s="4">
        <v>0</v>
      </c>
      <c r="F913" s="4">
        <v>428213.33600000001</v>
      </c>
      <c r="G913" s="4">
        <v>428213.33600000001</v>
      </c>
      <c r="H913" s="5">
        <f>14099 / 86400</f>
        <v>0.16318287037037038</v>
      </c>
      <c r="I913" t="s">
        <v>22</v>
      </c>
      <c r="J913" t="s">
        <v>22</v>
      </c>
      <c r="K913" s="5">
        <f>14112 / 86400</f>
        <v>0.16333333333333333</v>
      </c>
      <c r="L913" s="5">
        <f>20 / 86400</f>
        <v>2.3148148148148149E-4</v>
      </c>
    </row>
    <row r="914" spans="1:12" x14ac:dyDescent="0.25">
      <c r="A914" s="3">
        <v>45713.467326388884</v>
      </c>
      <c r="B914" t="s">
        <v>99</v>
      </c>
      <c r="C914" s="3">
        <v>45713.467499999999</v>
      </c>
      <c r="D914" t="s">
        <v>99</v>
      </c>
      <c r="E914" s="4">
        <v>0</v>
      </c>
      <c r="F914" s="4">
        <v>428213.33600000001</v>
      </c>
      <c r="G914" s="4">
        <v>428213.33600000001</v>
      </c>
      <c r="H914" s="5">
        <f>0 / 86400</f>
        <v>0</v>
      </c>
      <c r="I914" t="s">
        <v>22</v>
      </c>
      <c r="J914" t="s">
        <v>22</v>
      </c>
      <c r="K914" s="5">
        <f>15 / 86400</f>
        <v>1.7361111111111112E-4</v>
      </c>
      <c r="L914" s="5">
        <f>53 / 86400</f>
        <v>6.134259259259259E-4</v>
      </c>
    </row>
    <row r="915" spans="1:12" x14ac:dyDescent="0.25">
      <c r="A915" s="3">
        <v>45713.46811342593</v>
      </c>
      <c r="B915" t="s">
        <v>99</v>
      </c>
      <c r="C915" s="3">
        <v>45713.606215277774</v>
      </c>
      <c r="D915" t="s">
        <v>99</v>
      </c>
      <c r="E915" s="4">
        <v>0</v>
      </c>
      <c r="F915" s="4">
        <v>428213.33600000001</v>
      </c>
      <c r="G915" s="4">
        <v>428213.33600000001</v>
      </c>
      <c r="H915" s="5">
        <f>11929 / 86400</f>
        <v>0.13806712962962964</v>
      </c>
      <c r="I915" t="s">
        <v>22</v>
      </c>
      <c r="J915" t="s">
        <v>22</v>
      </c>
      <c r="K915" s="5">
        <f>11932 / 86400</f>
        <v>0.13810185185185186</v>
      </c>
      <c r="L915" s="5">
        <f>215 / 86400</f>
        <v>2.488425925925926E-3</v>
      </c>
    </row>
    <row r="916" spans="1:12" x14ac:dyDescent="0.25">
      <c r="A916" s="3">
        <v>45713.608703703707</v>
      </c>
      <c r="B916" t="s">
        <v>99</v>
      </c>
      <c r="C916" s="3">
        <v>45713.62663194444</v>
      </c>
      <c r="D916" t="s">
        <v>99</v>
      </c>
      <c r="E916" s="4">
        <v>0</v>
      </c>
      <c r="F916" s="4">
        <v>428213.33600000001</v>
      </c>
      <c r="G916" s="4">
        <v>428213.33600000001</v>
      </c>
      <c r="H916" s="5">
        <f>1539 / 86400</f>
        <v>1.7812499999999998E-2</v>
      </c>
      <c r="I916" t="s">
        <v>22</v>
      </c>
      <c r="J916" t="s">
        <v>22</v>
      </c>
      <c r="K916" s="5">
        <f>1549 / 86400</f>
        <v>1.7928240740740741E-2</v>
      </c>
      <c r="L916" s="5">
        <f>2214 / 86400</f>
        <v>2.5624999999999998E-2</v>
      </c>
    </row>
    <row r="917" spans="1:12" x14ac:dyDescent="0.25">
      <c r="A917" s="3">
        <v>45713.65225694445</v>
      </c>
      <c r="B917" t="s">
        <v>99</v>
      </c>
      <c r="C917" s="3">
        <v>45713.655092592591</v>
      </c>
      <c r="D917" t="s">
        <v>99</v>
      </c>
      <c r="E917" s="4">
        <v>0</v>
      </c>
      <c r="F917" s="4">
        <v>428213.33600000001</v>
      </c>
      <c r="G917" s="4">
        <v>428213.33600000001</v>
      </c>
      <c r="H917" s="5">
        <f>239 / 86400</f>
        <v>2.7662037037037039E-3</v>
      </c>
      <c r="I917" t="s">
        <v>22</v>
      </c>
      <c r="J917" t="s">
        <v>22</v>
      </c>
      <c r="K917" s="5">
        <f>245 / 86400</f>
        <v>2.8356481481481483E-3</v>
      </c>
      <c r="L917" s="5">
        <f>1344 / 86400</f>
        <v>1.5555555555555555E-2</v>
      </c>
    </row>
    <row r="918" spans="1:12" x14ac:dyDescent="0.25">
      <c r="A918" s="3">
        <v>45713.670648148152</v>
      </c>
      <c r="B918" t="s">
        <v>99</v>
      </c>
      <c r="C918" s="3">
        <v>45713.673159722224</v>
      </c>
      <c r="D918" t="s">
        <v>99</v>
      </c>
      <c r="E918" s="4">
        <v>0</v>
      </c>
      <c r="F918" s="4">
        <v>428213.33600000001</v>
      </c>
      <c r="G918" s="4">
        <v>428213.33600000001</v>
      </c>
      <c r="H918" s="5">
        <f>199 / 86400</f>
        <v>2.3032407407407407E-3</v>
      </c>
      <c r="I918" t="s">
        <v>22</v>
      </c>
      <c r="J918" t="s">
        <v>22</v>
      </c>
      <c r="K918" s="5">
        <f>216 / 86400</f>
        <v>2.5000000000000001E-3</v>
      </c>
      <c r="L918" s="5">
        <f>415 / 86400</f>
        <v>4.8032407407407407E-3</v>
      </c>
    </row>
    <row r="919" spans="1:12" x14ac:dyDescent="0.25">
      <c r="A919" s="3">
        <v>45713.67796296296</v>
      </c>
      <c r="B919" t="s">
        <v>99</v>
      </c>
      <c r="C919" s="3">
        <v>45713.678171296298</v>
      </c>
      <c r="D919" t="s">
        <v>99</v>
      </c>
      <c r="E919" s="4">
        <v>0</v>
      </c>
      <c r="F919" s="4">
        <v>428213.33600000001</v>
      </c>
      <c r="G919" s="4">
        <v>428213.33600000001</v>
      </c>
      <c r="H919" s="5">
        <f>0 / 86400</f>
        <v>0</v>
      </c>
      <c r="I919" t="s">
        <v>22</v>
      </c>
      <c r="J919" t="s">
        <v>22</v>
      </c>
      <c r="K919" s="5">
        <f>17 / 86400</f>
        <v>1.9675925925925926E-4</v>
      </c>
      <c r="L919" s="5">
        <f>161 / 86400</f>
        <v>1.8634259259259259E-3</v>
      </c>
    </row>
    <row r="920" spans="1:12" x14ac:dyDescent="0.25">
      <c r="A920" s="3">
        <v>45713.680034722223</v>
      </c>
      <c r="B920" t="s">
        <v>99</v>
      </c>
      <c r="C920" s="3">
        <v>45713.68037037037</v>
      </c>
      <c r="D920" t="s">
        <v>99</v>
      </c>
      <c r="E920" s="4">
        <v>0</v>
      </c>
      <c r="F920" s="4">
        <v>428213.33600000001</v>
      </c>
      <c r="G920" s="4">
        <v>428213.33600000001</v>
      </c>
      <c r="H920" s="5">
        <f>19 / 86400</f>
        <v>2.199074074074074E-4</v>
      </c>
      <c r="I920" t="s">
        <v>22</v>
      </c>
      <c r="J920" t="s">
        <v>22</v>
      </c>
      <c r="K920" s="5">
        <f>28 / 86400</f>
        <v>3.2407407407407406E-4</v>
      </c>
      <c r="L920" s="5">
        <f>347 / 86400</f>
        <v>4.0162037037037041E-3</v>
      </c>
    </row>
    <row r="921" spans="1:12" x14ac:dyDescent="0.25">
      <c r="A921" s="3">
        <v>45713.684386574074</v>
      </c>
      <c r="B921" t="s">
        <v>99</v>
      </c>
      <c r="C921" s="3">
        <v>45713.684560185182</v>
      </c>
      <c r="D921" t="s">
        <v>99</v>
      </c>
      <c r="E921" s="4">
        <v>0</v>
      </c>
      <c r="F921" s="4">
        <v>428213.33600000001</v>
      </c>
      <c r="G921" s="4">
        <v>428213.33600000001</v>
      </c>
      <c r="H921" s="5">
        <f>0 / 86400</f>
        <v>0</v>
      </c>
      <c r="I921" t="s">
        <v>22</v>
      </c>
      <c r="J921" t="s">
        <v>22</v>
      </c>
      <c r="K921" s="5">
        <f>14 / 86400</f>
        <v>1.6203703703703703E-4</v>
      </c>
      <c r="L921" s="5">
        <f>364 / 86400</f>
        <v>4.2129629629629626E-3</v>
      </c>
    </row>
    <row r="922" spans="1:12" x14ac:dyDescent="0.25">
      <c r="A922" s="3">
        <v>45713.688773148147</v>
      </c>
      <c r="B922" t="s">
        <v>99</v>
      </c>
      <c r="C922" s="3">
        <v>45713.852025462962</v>
      </c>
      <c r="D922" t="s">
        <v>99</v>
      </c>
      <c r="E922" s="4">
        <v>0</v>
      </c>
      <c r="F922" s="4">
        <v>428213.33600000001</v>
      </c>
      <c r="G922" s="4">
        <v>428213.33600000001</v>
      </c>
      <c r="H922" s="5">
        <f>14099 / 86400</f>
        <v>0.16318287037037038</v>
      </c>
      <c r="I922" t="s">
        <v>22</v>
      </c>
      <c r="J922" t="s">
        <v>22</v>
      </c>
      <c r="K922" s="5">
        <f>14104 / 86400</f>
        <v>0.16324074074074074</v>
      </c>
      <c r="L922" s="5">
        <f>603 / 86400</f>
        <v>6.9791666666666665E-3</v>
      </c>
    </row>
    <row r="923" spans="1:12" x14ac:dyDescent="0.25">
      <c r="A923" s="3">
        <v>45713.85900462963</v>
      </c>
      <c r="B923" t="s">
        <v>99</v>
      </c>
      <c r="C923" s="3">
        <v>45713.860810185186</v>
      </c>
      <c r="D923" t="s">
        <v>99</v>
      </c>
      <c r="E923" s="4">
        <v>0</v>
      </c>
      <c r="F923" s="4">
        <v>428213.33600000001</v>
      </c>
      <c r="G923" s="4">
        <v>428213.33600000001</v>
      </c>
      <c r="H923" s="5">
        <f>139 / 86400</f>
        <v>1.6087962962962963E-3</v>
      </c>
      <c r="I923" t="s">
        <v>22</v>
      </c>
      <c r="J923" t="s">
        <v>22</v>
      </c>
      <c r="K923" s="5">
        <f>156 / 86400</f>
        <v>1.8055555555555555E-3</v>
      </c>
      <c r="L923" s="5">
        <f>215 / 86400</f>
        <v>2.488425925925926E-3</v>
      </c>
    </row>
    <row r="924" spans="1:12" x14ac:dyDescent="0.25">
      <c r="A924" s="3">
        <v>45713.863298611112</v>
      </c>
      <c r="B924" t="s">
        <v>99</v>
      </c>
      <c r="C924" s="3">
        <v>45713.996319444443</v>
      </c>
      <c r="D924" t="s">
        <v>99</v>
      </c>
      <c r="E924" s="4">
        <v>0</v>
      </c>
      <c r="F924" s="4">
        <v>428213.33600000001</v>
      </c>
      <c r="G924" s="4">
        <v>428213.33600000001</v>
      </c>
      <c r="H924" s="5">
        <f>11490 / 86400</f>
        <v>0.13298611111111111</v>
      </c>
      <c r="I924" t="s">
        <v>22</v>
      </c>
      <c r="J924" t="s">
        <v>22</v>
      </c>
      <c r="K924" s="5">
        <f>11493 / 86400</f>
        <v>0.13302083333333334</v>
      </c>
      <c r="L924" s="5">
        <f>180 / 86400</f>
        <v>2.0833333333333333E-3</v>
      </c>
    </row>
    <row r="925" spans="1:12" x14ac:dyDescent="0.25">
      <c r="A925" s="3">
        <v>45713.998402777783</v>
      </c>
      <c r="B925" t="s">
        <v>99</v>
      </c>
      <c r="C925" s="3">
        <v>45713.99998842593</v>
      </c>
      <c r="D925" t="s">
        <v>99</v>
      </c>
      <c r="E925" s="4">
        <v>0</v>
      </c>
      <c r="F925" s="4">
        <v>428213.33600000001</v>
      </c>
      <c r="G925" s="4">
        <v>428213.33600000001</v>
      </c>
      <c r="H925" s="5">
        <f>139 / 86400</f>
        <v>1.6087962962962963E-3</v>
      </c>
      <c r="I925" t="s">
        <v>22</v>
      </c>
      <c r="J925" t="s">
        <v>22</v>
      </c>
      <c r="K925" s="5">
        <f>137 / 86400</f>
        <v>1.5856481481481481E-3</v>
      </c>
      <c r="L925" s="5">
        <f>0 / 86400</f>
        <v>0</v>
      </c>
    </row>
    <row r="926" spans="1:12" x14ac:dyDescent="0.25">
      <c r="A926" s="12"/>
      <c r="B926" s="12"/>
      <c r="C926" s="12"/>
      <c r="D926" s="12"/>
      <c r="E926" s="12"/>
      <c r="F926" s="12"/>
      <c r="G926" s="12"/>
      <c r="H926" s="12"/>
      <c r="I926" s="12"/>
      <c r="J926" s="12"/>
    </row>
    <row r="927" spans="1:12" x14ac:dyDescent="0.25">
      <c r="A927" s="12"/>
      <c r="B927" s="12"/>
      <c r="C927" s="12"/>
      <c r="D927" s="12"/>
      <c r="E927" s="12"/>
      <c r="F927" s="12"/>
      <c r="G927" s="12"/>
      <c r="H927" s="12"/>
      <c r="I927" s="12"/>
      <c r="J927" s="12"/>
    </row>
    <row r="928" spans="1:12" s="10" customFormat="1" ht="20.100000000000001" customHeight="1" x14ac:dyDescent="0.35">
      <c r="A928" s="15" t="s">
        <v>434</v>
      </c>
      <c r="B928" s="15"/>
      <c r="C928" s="15"/>
      <c r="D928" s="15"/>
      <c r="E928" s="15"/>
      <c r="F928" s="15"/>
      <c r="G928" s="15"/>
      <c r="H928" s="15"/>
      <c r="I928" s="15"/>
      <c r="J928" s="15"/>
    </row>
    <row r="929" spans="1:12" x14ac:dyDescent="0.25">
      <c r="A929" s="12"/>
      <c r="B929" s="12"/>
      <c r="C929" s="12"/>
      <c r="D929" s="12"/>
      <c r="E929" s="12"/>
      <c r="F929" s="12"/>
      <c r="G929" s="12"/>
      <c r="H929" s="12"/>
      <c r="I929" s="12"/>
      <c r="J929" s="12"/>
    </row>
    <row r="930" spans="1:12" ht="30" x14ac:dyDescent="0.25">
      <c r="A930" s="2" t="s">
        <v>6</v>
      </c>
      <c r="B930" s="2" t="s">
        <v>7</v>
      </c>
      <c r="C930" s="2" t="s">
        <v>8</v>
      </c>
      <c r="D930" s="2" t="s">
        <v>9</v>
      </c>
      <c r="E930" s="2" t="s">
        <v>10</v>
      </c>
      <c r="F930" s="2" t="s">
        <v>11</v>
      </c>
      <c r="G930" s="2" t="s">
        <v>12</v>
      </c>
      <c r="H930" s="2" t="s">
        <v>13</v>
      </c>
      <c r="I930" s="2" t="s">
        <v>14</v>
      </c>
      <c r="J930" s="2" t="s">
        <v>15</v>
      </c>
      <c r="K930" s="2" t="s">
        <v>16</v>
      </c>
      <c r="L930" s="2" t="s">
        <v>17</v>
      </c>
    </row>
    <row r="931" spans="1:12" x14ac:dyDescent="0.25">
      <c r="A931" s="3">
        <v>45713.262430555551</v>
      </c>
      <c r="B931" t="s">
        <v>27</v>
      </c>
      <c r="C931" s="3">
        <v>45713.273680555554</v>
      </c>
      <c r="D931" t="s">
        <v>157</v>
      </c>
      <c r="E931" s="4">
        <v>1.613</v>
      </c>
      <c r="F931" s="4">
        <v>577563.21600000001</v>
      </c>
      <c r="G931" s="4">
        <v>577564.82900000003</v>
      </c>
      <c r="H931" s="5">
        <f>539 / 86400</f>
        <v>6.2384259259259259E-3</v>
      </c>
      <c r="I931" t="s">
        <v>164</v>
      </c>
      <c r="J931" t="s">
        <v>145</v>
      </c>
      <c r="K931" s="5">
        <f>971 / 86400</f>
        <v>1.1238425925925926E-2</v>
      </c>
      <c r="L931" s="5">
        <f>24133 / 86400</f>
        <v>0.27931712962962962</v>
      </c>
    </row>
    <row r="932" spans="1:12" x14ac:dyDescent="0.25">
      <c r="A932" s="3">
        <v>45713.290567129632</v>
      </c>
      <c r="B932" t="s">
        <v>157</v>
      </c>
      <c r="C932" s="3">
        <v>45713.3434375</v>
      </c>
      <c r="D932" t="s">
        <v>307</v>
      </c>
      <c r="E932" s="4">
        <v>27.797000000000001</v>
      </c>
      <c r="F932" s="4">
        <v>577564.82900000003</v>
      </c>
      <c r="G932" s="4">
        <v>577592.62600000005</v>
      </c>
      <c r="H932" s="5">
        <f>1079 / 86400</f>
        <v>1.2488425925925925E-2</v>
      </c>
      <c r="I932" t="s">
        <v>35</v>
      </c>
      <c r="J932" t="s">
        <v>136</v>
      </c>
      <c r="K932" s="5">
        <f>4567 / 86400</f>
        <v>5.28587962962963E-2</v>
      </c>
      <c r="L932" s="5">
        <f>3291 / 86400</f>
        <v>3.8090277777777778E-2</v>
      </c>
    </row>
    <row r="933" spans="1:12" x14ac:dyDescent="0.25">
      <c r="A933" s="3">
        <v>45713.381527777776</v>
      </c>
      <c r="B933" t="s">
        <v>307</v>
      </c>
      <c r="C933" s="3">
        <v>45713.567569444444</v>
      </c>
      <c r="D933" t="s">
        <v>374</v>
      </c>
      <c r="E933" s="4">
        <v>57.048999999999999</v>
      </c>
      <c r="F933" s="4">
        <v>577592.62600000005</v>
      </c>
      <c r="G933" s="4">
        <v>577649.67500000005</v>
      </c>
      <c r="H933" s="5">
        <f>7698 / 86400</f>
        <v>8.9097222222222217E-2</v>
      </c>
      <c r="I933" t="s">
        <v>87</v>
      </c>
      <c r="J933" t="s">
        <v>45</v>
      </c>
      <c r="K933" s="5">
        <f>16074 / 86400</f>
        <v>0.18604166666666666</v>
      </c>
      <c r="L933" s="5">
        <f>3288 / 86400</f>
        <v>3.8055555555555558E-2</v>
      </c>
    </row>
    <row r="934" spans="1:12" x14ac:dyDescent="0.25">
      <c r="A934" s="3">
        <v>45713.605624999997</v>
      </c>
      <c r="B934" t="s">
        <v>374</v>
      </c>
      <c r="C934" s="3">
        <v>45713.917141203703</v>
      </c>
      <c r="D934" t="s">
        <v>27</v>
      </c>
      <c r="E934" s="4">
        <v>91.582999999999998</v>
      </c>
      <c r="F934" s="4">
        <v>577649.67500000005</v>
      </c>
      <c r="G934" s="4">
        <v>577741.25800000003</v>
      </c>
      <c r="H934" s="5">
        <f>11903 / 86400</f>
        <v>0.13776620370370371</v>
      </c>
      <c r="I934" t="s">
        <v>65</v>
      </c>
      <c r="J934" t="s">
        <v>158</v>
      </c>
      <c r="K934" s="5">
        <f>26915 / 86400</f>
        <v>0.3115162037037037</v>
      </c>
      <c r="L934" s="5">
        <f>6708 / 86400</f>
        <v>7.7638888888888882E-2</v>
      </c>
    </row>
    <row r="935" spans="1:12" x14ac:dyDescent="0.25">
      <c r="A935" s="3">
        <v>45713.994780092587</v>
      </c>
      <c r="B935" t="s">
        <v>27</v>
      </c>
      <c r="C935" s="3">
        <v>45713.996863425928</v>
      </c>
      <c r="D935" t="s">
        <v>27</v>
      </c>
      <c r="E935" s="4">
        <v>1.9E-2</v>
      </c>
      <c r="F935" s="4">
        <v>577741.25800000003</v>
      </c>
      <c r="G935" s="4">
        <v>577741.277</v>
      </c>
      <c r="H935" s="5">
        <f>119 / 86400</f>
        <v>1.3773148148148147E-3</v>
      </c>
      <c r="I935" t="s">
        <v>147</v>
      </c>
      <c r="J935" t="s">
        <v>22</v>
      </c>
      <c r="K935" s="5">
        <f>180 / 86400</f>
        <v>2.0833333333333333E-3</v>
      </c>
      <c r="L935" s="5">
        <f>131 / 86400</f>
        <v>1.5162037037037036E-3</v>
      </c>
    </row>
    <row r="936" spans="1:12" x14ac:dyDescent="0.25">
      <c r="A936" s="3">
        <v>45713.998379629629</v>
      </c>
      <c r="B936" t="s">
        <v>27</v>
      </c>
      <c r="C936" s="3">
        <v>45713.998657407406</v>
      </c>
      <c r="D936" t="s">
        <v>27</v>
      </c>
      <c r="E936" s="4">
        <v>0</v>
      </c>
      <c r="F936" s="4">
        <v>577741.277</v>
      </c>
      <c r="G936" s="4">
        <v>577741.277</v>
      </c>
      <c r="H936" s="5">
        <f>19 / 86400</f>
        <v>2.199074074074074E-4</v>
      </c>
      <c r="I936" t="s">
        <v>22</v>
      </c>
      <c r="J936" t="s">
        <v>22</v>
      </c>
      <c r="K936" s="5">
        <f>24 / 86400</f>
        <v>2.7777777777777778E-4</v>
      </c>
      <c r="L936" s="5">
        <f>115 / 86400</f>
        <v>1.3310185185185185E-3</v>
      </c>
    </row>
    <row r="937" spans="1:12" x14ac:dyDescent="0.25">
      <c r="A937" s="12"/>
      <c r="B937" s="12"/>
      <c r="C937" s="12"/>
      <c r="D937" s="12"/>
      <c r="E937" s="12"/>
      <c r="F937" s="12"/>
      <c r="G937" s="12"/>
      <c r="H937" s="12"/>
      <c r="I937" s="12"/>
      <c r="J937" s="12"/>
    </row>
    <row r="938" spans="1:12" x14ac:dyDescent="0.25">
      <c r="A938" s="12"/>
      <c r="B938" s="12"/>
      <c r="C938" s="12"/>
      <c r="D938" s="12"/>
      <c r="E938" s="12"/>
      <c r="F938" s="12"/>
      <c r="G938" s="12"/>
      <c r="H938" s="12"/>
      <c r="I938" s="12"/>
      <c r="J938" s="12"/>
    </row>
    <row r="939" spans="1:12" s="10" customFormat="1" ht="20.100000000000001" customHeight="1" x14ac:dyDescent="0.35">
      <c r="A939" s="15" t="s">
        <v>435</v>
      </c>
      <c r="B939" s="15"/>
      <c r="C939" s="15"/>
      <c r="D939" s="15"/>
      <c r="E939" s="15"/>
      <c r="F939" s="15"/>
      <c r="G939" s="15"/>
      <c r="H939" s="15"/>
      <c r="I939" s="15"/>
      <c r="J939" s="15"/>
    </row>
    <row r="940" spans="1:12" x14ac:dyDescent="0.25">
      <c r="A940" s="12"/>
      <c r="B940" s="12"/>
      <c r="C940" s="12"/>
      <c r="D940" s="12"/>
      <c r="E940" s="12"/>
      <c r="F940" s="12"/>
      <c r="G940" s="12"/>
      <c r="H940" s="12"/>
      <c r="I940" s="12"/>
      <c r="J940" s="12"/>
    </row>
    <row r="941" spans="1:12" ht="30" x14ac:dyDescent="0.25">
      <c r="A941" s="2" t="s">
        <v>6</v>
      </c>
      <c r="B941" s="2" t="s">
        <v>7</v>
      </c>
      <c r="C941" s="2" t="s">
        <v>8</v>
      </c>
      <c r="D941" s="2" t="s">
        <v>9</v>
      </c>
      <c r="E941" s="2" t="s">
        <v>10</v>
      </c>
      <c r="F941" s="2" t="s">
        <v>11</v>
      </c>
      <c r="G941" s="2" t="s">
        <v>12</v>
      </c>
      <c r="H941" s="2" t="s">
        <v>13</v>
      </c>
      <c r="I941" s="2" t="s">
        <v>14</v>
      </c>
      <c r="J941" s="2" t="s">
        <v>15</v>
      </c>
      <c r="K941" s="2" t="s">
        <v>16</v>
      </c>
      <c r="L941" s="2" t="s">
        <v>17</v>
      </c>
    </row>
    <row r="942" spans="1:12" x14ac:dyDescent="0.25">
      <c r="A942" s="3">
        <v>45713.233495370368</v>
      </c>
      <c r="B942" t="s">
        <v>100</v>
      </c>
      <c r="C942" s="3">
        <v>45713.615659722222</v>
      </c>
      <c r="D942" t="s">
        <v>82</v>
      </c>
      <c r="E942" s="4">
        <v>137.51499999999999</v>
      </c>
      <c r="F942" s="4">
        <v>418169.08</v>
      </c>
      <c r="G942" s="4">
        <v>418306.59499999997</v>
      </c>
      <c r="H942" s="5">
        <f>12389 / 86400</f>
        <v>0.1433912037037037</v>
      </c>
      <c r="I942" t="s">
        <v>52</v>
      </c>
      <c r="J942" t="s">
        <v>76</v>
      </c>
      <c r="K942" s="5">
        <f>33018 / 86400</f>
        <v>0.38215277777777779</v>
      </c>
      <c r="L942" s="5">
        <f>20968 / 86400</f>
        <v>0.2426851851851852</v>
      </c>
    </row>
    <row r="943" spans="1:12" x14ac:dyDescent="0.25">
      <c r="A943" s="3">
        <v>45713.624849537038</v>
      </c>
      <c r="B943" t="s">
        <v>82</v>
      </c>
      <c r="C943" s="3">
        <v>45713.628969907411</v>
      </c>
      <c r="D943" t="s">
        <v>82</v>
      </c>
      <c r="E943" s="4">
        <v>2.8000000000000001E-2</v>
      </c>
      <c r="F943" s="4">
        <v>418306.59499999997</v>
      </c>
      <c r="G943" s="4">
        <v>418306.62300000002</v>
      </c>
      <c r="H943" s="5">
        <f>320 / 86400</f>
        <v>3.7037037037037038E-3</v>
      </c>
      <c r="I943" t="s">
        <v>146</v>
      </c>
      <c r="J943" t="s">
        <v>22</v>
      </c>
      <c r="K943" s="5">
        <f>355 / 86400</f>
        <v>4.1087962962962962E-3</v>
      </c>
      <c r="L943" s="5">
        <f>298 / 86400</f>
        <v>3.449074074074074E-3</v>
      </c>
    </row>
    <row r="944" spans="1:12" x14ac:dyDescent="0.25">
      <c r="A944" s="3">
        <v>45713.632418981477</v>
      </c>
      <c r="B944" t="s">
        <v>82</v>
      </c>
      <c r="C944" s="3">
        <v>45713.63280092593</v>
      </c>
      <c r="D944" t="s">
        <v>82</v>
      </c>
      <c r="E944" s="4">
        <v>8.9999999999999993E-3</v>
      </c>
      <c r="F944" s="4">
        <v>418306.62300000002</v>
      </c>
      <c r="G944" s="4">
        <v>418306.63199999998</v>
      </c>
      <c r="H944" s="5">
        <f>19 / 86400</f>
        <v>2.199074074074074E-4</v>
      </c>
      <c r="I944" t="s">
        <v>22</v>
      </c>
      <c r="J944" t="s">
        <v>144</v>
      </c>
      <c r="K944" s="5">
        <f>32 / 86400</f>
        <v>3.7037037037037035E-4</v>
      </c>
      <c r="L944" s="5">
        <f>240 / 86400</f>
        <v>2.7777777777777779E-3</v>
      </c>
    </row>
    <row r="945" spans="1:12" x14ac:dyDescent="0.25">
      <c r="A945" s="3">
        <v>45713.635578703703</v>
      </c>
      <c r="B945" t="s">
        <v>82</v>
      </c>
      <c r="C945" s="3">
        <v>45713.636145833334</v>
      </c>
      <c r="D945" t="s">
        <v>82</v>
      </c>
      <c r="E945" s="4">
        <v>7.2999999999999995E-2</v>
      </c>
      <c r="F945" s="4">
        <v>418306.63199999998</v>
      </c>
      <c r="G945" s="4">
        <v>418306.70500000002</v>
      </c>
      <c r="H945" s="5">
        <f>0 / 86400</f>
        <v>0</v>
      </c>
      <c r="I945" t="s">
        <v>64</v>
      </c>
      <c r="J945" t="s">
        <v>146</v>
      </c>
      <c r="K945" s="5">
        <f>48 / 86400</f>
        <v>5.5555555555555556E-4</v>
      </c>
      <c r="L945" s="5">
        <f>721 / 86400</f>
        <v>8.3449074074074068E-3</v>
      </c>
    </row>
    <row r="946" spans="1:12" x14ac:dyDescent="0.25">
      <c r="A946" s="3">
        <v>45713.644490740742</v>
      </c>
      <c r="B946" t="s">
        <v>82</v>
      </c>
      <c r="C946" s="3">
        <v>45713.645462962959</v>
      </c>
      <c r="D946" t="s">
        <v>115</v>
      </c>
      <c r="E946" s="4">
        <v>0.11600000000000001</v>
      </c>
      <c r="F946" s="4">
        <v>418306.70500000002</v>
      </c>
      <c r="G946" s="4">
        <v>418306.821</v>
      </c>
      <c r="H946" s="5">
        <f>39 / 86400</f>
        <v>4.5138888888888887E-4</v>
      </c>
      <c r="I946" t="s">
        <v>29</v>
      </c>
      <c r="J946" t="s">
        <v>146</v>
      </c>
      <c r="K946" s="5">
        <f>84 / 86400</f>
        <v>9.7222222222222219E-4</v>
      </c>
      <c r="L946" s="5">
        <f>221 / 86400</f>
        <v>2.5578703703703705E-3</v>
      </c>
    </row>
    <row r="947" spans="1:12" x14ac:dyDescent="0.25">
      <c r="A947" s="3">
        <v>45713.648020833338</v>
      </c>
      <c r="B947" t="s">
        <v>115</v>
      </c>
      <c r="C947" s="3">
        <v>45713.648391203707</v>
      </c>
      <c r="D947" t="s">
        <v>115</v>
      </c>
      <c r="E947" s="4">
        <v>5.0999999999999997E-2</v>
      </c>
      <c r="F947" s="4">
        <v>418306.821</v>
      </c>
      <c r="G947" s="4">
        <v>418306.87199999997</v>
      </c>
      <c r="H947" s="5">
        <f>0 / 86400</f>
        <v>0</v>
      </c>
      <c r="I947" t="s">
        <v>145</v>
      </c>
      <c r="J947" t="s">
        <v>145</v>
      </c>
      <c r="K947" s="5">
        <f>32 / 86400</f>
        <v>3.7037037037037035E-4</v>
      </c>
      <c r="L947" s="5">
        <f>1094 / 86400</f>
        <v>1.2662037037037038E-2</v>
      </c>
    </row>
    <row r="948" spans="1:12" x14ac:dyDescent="0.25">
      <c r="A948" s="3">
        <v>45713.661053240736</v>
      </c>
      <c r="B948" t="s">
        <v>115</v>
      </c>
      <c r="C948" s="3">
        <v>45713.874513888892</v>
      </c>
      <c r="D948" t="s">
        <v>100</v>
      </c>
      <c r="E948" s="4">
        <v>71.543999999999997</v>
      </c>
      <c r="F948" s="4">
        <v>418306.87199999997</v>
      </c>
      <c r="G948" s="4">
        <v>418378.41600000003</v>
      </c>
      <c r="H948" s="5">
        <f>6699 / 86400</f>
        <v>7.7534722222222227E-2</v>
      </c>
      <c r="I948" t="s">
        <v>52</v>
      </c>
      <c r="J948" t="s">
        <v>29</v>
      </c>
      <c r="K948" s="5">
        <f>18443 / 86400</f>
        <v>0.21346064814814814</v>
      </c>
      <c r="L948" s="5">
        <f>10841 / 86400</f>
        <v>0.12547453703703704</v>
      </c>
    </row>
    <row r="949" spans="1:12" x14ac:dyDescent="0.25">
      <c r="A949" s="12"/>
      <c r="B949" s="12"/>
      <c r="C949" s="12"/>
      <c r="D949" s="12"/>
      <c r="E949" s="12"/>
      <c r="F949" s="12"/>
      <c r="G949" s="12"/>
      <c r="H949" s="12"/>
      <c r="I949" s="12"/>
      <c r="J949" s="12"/>
    </row>
    <row r="950" spans="1:12" x14ac:dyDescent="0.25">
      <c r="A950" s="12"/>
      <c r="B950" s="12"/>
      <c r="C950" s="12"/>
      <c r="D950" s="12"/>
      <c r="E950" s="12"/>
      <c r="F950" s="12"/>
      <c r="G950" s="12"/>
      <c r="H950" s="12"/>
      <c r="I950" s="12"/>
      <c r="J950" s="12"/>
    </row>
    <row r="951" spans="1:12" s="10" customFormat="1" ht="20.100000000000001" customHeight="1" x14ac:dyDescent="0.35">
      <c r="A951" s="15" t="s">
        <v>436</v>
      </c>
      <c r="B951" s="15"/>
      <c r="C951" s="15"/>
      <c r="D951" s="15"/>
      <c r="E951" s="15"/>
      <c r="F951" s="15"/>
      <c r="G951" s="15"/>
      <c r="H951" s="15"/>
      <c r="I951" s="15"/>
      <c r="J951" s="15"/>
    </row>
    <row r="952" spans="1:12" x14ac:dyDescent="0.25">
      <c r="A952" s="12"/>
      <c r="B952" s="12"/>
      <c r="C952" s="12"/>
      <c r="D952" s="12"/>
      <c r="E952" s="12"/>
      <c r="F952" s="12"/>
      <c r="G952" s="12"/>
      <c r="H952" s="12"/>
      <c r="I952" s="12"/>
      <c r="J952" s="12"/>
    </row>
    <row r="953" spans="1:12" ht="30" x14ac:dyDescent="0.25">
      <c r="A953" s="2" t="s">
        <v>6</v>
      </c>
      <c r="B953" s="2" t="s">
        <v>7</v>
      </c>
      <c r="C953" s="2" t="s">
        <v>8</v>
      </c>
      <c r="D953" s="2" t="s">
        <v>9</v>
      </c>
      <c r="E953" s="2" t="s">
        <v>10</v>
      </c>
      <c r="F953" s="2" t="s">
        <v>11</v>
      </c>
      <c r="G953" s="2" t="s">
        <v>12</v>
      </c>
      <c r="H953" s="2" t="s">
        <v>13</v>
      </c>
      <c r="I953" s="2" t="s">
        <v>14</v>
      </c>
      <c r="J953" s="2" t="s">
        <v>15</v>
      </c>
      <c r="K953" s="2" t="s">
        <v>16</v>
      </c>
      <c r="L953" s="2" t="s">
        <v>17</v>
      </c>
    </row>
    <row r="954" spans="1:12" x14ac:dyDescent="0.25">
      <c r="A954" s="3">
        <v>45713.292673611111</v>
      </c>
      <c r="B954" t="s">
        <v>101</v>
      </c>
      <c r="C954" s="3">
        <v>45713.310289351852</v>
      </c>
      <c r="D954" t="s">
        <v>137</v>
      </c>
      <c r="E954" s="4">
        <v>8.8520000000000003</v>
      </c>
      <c r="F954" s="4">
        <v>401775.33299999998</v>
      </c>
      <c r="G954" s="4">
        <v>401784.185</v>
      </c>
      <c r="H954" s="5">
        <f>619 / 86400</f>
        <v>7.1643518518518514E-3</v>
      </c>
      <c r="I954" t="s">
        <v>325</v>
      </c>
      <c r="J954" t="s">
        <v>125</v>
      </c>
      <c r="K954" s="5">
        <f>1522 / 86400</f>
        <v>1.7615740740740741E-2</v>
      </c>
      <c r="L954" s="5">
        <f>25425 / 86400</f>
        <v>0.29427083333333331</v>
      </c>
    </row>
    <row r="955" spans="1:12" x14ac:dyDescent="0.25">
      <c r="A955" s="3">
        <v>45713.311886574069</v>
      </c>
      <c r="B955" t="s">
        <v>137</v>
      </c>
      <c r="C955" s="3">
        <v>45713.312083333338</v>
      </c>
      <c r="D955" t="s">
        <v>133</v>
      </c>
      <c r="E955" s="4">
        <v>8.9999999999999993E-3</v>
      </c>
      <c r="F955" s="4">
        <v>401784.185</v>
      </c>
      <c r="G955" s="4">
        <v>401784.19400000002</v>
      </c>
      <c r="H955" s="5">
        <f>0 / 86400</f>
        <v>0</v>
      </c>
      <c r="I955" t="s">
        <v>22</v>
      </c>
      <c r="J955" t="s">
        <v>147</v>
      </c>
      <c r="K955" s="5">
        <f>17 / 86400</f>
        <v>1.9675925925925926E-4</v>
      </c>
      <c r="L955" s="5">
        <f>421 / 86400</f>
        <v>4.8726851851851848E-3</v>
      </c>
    </row>
    <row r="956" spans="1:12" x14ac:dyDescent="0.25">
      <c r="A956" s="3">
        <v>45713.31695601852</v>
      </c>
      <c r="B956" t="s">
        <v>133</v>
      </c>
      <c r="C956" s="3">
        <v>45713.317175925928</v>
      </c>
      <c r="D956" t="s">
        <v>133</v>
      </c>
      <c r="E956" s="4">
        <v>3.0000000000000001E-3</v>
      </c>
      <c r="F956" s="4">
        <v>401784.19400000002</v>
      </c>
      <c r="G956" s="4">
        <v>401784.19699999999</v>
      </c>
      <c r="H956" s="5">
        <f>0 / 86400</f>
        <v>0</v>
      </c>
      <c r="I956" t="s">
        <v>22</v>
      </c>
      <c r="J956" t="s">
        <v>144</v>
      </c>
      <c r="K956" s="5">
        <f>19 / 86400</f>
        <v>2.199074074074074E-4</v>
      </c>
      <c r="L956" s="5">
        <f>346 / 86400</f>
        <v>4.0046296296296297E-3</v>
      </c>
    </row>
    <row r="957" spans="1:12" x14ac:dyDescent="0.25">
      <c r="A957" s="3">
        <v>45713.321180555555</v>
      </c>
      <c r="B957" t="s">
        <v>133</v>
      </c>
      <c r="C957" s="3">
        <v>45713.321354166663</v>
      </c>
      <c r="D957" t="s">
        <v>133</v>
      </c>
      <c r="E957" s="4">
        <v>5.0000000000000001E-3</v>
      </c>
      <c r="F957" s="4">
        <v>401784.19699999999</v>
      </c>
      <c r="G957" s="4">
        <v>401784.20199999999</v>
      </c>
      <c r="H957" s="5">
        <f>0 / 86400</f>
        <v>0</v>
      </c>
      <c r="I957" t="s">
        <v>22</v>
      </c>
      <c r="J957" t="s">
        <v>144</v>
      </c>
      <c r="K957" s="5">
        <f>15 / 86400</f>
        <v>1.7361111111111112E-4</v>
      </c>
      <c r="L957" s="5">
        <f>276 / 86400</f>
        <v>3.1944444444444446E-3</v>
      </c>
    </row>
    <row r="958" spans="1:12" x14ac:dyDescent="0.25">
      <c r="A958" s="3">
        <v>45713.324548611112</v>
      </c>
      <c r="B958" t="s">
        <v>133</v>
      </c>
      <c r="C958" s="3">
        <v>45713.488935185189</v>
      </c>
      <c r="D958" t="s">
        <v>375</v>
      </c>
      <c r="E958" s="4">
        <v>49.965000000000003</v>
      </c>
      <c r="F958" s="4">
        <v>401784.20199999999</v>
      </c>
      <c r="G958" s="4">
        <v>401834.16700000002</v>
      </c>
      <c r="H958" s="5">
        <f>6198 / 86400</f>
        <v>7.1736111111111112E-2</v>
      </c>
      <c r="I958" t="s">
        <v>52</v>
      </c>
      <c r="J958" t="s">
        <v>45</v>
      </c>
      <c r="K958" s="5">
        <f>14203 / 86400</f>
        <v>0.16438657407407409</v>
      </c>
      <c r="L958" s="5">
        <f>524 / 86400</f>
        <v>6.0648148148148145E-3</v>
      </c>
    </row>
    <row r="959" spans="1:12" x14ac:dyDescent="0.25">
      <c r="A959" s="3">
        <v>45713.494999999995</v>
      </c>
      <c r="B959" t="s">
        <v>375</v>
      </c>
      <c r="C959" s="3">
        <v>45713.498310185183</v>
      </c>
      <c r="D959" t="s">
        <v>322</v>
      </c>
      <c r="E959" s="4">
        <v>0.40100000000000002</v>
      </c>
      <c r="F959" s="4">
        <v>401834.16700000002</v>
      </c>
      <c r="G959" s="4">
        <v>401834.56800000003</v>
      </c>
      <c r="H959" s="5">
        <f>120 / 86400</f>
        <v>1.3888888888888889E-3</v>
      </c>
      <c r="I959" t="s">
        <v>20</v>
      </c>
      <c r="J959" t="s">
        <v>146</v>
      </c>
      <c r="K959" s="5">
        <f>285 / 86400</f>
        <v>3.2986111111111111E-3</v>
      </c>
      <c r="L959" s="5">
        <f>7 / 86400</f>
        <v>8.1018518518518516E-5</v>
      </c>
    </row>
    <row r="960" spans="1:12" x14ac:dyDescent="0.25">
      <c r="A960" s="3">
        <v>45713.498391203699</v>
      </c>
      <c r="B960" t="s">
        <v>322</v>
      </c>
      <c r="C960" s="3">
        <v>45713.49936342593</v>
      </c>
      <c r="D960" t="s">
        <v>322</v>
      </c>
      <c r="E960" s="4">
        <v>4.0000000000000001E-3</v>
      </c>
      <c r="F960" s="4">
        <v>401834.56800000003</v>
      </c>
      <c r="G960" s="4">
        <v>401834.57199999999</v>
      </c>
      <c r="H960" s="5">
        <f>64 / 86400</f>
        <v>7.407407407407407E-4</v>
      </c>
      <c r="I960" t="s">
        <v>22</v>
      </c>
      <c r="J960" t="s">
        <v>22</v>
      </c>
      <c r="K960" s="5">
        <f>84 / 86400</f>
        <v>9.7222222222222219E-4</v>
      </c>
      <c r="L960" s="5">
        <f>2989 / 86400</f>
        <v>3.4594907407407408E-2</v>
      </c>
    </row>
    <row r="961" spans="1:12" x14ac:dyDescent="0.25">
      <c r="A961" s="3">
        <v>45713.533958333333</v>
      </c>
      <c r="B961" t="s">
        <v>322</v>
      </c>
      <c r="C961" s="3">
        <v>45713.686562499999</v>
      </c>
      <c r="D961" t="s">
        <v>82</v>
      </c>
      <c r="E961" s="4">
        <v>49.896000000000001</v>
      </c>
      <c r="F961" s="4">
        <v>401834.57199999999</v>
      </c>
      <c r="G961" s="4">
        <v>401884.46799999999</v>
      </c>
      <c r="H961" s="5">
        <f>5165 / 86400</f>
        <v>5.9780092592592593E-2</v>
      </c>
      <c r="I961" t="s">
        <v>319</v>
      </c>
      <c r="J961" t="s">
        <v>29</v>
      </c>
      <c r="K961" s="5">
        <f>13185 / 86400</f>
        <v>0.15260416666666668</v>
      </c>
      <c r="L961" s="5">
        <f>3 / 86400</f>
        <v>3.4722222222222222E-5</v>
      </c>
    </row>
    <row r="962" spans="1:12" x14ac:dyDescent="0.25">
      <c r="A962" s="3">
        <v>45713.686597222222</v>
      </c>
      <c r="B962" t="s">
        <v>82</v>
      </c>
      <c r="C962" s="3">
        <v>45713.686990740738</v>
      </c>
      <c r="D962" t="s">
        <v>82</v>
      </c>
      <c r="E962" s="4">
        <v>1.0999999999999999E-2</v>
      </c>
      <c r="F962" s="4">
        <v>401884.46799999999</v>
      </c>
      <c r="G962" s="4">
        <v>401884.47899999999</v>
      </c>
      <c r="H962" s="5">
        <f>15 / 86400</f>
        <v>1.7361111111111112E-4</v>
      </c>
      <c r="I962" t="s">
        <v>22</v>
      </c>
      <c r="J962" t="s">
        <v>144</v>
      </c>
      <c r="K962" s="5">
        <f>34 / 86400</f>
        <v>3.9351851851851852E-4</v>
      </c>
      <c r="L962" s="5">
        <f>68 / 86400</f>
        <v>7.8703703703703705E-4</v>
      </c>
    </row>
    <row r="963" spans="1:12" x14ac:dyDescent="0.25">
      <c r="A963" s="3">
        <v>45713.687777777777</v>
      </c>
      <c r="B963" t="s">
        <v>82</v>
      </c>
      <c r="C963" s="3">
        <v>45713.6878125</v>
      </c>
      <c r="D963" t="s">
        <v>82</v>
      </c>
      <c r="E963" s="4">
        <v>0</v>
      </c>
      <c r="F963" s="4">
        <v>401884.47899999999</v>
      </c>
      <c r="G963" s="4">
        <v>401884.47899999999</v>
      </c>
      <c r="H963" s="5">
        <f>0 / 86400</f>
        <v>0</v>
      </c>
      <c r="I963" t="s">
        <v>22</v>
      </c>
      <c r="J963" t="s">
        <v>22</v>
      </c>
      <c r="K963" s="5">
        <f>3 / 86400</f>
        <v>3.4722222222222222E-5</v>
      </c>
      <c r="L963" s="5">
        <f>121 / 86400</f>
        <v>1.4004629629629629E-3</v>
      </c>
    </row>
    <row r="964" spans="1:12" x14ac:dyDescent="0.25">
      <c r="A964" s="3">
        <v>45713.689212962963</v>
      </c>
      <c r="B964" t="s">
        <v>82</v>
      </c>
      <c r="C964" s="3">
        <v>45713.694143518514</v>
      </c>
      <c r="D964" t="s">
        <v>137</v>
      </c>
      <c r="E964" s="4">
        <v>0.77200000000000002</v>
      </c>
      <c r="F964" s="4">
        <v>401884.47899999999</v>
      </c>
      <c r="G964" s="4">
        <v>401885.25099999999</v>
      </c>
      <c r="H964" s="5">
        <f>200 / 86400</f>
        <v>2.3148148148148147E-3</v>
      </c>
      <c r="I964" t="s">
        <v>138</v>
      </c>
      <c r="J964" t="s">
        <v>34</v>
      </c>
      <c r="K964" s="5">
        <f>426 / 86400</f>
        <v>4.9305555555555552E-3</v>
      </c>
      <c r="L964" s="5">
        <f>805 / 86400</f>
        <v>9.3171296296296301E-3</v>
      </c>
    </row>
    <row r="965" spans="1:12" x14ac:dyDescent="0.25">
      <c r="A965" s="3">
        <v>45713.703460648147</v>
      </c>
      <c r="B965" t="s">
        <v>137</v>
      </c>
      <c r="C965" s="3">
        <v>45713.703587962962</v>
      </c>
      <c r="D965" t="s">
        <v>137</v>
      </c>
      <c r="E965" s="4">
        <v>0</v>
      </c>
      <c r="F965" s="4">
        <v>401885.25099999999</v>
      </c>
      <c r="G965" s="4">
        <v>401885.25099999999</v>
      </c>
      <c r="H965" s="5">
        <f>0 / 86400</f>
        <v>0</v>
      </c>
      <c r="I965" t="s">
        <v>22</v>
      </c>
      <c r="J965" t="s">
        <v>22</v>
      </c>
      <c r="K965" s="5">
        <f>10 / 86400</f>
        <v>1.1574074074074075E-4</v>
      </c>
      <c r="L965" s="5">
        <f>3 / 86400</f>
        <v>3.4722222222222222E-5</v>
      </c>
    </row>
    <row r="966" spans="1:12" x14ac:dyDescent="0.25">
      <c r="A966" s="3">
        <v>45713.703622685185</v>
      </c>
      <c r="B966" t="s">
        <v>137</v>
      </c>
      <c r="C966" s="3">
        <v>45713.951527777783</v>
      </c>
      <c r="D966" t="s">
        <v>82</v>
      </c>
      <c r="E966" s="4">
        <v>93.24</v>
      </c>
      <c r="F966" s="4">
        <v>401885.25099999999</v>
      </c>
      <c r="G966" s="4">
        <v>401978.49099999998</v>
      </c>
      <c r="H966" s="5">
        <f>7281 / 86400</f>
        <v>8.4270833333333336E-2</v>
      </c>
      <c r="I966" t="s">
        <v>94</v>
      </c>
      <c r="J966" t="s">
        <v>32</v>
      </c>
      <c r="K966" s="5">
        <f>21419 / 86400</f>
        <v>0.24790509259259258</v>
      </c>
      <c r="L966" s="5">
        <f>480 / 86400</f>
        <v>5.5555555555555558E-3</v>
      </c>
    </row>
    <row r="967" spans="1:12" x14ac:dyDescent="0.25">
      <c r="A967" s="3">
        <v>45713.957083333335</v>
      </c>
      <c r="B967" t="s">
        <v>82</v>
      </c>
      <c r="C967" s="3">
        <v>45713.959849537037</v>
      </c>
      <c r="D967" t="s">
        <v>376</v>
      </c>
      <c r="E967" s="4">
        <v>0.377</v>
      </c>
      <c r="F967" s="4">
        <v>401978.49099999998</v>
      </c>
      <c r="G967" s="4">
        <v>401978.86800000002</v>
      </c>
      <c r="H967" s="5">
        <f>80 / 86400</f>
        <v>9.2592592592592596E-4</v>
      </c>
      <c r="I967" t="s">
        <v>38</v>
      </c>
      <c r="J967" t="s">
        <v>145</v>
      </c>
      <c r="K967" s="5">
        <f>239 / 86400</f>
        <v>2.7662037037037039E-3</v>
      </c>
      <c r="L967" s="5">
        <f>2559 / 86400</f>
        <v>2.9618055555555557E-2</v>
      </c>
    </row>
    <row r="968" spans="1:12" x14ac:dyDescent="0.25">
      <c r="A968" s="3">
        <v>45713.98946759259</v>
      </c>
      <c r="B968" t="s">
        <v>376</v>
      </c>
      <c r="C968" s="3">
        <v>45713.989733796298</v>
      </c>
      <c r="D968" t="s">
        <v>376</v>
      </c>
      <c r="E968" s="4">
        <v>0</v>
      </c>
      <c r="F968" s="4">
        <v>401978.86800000002</v>
      </c>
      <c r="G968" s="4">
        <v>401978.86800000002</v>
      </c>
      <c r="H968" s="5">
        <f>19 / 86400</f>
        <v>2.199074074074074E-4</v>
      </c>
      <c r="I968" t="s">
        <v>22</v>
      </c>
      <c r="J968" t="s">
        <v>22</v>
      </c>
      <c r="K968" s="5">
        <f>23 / 86400</f>
        <v>2.6620370370370372E-4</v>
      </c>
      <c r="L968" s="5">
        <f>513 / 86400</f>
        <v>5.9375000000000001E-3</v>
      </c>
    </row>
    <row r="969" spans="1:12" x14ac:dyDescent="0.25">
      <c r="A969" s="3">
        <v>45713.995671296296</v>
      </c>
      <c r="B969" t="s">
        <v>376</v>
      </c>
      <c r="C969" s="3">
        <v>45713.99998842593</v>
      </c>
      <c r="D969" t="s">
        <v>102</v>
      </c>
      <c r="E969" s="4">
        <v>2.7309999999999999</v>
      </c>
      <c r="F969" s="4">
        <v>401978.86800000002</v>
      </c>
      <c r="G969" s="4">
        <v>401981.59899999999</v>
      </c>
      <c r="H969" s="5">
        <f>19 / 86400</f>
        <v>2.199074074074074E-4</v>
      </c>
      <c r="I969" t="s">
        <v>215</v>
      </c>
      <c r="J969" t="s">
        <v>150</v>
      </c>
      <c r="K969" s="5">
        <f>373 / 86400</f>
        <v>4.31712962962963E-3</v>
      </c>
      <c r="L969" s="5">
        <f>0 / 86400</f>
        <v>0</v>
      </c>
    </row>
    <row r="970" spans="1:12" x14ac:dyDescent="0.25">
      <c r="A970" s="12"/>
      <c r="B970" s="12"/>
      <c r="C970" s="12"/>
      <c r="D970" s="12"/>
      <c r="E970" s="12"/>
      <c r="F970" s="12"/>
      <c r="G970" s="12"/>
      <c r="H970" s="12"/>
      <c r="I970" s="12"/>
      <c r="J970" s="12"/>
    </row>
    <row r="971" spans="1:12" x14ac:dyDescent="0.25">
      <c r="A971" s="12"/>
      <c r="B971" s="12"/>
      <c r="C971" s="12"/>
      <c r="D971" s="12"/>
      <c r="E971" s="12"/>
      <c r="F971" s="12"/>
      <c r="G971" s="12"/>
      <c r="H971" s="12"/>
      <c r="I971" s="12"/>
      <c r="J971" s="12"/>
    </row>
    <row r="972" spans="1:12" s="10" customFormat="1" ht="20.100000000000001" customHeight="1" x14ac:dyDescent="0.35">
      <c r="A972" s="15" t="s">
        <v>437</v>
      </c>
      <c r="B972" s="15"/>
      <c r="C972" s="15"/>
      <c r="D972" s="15"/>
      <c r="E972" s="15"/>
      <c r="F972" s="15"/>
      <c r="G972" s="15"/>
      <c r="H972" s="15"/>
      <c r="I972" s="15"/>
      <c r="J972" s="15"/>
    </row>
    <row r="973" spans="1:12" x14ac:dyDescent="0.25">
      <c r="A973" s="12"/>
      <c r="B973" s="12"/>
      <c r="C973" s="12"/>
      <c r="D973" s="12"/>
      <c r="E973" s="12"/>
      <c r="F973" s="12"/>
      <c r="G973" s="12"/>
      <c r="H973" s="12"/>
      <c r="I973" s="12"/>
      <c r="J973" s="12"/>
    </row>
    <row r="974" spans="1:12" ht="30" x14ac:dyDescent="0.25">
      <c r="A974" s="2" t="s">
        <v>6</v>
      </c>
      <c r="B974" s="2" t="s">
        <v>7</v>
      </c>
      <c r="C974" s="2" t="s">
        <v>8</v>
      </c>
      <c r="D974" s="2" t="s">
        <v>9</v>
      </c>
      <c r="E974" s="2" t="s">
        <v>10</v>
      </c>
      <c r="F974" s="2" t="s">
        <v>11</v>
      </c>
      <c r="G974" s="2" t="s">
        <v>12</v>
      </c>
      <c r="H974" s="2" t="s">
        <v>13</v>
      </c>
      <c r="I974" s="2" t="s">
        <v>14</v>
      </c>
      <c r="J974" s="2" t="s">
        <v>15</v>
      </c>
      <c r="K974" s="2" t="s">
        <v>16</v>
      </c>
      <c r="L974" s="2" t="s">
        <v>17</v>
      </c>
    </row>
    <row r="975" spans="1:12" x14ac:dyDescent="0.25">
      <c r="A975" s="3">
        <v>45713.206087962964</v>
      </c>
      <c r="B975" t="s">
        <v>27</v>
      </c>
      <c r="C975" s="3">
        <v>45713.225381944445</v>
      </c>
      <c r="D975" t="s">
        <v>377</v>
      </c>
      <c r="E975" s="4">
        <v>10.298</v>
      </c>
      <c r="F975" s="4">
        <v>384090.174</v>
      </c>
      <c r="G975" s="4">
        <v>384100.47200000001</v>
      </c>
      <c r="H975" s="5">
        <f>539 / 86400</f>
        <v>6.2384259259259259E-3</v>
      </c>
      <c r="I975" t="s">
        <v>211</v>
      </c>
      <c r="J975" t="s">
        <v>136</v>
      </c>
      <c r="K975" s="5">
        <f>1667 / 86400</f>
        <v>1.9293981481481481E-2</v>
      </c>
      <c r="L975" s="5">
        <f>17848 / 86400</f>
        <v>0.20657407407407408</v>
      </c>
    </row>
    <row r="976" spans="1:12" x14ac:dyDescent="0.25">
      <c r="A976" s="3">
        <v>45713.225868055553</v>
      </c>
      <c r="B976" t="s">
        <v>377</v>
      </c>
      <c r="C976" s="3">
        <v>45713.433518518519</v>
      </c>
      <c r="D976" t="s">
        <v>51</v>
      </c>
      <c r="E976" s="4">
        <v>86.837000000000003</v>
      </c>
      <c r="F976" s="4">
        <v>384100.47200000001</v>
      </c>
      <c r="G976" s="4">
        <v>384187.30900000001</v>
      </c>
      <c r="H976" s="5">
        <f>5316 / 86400</f>
        <v>6.1527777777777778E-2</v>
      </c>
      <c r="I976" t="s">
        <v>331</v>
      </c>
      <c r="J976" t="s">
        <v>20</v>
      </c>
      <c r="K976" s="5">
        <f>17940 / 86400</f>
        <v>0.2076388888888889</v>
      </c>
      <c r="L976" s="5">
        <f>3408 / 86400</f>
        <v>3.9444444444444442E-2</v>
      </c>
    </row>
    <row r="977" spans="1:12" x14ac:dyDescent="0.25">
      <c r="A977" s="3">
        <v>45713.472962962958</v>
      </c>
      <c r="B977" t="s">
        <v>51</v>
      </c>
      <c r="C977" s="3">
        <v>45713.475601851853</v>
      </c>
      <c r="D977" t="s">
        <v>82</v>
      </c>
      <c r="E977" s="4">
        <v>0.77200000000000002</v>
      </c>
      <c r="F977" s="4">
        <v>384187.30900000001</v>
      </c>
      <c r="G977" s="4">
        <v>384188.08100000001</v>
      </c>
      <c r="H977" s="5">
        <f>39 / 86400</f>
        <v>4.5138888888888887E-4</v>
      </c>
      <c r="I977" t="s">
        <v>177</v>
      </c>
      <c r="J977" t="s">
        <v>158</v>
      </c>
      <c r="K977" s="5">
        <f>228 / 86400</f>
        <v>2.638888888888889E-3</v>
      </c>
      <c r="L977" s="5">
        <f>598 / 86400</f>
        <v>6.9212962962962961E-3</v>
      </c>
    </row>
    <row r="978" spans="1:12" x14ac:dyDescent="0.25">
      <c r="A978" s="3">
        <v>45713.482523148152</v>
      </c>
      <c r="B978" t="s">
        <v>82</v>
      </c>
      <c r="C978" s="3">
        <v>45713.483749999999</v>
      </c>
      <c r="D978" t="s">
        <v>82</v>
      </c>
      <c r="E978" s="4">
        <v>0.126</v>
      </c>
      <c r="F978" s="4">
        <v>384188.08100000001</v>
      </c>
      <c r="G978" s="4">
        <v>384188.20699999999</v>
      </c>
      <c r="H978" s="5">
        <f>40 / 86400</f>
        <v>4.6296296296296298E-4</v>
      </c>
      <c r="I978" t="s">
        <v>97</v>
      </c>
      <c r="J978" t="s">
        <v>141</v>
      </c>
      <c r="K978" s="5">
        <f>105 / 86400</f>
        <v>1.2152777777777778E-3</v>
      </c>
      <c r="L978" s="5">
        <f>513 / 86400</f>
        <v>5.9375000000000001E-3</v>
      </c>
    </row>
    <row r="979" spans="1:12" x14ac:dyDescent="0.25">
      <c r="A979" s="3">
        <v>45713.489687499998</v>
      </c>
      <c r="B979" t="s">
        <v>82</v>
      </c>
      <c r="C979" s="3">
        <v>45713.496030092589</v>
      </c>
      <c r="D979" t="s">
        <v>307</v>
      </c>
      <c r="E979" s="4">
        <v>1.294</v>
      </c>
      <c r="F979" s="4">
        <v>384188.20699999999</v>
      </c>
      <c r="G979" s="4">
        <v>384189.50099999999</v>
      </c>
      <c r="H979" s="5">
        <f>200 / 86400</f>
        <v>2.3148148148148147E-3</v>
      </c>
      <c r="I979" t="s">
        <v>182</v>
      </c>
      <c r="J979" t="s">
        <v>64</v>
      </c>
      <c r="K979" s="5">
        <f>547 / 86400</f>
        <v>6.3310185185185188E-3</v>
      </c>
      <c r="L979" s="5">
        <f>2393 / 86400</f>
        <v>2.7696759259259258E-2</v>
      </c>
    </row>
    <row r="980" spans="1:12" x14ac:dyDescent="0.25">
      <c r="A980" s="3">
        <v>45713.523726851854</v>
      </c>
      <c r="B980" t="s">
        <v>307</v>
      </c>
      <c r="C980" s="3">
        <v>45713.749965277777</v>
      </c>
      <c r="D980" t="s">
        <v>113</v>
      </c>
      <c r="E980" s="4">
        <v>78.938999999999993</v>
      </c>
      <c r="F980" s="4">
        <v>384189.50099999999</v>
      </c>
      <c r="G980" s="4">
        <v>384268.44</v>
      </c>
      <c r="H980" s="5">
        <f>7141 / 86400</f>
        <v>8.2650462962962967E-2</v>
      </c>
      <c r="I980" t="s">
        <v>71</v>
      </c>
      <c r="J980" t="s">
        <v>76</v>
      </c>
      <c r="K980" s="5">
        <f>19547 / 86400</f>
        <v>0.22623842592592591</v>
      </c>
      <c r="L980" s="5">
        <f>37 / 86400</f>
        <v>4.2824074074074075E-4</v>
      </c>
    </row>
    <row r="981" spans="1:12" x14ac:dyDescent="0.25">
      <c r="A981" s="3">
        <v>45713.750393518523</v>
      </c>
      <c r="B981" t="s">
        <v>113</v>
      </c>
      <c r="C981" s="3">
        <v>45713.768101851849</v>
      </c>
      <c r="D981" t="s">
        <v>378</v>
      </c>
      <c r="E981" s="4">
        <v>8.0860000000000003</v>
      </c>
      <c r="F981" s="4">
        <v>384268.44</v>
      </c>
      <c r="G981" s="4">
        <v>384276.52600000001</v>
      </c>
      <c r="H981" s="5">
        <f>359 / 86400</f>
        <v>4.1550925925925922E-3</v>
      </c>
      <c r="I981" t="s">
        <v>193</v>
      </c>
      <c r="J981" t="s">
        <v>92</v>
      </c>
      <c r="K981" s="5">
        <f>1530 / 86400</f>
        <v>1.7708333333333333E-2</v>
      </c>
      <c r="L981" s="5">
        <f>266 / 86400</f>
        <v>3.0787037037037037E-3</v>
      </c>
    </row>
    <row r="982" spans="1:12" x14ac:dyDescent="0.25">
      <c r="A982" s="3">
        <v>45713.771180555559</v>
      </c>
      <c r="B982" t="s">
        <v>378</v>
      </c>
      <c r="C982" s="3">
        <v>45713.785428240742</v>
      </c>
      <c r="D982" t="s">
        <v>379</v>
      </c>
      <c r="E982" s="4">
        <v>9.6579999999999995</v>
      </c>
      <c r="F982" s="4">
        <v>384276.52600000001</v>
      </c>
      <c r="G982" s="4">
        <v>384286.18400000001</v>
      </c>
      <c r="H982" s="5">
        <f>259 / 86400</f>
        <v>2.9976851851851853E-3</v>
      </c>
      <c r="I982" t="s">
        <v>117</v>
      </c>
      <c r="J982" t="s">
        <v>166</v>
      </c>
      <c r="K982" s="5">
        <f>1231 / 86400</f>
        <v>1.4247685185185184E-2</v>
      </c>
      <c r="L982" s="5">
        <f>341 / 86400</f>
        <v>3.9467592592592592E-3</v>
      </c>
    </row>
    <row r="983" spans="1:12" x14ac:dyDescent="0.25">
      <c r="A983" s="3">
        <v>45713.789375</v>
      </c>
      <c r="B983" t="s">
        <v>379</v>
      </c>
      <c r="C983" s="3">
        <v>45713.792256944449</v>
      </c>
      <c r="D983" t="s">
        <v>27</v>
      </c>
      <c r="E983" s="4">
        <v>0.495</v>
      </c>
      <c r="F983" s="4">
        <v>384286.18400000001</v>
      </c>
      <c r="G983" s="4">
        <v>384286.679</v>
      </c>
      <c r="H983" s="5">
        <f>60 / 86400</f>
        <v>6.9444444444444447E-4</v>
      </c>
      <c r="I983" t="s">
        <v>45</v>
      </c>
      <c r="J983" t="s">
        <v>34</v>
      </c>
      <c r="K983" s="5">
        <f>249 / 86400</f>
        <v>2.8819444444444444E-3</v>
      </c>
      <c r="L983" s="5">
        <f>9114 / 86400</f>
        <v>0.10548611111111111</v>
      </c>
    </row>
    <row r="984" spans="1:12" x14ac:dyDescent="0.25">
      <c r="A984" s="3">
        <v>45713.897743055553</v>
      </c>
      <c r="B984" t="s">
        <v>27</v>
      </c>
      <c r="C984" s="3">
        <v>45713.898009259261</v>
      </c>
      <c r="D984" t="s">
        <v>27</v>
      </c>
      <c r="E984" s="4">
        <v>0</v>
      </c>
      <c r="F984" s="4">
        <v>384286.679</v>
      </c>
      <c r="G984" s="4">
        <v>384286.679</v>
      </c>
      <c r="H984" s="5">
        <f>19 / 86400</f>
        <v>2.199074074074074E-4</v>
      </c>
      <c r="I984" t="s">
        <v>22</v>
      </c>
      <c r="J984" t="s">
        <v>22</v>
      </c>
      <c r="K984" s="5">
        <f>22 / 86400</f>
        <v>2.5462962962962961E-4</v>
      </c>
      <c r="L984" s="5">
        <f>4 / 86400</f>
        <v>4.6296296296296294E-5</v>
      </c>
    </row>
    <row r="985" spans="1:12" x14ac:dyDescent="0.25">
      <c r="A985" s="3">
        <v>45713.898055555561</v>
      </c>
      <c r="B985" t="s">
        <v>27</v>
      </c>
      <c r="C985" s="3">
        <v>45713.89880787037</v>
      </c>
      <c r="D985" t="s">
        <v>27</v>
      </c>
      <c r="E985" s="4">
        <v>0</v>
      </c>
      <c r="F985" s="4">
        <v>384286.679</v>
      </c>
      <c r="G985" s="4">
        <v>384286.679</v>
      </c>
      <c r="H985" s="5">
        <f>53 / 86400</f>
        <v>6.134259259259259E-4</v>
      </c>
      <c r="I985" t="s">
        <v>22</v>
      </c>
      <c r="J985" t="s">
        <v>22</v>
      </c>
      <c r="K985" s="5">
        <f>65 / 86400</f>
        <v>7.5231481481481482E-4</v>
      </c>
      <c r="L985" s="5">
        <f>8742 / 86400</f>
        <v>0.10118055555555555</v>
      </c>
    </row>
    <row r="986" spans="1:12" x14ac:dyDescent="0.25">
      <c r="A986" s="12"/>
      <c r="B986" s="12"/>
      <c r="C986" s="12"/>
      <c r="D986" s="12"/>
      <c r="E986" s="12"/>
      <c r="F986" s="12"/>
      <c r="G986" s="12"/>
      <c r="H986" s="12"/>
      <c r="I986" s="12"/>
      <c r="J986" s="12"/>
    </row>
    <row r="987" spans="1:12" x14ac:dyDescent="0.25">
      <c r="A987" s="12"/>
      <c r="B987" s="12"/>
      <c r="C987" s="12"/>
      <c r="D987" s="12"/>
      <c r="E987" s="12"/>
      <c r="F987" s="12"/>
      <c r="G987" s="12"/>
      <c r="H987" s="12"/>
      <c r="I987" s="12"/>
      <c r="J987" s="12"/>
    </row>
    <row r="988" spans="1:12" s="10" customFormat="1" ht="20.100000000000001" customHeight="1" x14ac:dyDescent="0.35">
      <c r="A988" s="15" t="s">
        <v>438</v>
      </c>
      <c r="B988" s="15"/>
      <c r="C988" s="15"/>
      <c r="D988" s="15"/>
      <c r="E988" s="15"/>
      <c r="F988" s="15"/>
      <c r="G988" s="15"/>
      <c r="H988" s="15"/>
      <c r="I988" s="15"/>
      <c r="J988" s="15"/>
    </row>
    <row r="989" spans="1:12" x14ac:dyDescent="0.25">
      <c r="A989" s="12"/>
      <c r="B989" s="12"/>
      <c r="C989" s="12"/>
      <c r="D989" s="12"/>
      <c r="E989" s="12"/>
      <c r="F989" s="12"/>
      <c r="G989" s="12"/>
      <c r="H989" s="12"/>
      <c r="I989" s="12"/>
      <c r="J989" s="12"/>
    </row>
    <row r="990" spans="1:12" ht="30" x14ac:dyDescent="0.25">
      <c r="A990" s="2" t="s">
        <v>6</v>
      </c>
      <c r="B990" s="2" t="s">
        <v>7</v>
      </c>
      <c r="C990" s="2" t="s">
        <v>8</v>
      </c>
      <c r="D990" s="2" t="s">
        <v>9</v>
      </c>
      <c r="E990" s="2" t="s">
        <v>10</v>
      </c>
      <c r="F990" s="2" t="s">
        <v>11</v>
      </c>
      <c r="G990" s="2" t="s">
        <v>12</v>
      </c>
      <c r="H990" s="2" t="s">
        <v>13</v>
      </c>
      <c r="I990" s="2" t="s">
        <v>14</v>
      </c>
      <c r="J990" s="2" t="s">
        <v>15</v>
      </c>
      <c r="K990" s="2" t="s">
        <v>16</v>
      </c>
      <c r="L990" s="2" t="s">
        <v>17</v>
      </c>
    </row>
    <row r="991" spans="1:12" x14ac:dyDescent="0.25">
      <c r="A991" s="3">
        <v>45713.341203703705</v>
      </c>
      <c r="B991" t="s">
        <v>103</v>
      </c>
      <c r="C991" s="3">
        <v>45713.341990740737</v>
      </c>
      <c r="D991" t="s">
        <v>103</v>
      </c>
      <c r="E991" s="4">
        <v>0</v>
      </c>
      <c r="F991" s="4">
        <v>548380.06099999999</v>
      </c>
      <c r="G991" s="4">
        <v>548380.06099999999</v>
      </c>
      <c r="H991" s="5">
        <f>59 / 86400</f>
        <v>6.8287037037037036E-4</v>
      </c>
      <c r="I991" t="s">
        <v>22</v>
      </c>
      <c r="J991" t="s">
        <v>22</v>
      </c>
      <c r="K991" s="5">
        <f>67 / 86400</f>
        <v>7.7546296296296293E-4</v>
      </c>
      <c r="L991" s="5">
        <f>29489 / 86400</f>
        <v>0.34130787037037036</v>
      </c>
    </row>
    <row r="992" spans="1:12" x14ac:dyDescent="0.25">
      <c r="A992" s="3">
        <v>45713.342094907406</v>
      </c>
      <c r="B992" t="s">
        <v>103</v>
      </c>
      <c r="C992" s="3">
        <v>45713.342199074075</v>
      </c>
      <c r="D992" t="s">
        <v>103</v>
      </c>
      <c r="E992" s="4">
        <v>0</v>
      </c>
      <c r="F992" s="4">
        <v>548380.06099999999</v>
      </c>
      <c r="G992" s="4">
        <v>548380.06099999999</v>
      </c>
      <c r="H992" s="5">
        <f>3 / 86400</f>
        <v>3.4722222222222222E-5</v>
      </c>
      <c r="I992" t="s">
        <v>22</v>
      </c>
      <c r="J992" t="s">
        <v>22</v>
      </c>
      <c r="K992" s="5">
        <f>9 / 86400</f>
        <v>1.0416666666666667E-4</v>
      </c>
      <c r="L992" s="5">
        <f>137 / 86400</f>
        <v>1.5856481481481481E-3</v>
      </c>
    </row>
    <row r="993" spans="1:12" x14ac:dyDescent="0.25">
      <c r="A993" s="3">
        <v>45713.343784722223</v>
      </c>
      <c r="B993" t="s">
        <v>103</v>
      </c>
      <c r="C993" s="3">
        <v>45713.343842592592</v>
      </c>
      <c r="D993" t="s">
        <v>103</v>
      </c>
      <c r="E993" s="4">
        <v>0</v>
      </c>
      <c r="F993" s="4">
        <v>548380.06099999999</v>
      </c>
      <c r="G993" s="4">
        <v>548380.06099999999</v>
      </c>
      <c r="H993" s="5">
        <f>0 / 86400</f>
        <v>0</v>
      </c>
      <c r="I993" t="s">
        <v>22</v>
      </c>
      <c r="J993" t="s">
        <v>22</v>
      </c>
      <c r="K993" s="5">
        <f>4 / 86400</f>
        <v>4.6296296296296294E-5</v>
      </c>
      <c r="L993" s="5">
        <f>3 / 86400</f>
        <v>3.4722222222222222E-5</v>
      </c>
    </row>
    <row r="994" spans="1:12" x14ac:dyDescent="0.25">
      <c r="A994" s="3">
        <v>45713.343877314815</v>
      </c>
      <c r="B994" t="s">
        <v>103</v>
      </c>
      <c r="C994" s="3">
        <v>45713.344606481478</v>
      </c>
      <c r="D994" t="s">
        <v>316</v>
      </c>
      <c r="E994" s="4">
        <v>3.5999999999999997E-2</v>
      </c>
      <c r="F994" s="4">
        <v>548380.06099999999</v>
      </c>
      <c r="G994" s="4">
        <v>548380.09699999995</v>
      </c>
      <c r="H994" s="5">
        <f>0 / 86400</f>
        <v>0</v>
      </c>
      <c r="I994" t="s">
        <v>106</v>
      </c>
      <c r="J994" t="s">
        <v>147</v>
      </c>
      <c r="K994" s="5">
        <f>63 / 86400</f>
        <v>7.291666666666667E-4</v>
      </c>
      <c r="L994" s="5">
        <f>1 / 86400</f>
        <v>1.1574074074074073E-5</v>
      </c>
    </row>
    <row r="995" spans="1:12" x14ac:dyDescent="0.25">
      <c r="A995" s="3">
        <v>45713.344618055555</v>
      </c>
      <c r="B995" t="s">
        <v>316</v>
      </c>
      <c r="C995" s="3">
        <v>45713.346886574072</v>
      </c>
      <c r="D995" t="s">
        <v>48</v>
      </c>
      <c r="E995" s="4">
        <v>0.55600000000000005</v>
      </c>
      <c r="F995" s="4">
        <v>548380.09699999995</v>
      </c>
      <c r="G995" s="4">
        <v>548380.65300000005</v>
      </c>
      <c r="H995" s="5">
        <f>20 / 86400</f>
        <v>2.3148148148148149E-4</v>
      </c>
      <c r="I995" t="s">
        <v>164</v>
      </c>
      <c r="J995" t="s">
        <v>134</v>
      </c>
      <c r="K995" s="5">
        <f>196 / 86400</f>
        <v>2.2685185185185187E-3</v>
      </c>
      <c r="L995" s="5">
        <f>78 / 86400</f>
        <v>9.0277777777777774E-4</v>
      </c>
    </row>
    <row r="996" spans="1:12" x14ac:dyDescent="0.25">
      <c r="A996" s="3">
        <v>45713.34778935185</v>
      </c>
      <c r="B996" t="s">
        <v>48</v>
      </c>
      <c r="C996" s="3">
        <v>45713.348587962959</v>
      </c>
      <c r="D996" t="s">
        <v>48</v>
      </c>
      <c r="E996" s="4">
        <v>0</v>
      </c>
      <c r="F996" s="4">
        <v>548380.65300000005</v>
      </c>
      <c r="G996" s="4">
        <v>548380.65300000005</v>
      </c>
      <c r="H996" s="5">
        <f>59 / 86400</f>
        <v>6.8287037037037036E-4</v>
      </c>
      <c r="I996" t="s">
        <v>22</v>
      </c>
      <c r="J996" t="s">
        <v>22</v>
      </c>
      <c r="K996" s="5">
        <f>69 / 86400</f>
        <v>7.9861111111111116E-4</v>
      </c>
      <c r="L996" s="5">
        <f>146 / 86400</f>
        <v>1.6898148148148148E-3</v>
      </c>
    </row>
    <row r="997" spans="1:12" x14ac:dyDescent="0.25">
      <c r="A997" s="3">
        <v>45713.350277777776</v>
      </c>
      <c r="B997" t="s">
        <v>48</v>
      </c>
      <c r="C997" s="3">
        <v>45713.351331018523</v>
      </c>
      <c r="D997" t="s">
        <v>104</v>
      </c>
      <c r="E997" s="4">
        <v>3.7999999999999999E-2</v>
      </c>
      <c r="F997" s="4">
        <v>548380.65300000005</v>
      </c>
      <c r="G997" s="4">
        <v>548380.69099999999</v>
      </c>
      <c r="H997" s="5">
        <f>39 / 86400</f>
        <v>4.5138888888888887E-4</v>
      </c>
      <c r="I997" t="s">
        <v>146</v>
      </c>
      <c r="J997" t="s">
        <v>147</v>
      </c>
      <c r="K997" s="5">
        <f>90 / 86400</f>
        <v>1.0416666666666667E-3</v>
      </c>
      <c r="L997" s="5">
        <f>113 / 86400</f>
        <v>1.3078703703703703E-3</v>
      </c>
    </row>
    <row r="998" spans="1:12" x14ac:dyDescent="0.25">
      <c r="A998" s="3">
        <v>45713.352638888886</v>
      </c>
      <c r="B998" t="s">
        <v>104</v>
      </c>
      <c r="C998" s="3">
        <v>45713.353483796294</v>
      </c>
      <c r="D998" t="s">
        <v>104</v>
      </c>
      <c r="E998" s="4">
        <v>0</v>
      </c>
      <c r="F998" s="4">
        <v>548380.69099999999</v>
      </c>
      <c r="G998" s="4">
        <v>548380.69099999999</v>
      </c>
      <c r="H998" s="5">
        <f>59 / 86400</f>
        <v>6.8287037037037036E-4</v>
      </c>
      <c r="I998" t="s">
        <v>22</v>
      </c>
      <c r="J998" t="s">
        <v>22</v>
      </c>
      <c r="K998" s="5">
        <f>73 / 86400</f>
        <v>8.4490740740740739E-4</v>
      </c>
      <c r="L998" s="5">
        <f>7031 / 86400</f>
        <v>8.1377314814814819E-2</v>
      </c>
    </row>
    <row r="999" spans="1:12" x14ac:dyDescent="0.25">
      <c r="A999" s="3">
        <v>45713.434861111113</v>
      </c>
      <c r="B999" t="s">
        <v>104</v>
      </c>
      <c r="C999" s="3">
        <v>45713.439618055556</v>
      </c>
      <c r="D999" t="s">
        <v>48</v>
      </c>
      <c r="E999" s="4">
        <v>3.9E-2</v>
      </c>
      <c r="F999" s="4">
        <v>548380.69099999999</v>
      </c>
      <c r="G999" s="4">
        <v>548380.73</v>
      </c>
      <c r="H999" s="5">
        <f>359 / 86400</f>
        <v>4.1550925925925922E-3</v>
      </c>
      <c r="I999" t="s">
        <v>147</v>
      </c>
      <c r="J999" t="s">
        <v>22</v>
      </c>
      <c r="K999" s="5">
        <f>411 / 86400</f>
        <v>4.7569444444444447E-3</v>
      </c>
      <c r="L999" s="5">
        <f>3 / 86400</f>
        <v>3.4722222222222222E-5</v>
      </c>
    </row>
    <row r="1000" spans="1:12" x14ac:dyDescent="0.25">
      <c r="A1000" s="3">
        <v>45713.439652777779</v>
      </c>
      <c r="B1000" t="s">
        <v>48</v>
      </c>
      <c r="C1000" s="3">
        <v>45713.442453703705</v>
      </c>
      <c r="D1000" t="s">
        <v>316</v>
      </c>
      <c r="E1000" s="4">
        <v>0.498</v>
      </c>
      <c r="F1000" s="4">
        <v>548380.73</v>
      </c>
      <c r="G1000" s="4">
        <v>548381.228</v>
      </c>
      <c r="H1000" s="5">
        <f>60 / 86400</f>
        <v>6.9444444444444447E-4</v>
      </c>
      <c r="I1000" t="s">
        <v>190</v>
      </c>
      <c r="J1000" t="s">
        <v>34</v>
      </c>
      <c r="K1000" s="5">
        <f>242 / 86400</f>
        <v>2.8009259259259259E-3</v>
      </c>
      <c r="L1000" s="5">
        <f>230 / 86400</f>
        <v>2.662037037037037E-3</v>
      </c>
    </row>
    <row r="1001" spans="1:12" x14ac:dyDescent="0.25">
      <c r="A1001" s="3">
        <v>45713.445115740746</v>
      </c>
      <c r="B1001" t="s">
        <v>316</v>
      </c>
      <c r="C1001" s="3">
        <v>45713.450173611112</v>
      </c>
      <c r="D1001" t="s">
        <v>82</v>
      </c>
      <c r="E1001" s="4">
        <v>0.28100000000000003</v>
      </c>
      <c r="F1001" s="4">
        <v>548381.228</v>
      </c>
      <c r="G1001" s="4">
        <v>548381.50899999996</v>
      </c>
      <c r="H1001" s="5">
        <f>259 / 86400</f>
        <v>2.9976851851851853E-3</v>
      </c>
      <c r="I1001" t="s">
        <v>45</v>
      </c>
      <c r="J1001" t="s">
        <v>147</v>
      </c>
      <c r="K1001" s="5">
        <f>437 / 86400</f>
        <v>5.0578703703703706E-3</v>
      </c>
      <c r="L1001" s="5">
        <f>3061 / 86400</f>
        <v>3.5428240740740739E-2</v>
      </c>
    </row>
    <row r="1002" spans="1:12" x14ac:dyDescent="0.25">
      <c r="A1002" s="3">
        <v>45713.485601851848</v>
      </c>
      <c r="B1002" t="s">
        <v>82</v>
      </c>
      <c r="C1002" s="3">
        <v>45713.487361111111</v>
      </c>
      <c r="D1002" t="s">
        <v>364</v>
      </c>
      <c r="E1002" s="4">
        <v>0.32400000000000001</v>
      </c>
      <c r="F1002" s="4">
        <v>548381.50899999996</v>
      </c>
      <c r="G1002" s="4">
        <v>548381.83299999998</v>
      </c>
      <c r="H1002" s="5">
        <f>40 / 86400</f>
        <v>4.6296296296296298E-4</v>
      </c>
      <c r="I1002" t="s">
        <v>125</v>
      </c>
      <c r="J1002" t="s">
        <v>97</v>
      </c>
      <c r="K1002" s="5">
        <f>152 / 86400</f>
        <v>1.7592592592592592E-3</v>
      </c>
      <c r="L1002" s="5">
        <f>679 / 86400</f>
        <v>7.858796296296296E-3</v>
      </c>
    </row>
    <row r="1003" spans="1:12" x14ac:dyDescent="0.25">
      <c r="A1003" s="3">
        <v>45713.495219907403</v>
      </c>
      <c r="B1003" t="s">
        <v>364</v>
      </c>
      <c r="C1003" s="3">
        <v>45713.496458333335</v>
      </c>
      <c r="D1003" t="s">
        <v>364</v>
      </c>
      <c r="E1003" s="4">
        <v>0.02</v>
      </c>
      <c r="F1003" s="4">
        <v>548381.83299999998</v>
      </c>
      <c r="G1003" s="4">
        <v>548381.853</v>
      </c>
      <c r="H1003" s="5">
        <f>79 / 86400</f>
        <v>9.1435185185185185E-4</v>
      </c>
      <c r="I1003" t="s">
        <v>146</v>
      </c>
      <c r="J1003" t="s">
        <v>144</v>
      </c>
      <c r="K1003" s="5">
        <f>106 / 86400</f>
        <v>1.2268518518518518E-3</v>
      </c>
      <c r="L1003" s="5">
        <f>325 / 86400</f>
        <v>3.7615740740740739E-3</v>
      </c>
    </row>
    <row r="1004" spans="1:12" x14ac:dyDescent="0.25">
      <c r="A1004" s="3">
        <v>45713.500219907408</v>
      </c>
      <c r="B1004" t="s">
        <v>364</v>
      </c>
      <c r="C1004" s="3">
        <v>45713.500289351854</v>
      </c>
      <c r="D1004" t="s">
        <v>364</v>
      </c>
      <c r="E1004" s="4">
        <v>0</v>
      </c>
      <c r="F1004" s="4">
        <v>548381.853</v>
      </c>
      <c r="G1004" s="4">
        <v>548381.853</v>
      </c>
      <c r="H1004" s="5">
        <f>0 / 86400</f>
        <v>0</v>
      </c>
      <c r="I1004" t="s">
        <v>22</v>
      </c>
      <c r="J1004" t="s">
        <v>22</v>
      </c>
      <c r="K1004" s="5">
        <f>5 / 86400</f>
        <v>5.7870370370370373E-5</v>
      </c>
      <c r="L1004" s="5">
        <f>24514 / 86400</f>
        <v>0.28372685185185187</v>
      </c>
    </row>
    <row r="1005" spans="1:12" x14ac:dyDescent="0.25">
      <c r="A1005" s="3">
        <v>45713.784016203703</v>
      </c>
      <c r="B1005" t="s">
        <v>364</v>
      </c>
      <c r="C1005" s="3">
        <v>45713.791469907403</v>
      </c>
      <c r="D1005" t="s">
        <v>104</v>
      </c>
      <c r="E1005" s="4">
        <v>0.45300000000000001</v>
      </c>
      <c r="F1005" s="4">
        <v>548381.853</v>
      </c>
      <c r="G1005" s="4">
        <v>548382.30599999998</v>
      </c>
      <c r="H1005" s="5">
        <f>419 / 86400</f>
        <v>4.8495370370370368E-3</v>
      </c>
      <c r="I1005" t="s">
        <v>105</v>
      </c>
      <c r="J1005" t="s">
        <v>106</v>
      </c>
      <c r="K1005" s="5">
        <f>643 / 86400</f>
        <v>7.4421296296296293E-3</v>
      </c>
      <c r="L1005" s="5">
        <f>943 / 86400</f>
        <v>1.0914351851851852E-2</v>
      </c>
    </row>
    <row r="1006" spans="1:12" x14ac:dyDescent="0.25">
      <c r="A1006" s="3">
        <v>45713.802384259259</v>
      </c>
      <c r="B1006" t="s">
        <v>104</v>
      </c>
      <c r="C1006" s="3">
        <v>45713.80263888889</v>
      </c>
      <c r="D1006" t="s">
        <v>104</v>
      </c>
      <c r="E1006" s="4">
        <v>2E-3</v>
      </c>
      <c r="F1006" s="4">
        <v>548382.30599999998</v>
      </c>
      <c r="G1006" s="4">
        <v>548382.30799999996</v>
      </c>
      <c r="H1006" s="5">
        <f>19 / 86400</f>
        <v>2.199074074074074E-4</v>
      </c>
      <c r="I1006" t="s">
        <v>22</v>
      </c>
      <c r="J1006" t="s">
        <v>22</v>
      </c>
      <c r="K1006" s="5">
        <f>21 / 86400</f>
        <v>2.4305555555555555E-4</v>
      </c>
      <c r="L1006" s="5">
        <f>2642 / 86400</f>
        <v>3.0578703703703705E-2</v>
      </c>
    </row>
    <row r="1007" spans="1:12" x14ac:dyDescent="0.25">
      <c r="A1007" s="3">
        <v>45713.83321759259</v>
      </c>
      <c r="B1007" t="s">
        <v>104</v>
      </c>
      <c r="C1007" s="3">
        <v>45713.836840277778</v>
      </c>
      <c r="D1007" t="s">
        <v>104</v>
      </c>
      <c r="E1007" s="4">
        <v>0.187</v>
      </c>
      <c r="F1007" s="4">
        <v>548382.30799999996</v>
      </c>
      <c r="G1007" s="4">
        <v>548382.495</v>
      </c>
      <c r="H1007" s="5">
        <f>219 / 86400</f>
        <v>2.5347222222222221E-3</v>
      </c>
      <c r="I1007" t="s">
        <v>53</v>
      </c>
      <c r="J1007" t="s">
        <v>147</v>
      </c>
      <c r="K1007" s="5">
        <f>313 / 86400</f>
        <v>3.6226851851851854E-3</v>
      </c>
      <c r="L1007" s="5">
        <f>14096 / 86400</f>
        <v>0.16314814814814815</v>
      </c>
    </row>
    <row r="1008" spans="1:12" x14ac:dyDescent="0.25">
      <c r="A1008" s="12"/>
      <c r="B1008" s="12"/>
      <c r="C1008" s="12"/>
      <c r="D1008" s="12"/>
      <c r="E1008" s="12"/>
      <c r="F1008" s="12"/>
      <c r="G1008" s="12"/>
      <c r="H1008" s="12"/>
      <c r="I1008" s="12"/>
      <c r="J1008" s="12"/>
    </row>
    <row r="1009" spans="1:12" x14ac:dyDescent="0.25">
      <c r="A1009" s="12"/>
      <c r="B1009" s="12"/>
      <c r="C1009" s="12"/>
      <c r="D1009" s="12"/>
      <c r="E1009" s="12"/>
      <c r="F1009" s="12"/>
      <c r="G1009" s="12"/>
      <c r="H1009" s="12"/>
      <c r="I1009" s="12"/>
      <c r="J1009" s="12"/>
    </row>
    <row r="1010" spans="1:12" s="10" customFormat="1" ht="20.100000000000001" customHeight="1" x14ac:dyDescent="0.35">
      <c r="A1010" s="15" t="s">
        <v>439</v>
      </c>
      <c r="B1010" s="15"/>
      <c r="C1010" s="15"/>
      <c r="D1010" s="15"/>
      <c r="E1010" s="15"/>
      <c r="F1010" s="15"/>
      <c r="G1010" s="15"/>
      <c r="H1010" s="15"/>
      <c r="I1010" s="15"/>
      <c r="J1010" s="15"/>
    </row>
    <row r="1011" spans="1:12" x14ac:dyDescent="0.25">
      <c r="A1011" s="12"/>
      <c r="B1011" s="12"/>
      <c r="C1011" s="12"/>
      <c r="D1011" s="12"/>
      <c r="E1011" s="12"/>
      <c r="F1011" s="12"/>
      <c r="G1011" s="12"/>
      <c r="H1011" s="12"/>
      <c r="I1011" s="12"/>
      <c r="J1011" s="12"/>
    </row>
    <row r="1012" spans="1:12" ht="30" x14ac:dyDescent="0.25">
      <c r="A1012" s="2" t="s">
        <v>6</v>
      </c>
      <c r="B1012" s="2" t="s">
        <v>7</v>
      </c>
      <c r="C1012" s="2" t="s">
        <v>8</v>
      </c>
      <c r="D1012" s="2" t="s">
        <v>9</v>
      </c>
      <c r="E1012" s="2" t="s">
        <v>10</v>
      </c>
      <c r="F1012" s="2" t="s">
        <v>11</v>
      </c>
      <c r="G1012" s="2" t="s">
        <v>12</v>
      </c>
      <c r="H1012" s="2" t="s">
        <v>13</v>
      </c>
      <c r="I1012" s="2" t="s">
        <v>14</v>
      </c>
      <c r="J1012" s="2" t="s">
        <v>15</v>
      </c>
      <c r="K1012" s="2" t="s">
        <v>16</v>
      </c>
      <c r="L1012" s="2" t="s">
        <v>17</v>
      </c>
    </row>
    <row r="1013" spans="1:12" x14ac:dyDescent="0.25">
      <c r="A1013" s="3">
        <v>45713</v>
      </c>
      <c r="B1013" t="s">
        <v>107</v>
      </c>
      <c r="C1013" s="3">
        <v>45713.09710648148</v>
      </c>
      <c r="D1013" t="s">
        <v>376</v>
      </c>
      <c r="E1013" s="4">
        <v>49.267000000000003</v>
      </c>
      <c r="F1013" s="4">
        <v>106726.01300000001</v>
      </c>
      <c r="G1013" s="4">
        <v>106775.28</v>
      </c>
      <c r="H1013" s="5">
        <f>3560 / 86400</f>
        <v>4.1203703703703701E-2</v>
      </c>
      <c r="I1013" t="s">
        <v>65</v>
      </c>
      <c r="J1013" t="s">
        <v>125</v>
      </c>
      <c r="K1013" s="5">
        <f>8390 / 86400</f>
        <v>9.7106481481481488E-2</v>
      </c>
      <c r="L1013" s="5">
        <f>222 / 86400</f>
        <v>2.5694444444444445E-3</v>
      </c>
    </row>
    <row r="1014" spans="1:12" x14ac:dyDescent="0.25">
      <c r="A1014" s="3">
        <v>45713.099675925929</v>
      </c>
      <c r="B1014" t="s">
        <v>376</v>
      </c>
      <c r="C1014" s="3">
        <v>45713.101030092592</v>
      </c>
      <c r="D1014" t="s">
        <v>116</v>
      </c>
      <c r="E1014" s="4">
        <v>0.55800000000000005</v>
      </c>
      <c r="F1014" s="4">
        <v>106775.28</v>
      </c>
      <c r="G1014" s="4">
        <v>106775.838</v>
      </c>
      <c r="H1014" s="5">
        <f>0 / 86400</f>
        <v>0</v>
      </c>
      <c r="I1014" t="s">
        <v>176</v>
      </c>
      <c r="J1014" t="s">
        <v>20</v>
      </c>
      <c r="K1014" s="5">
        <f>117 / 86400</f>
        <v>1.3541666666666667E-3</v>
      </c>
      <c r="L1014" s="5">
        <f>504 / 86400</f>
        <v>5.8333333333333336E-3</v>
      </c>
    </row>
    <row r="1015" spans="1:12" x14ac:dyDescent="0.25">
      <c r="A1015" s="3">
        <v>45713.106863425928</v>
      </c>
      <c r="B1015" t="s">
        <v>116</v>
      </c>
      <c r="C1015" s="3">
        <v>45713.107523148152</v>
      </c>
      <c r="D1015" t="s">
        <v>116</v>
      </c>
      <c r="E1015" s="4">
        <v>8.5999999999999993E-2</v>
      </c>
      <c r="F1015" s="4">
        <v>106775.838</v>
      </c>
      <c r="G1015" s="4">
        <v>106775.924</v>
      </c>
      <c r="H1015" s="5">
        <f>0 / 86400</f>
        <v>0</v>
      </c>
      <c r="I1015" t="s">
        <v>29</v>
      </c>
      <c r="J1015" t="s">
        <v>146</v>
      </c>
      <c r="K1015" s="5">
        <f>57 / 86400</f>
        <v>6.5972222222222224E-4</v>
      </c>
      <c r="L1015" s="5">
        <f>15881 / 86400</f>
        <v>0.18380787037037036</v>
      </c>
    </row>
    <row r="1016" spans="1:12" x14ac:dyDescent="0.25">
      <c r="A1016" s="3">
        <v>45713.291331018518</v>
      </c>
      <c r="B1016" t="s">
        <v>116</v>
      </c>
      <c r="C1016" s="3">
        <v>45713.46329861111</v>
      </c>
      <c r="D1016" t="s">
        <v>380</v>
      </c>
      <c r="E1016" s="4">
        <v>77.016999999999996</v>
      </c>
      <c r="F1016" s="4">
        <v>106775.924</v>
      </c>
      <c r="G1016" s="4">
        <v>106852.94100000001</v>
      </c>
      <c r="H1016" s="5">
        <f>5358 / 86400</f>
        <v>6.2013888888888889E-2</v>
      </c>
      <c r="I1016" t="s">
        <v>19</v>
      </c>
      <c r="J1016" t="s">
        <v>92</v>
      </c>
      <c r="K1016" s="5">
        <f>14858 / 86400</f>
        <v>0.17196759259259259</v>
      </c>
      <c r="L1016" s="5">
        <f>308 / 86400</f>
        <v>3.5648148148148149E-3</v>
      </c>
    </row>
    <row r="1017" spans="1:12" x14ac:dyDescent="0.25">
      <c r="A1017" s="3">
        <v>45713.466863425929</v>
      </c>
      <c r="B1017" t="s">
        <v>380</v>
      </c>
      <c r="C1017" s="3">
        <v>45713.469027777777</v>
      </c>
      <c r="D1017" t="s">
        <v>126</v>
      </c>
      <c r="E1017" s="4">
        <v>0.54</v>
      </c>
      <c r="F1017" s="4">
        <v>106852.94100000001</v>
      </c>
      <c r="G1017" s="4">
        <v>106853.481</v>
      </c>
      <c r="H1017" s="5">
        <f>58 / 86400</f>
        <v>6.7129629629629625E-4</v>
      </c>
      <c r="I1017" t="s">
        <v>196</v>
      </c>
      <c r="J1017" t="s">
        <v>134</v>
      </c>
      <c r="K1017" s="5">
        <f>187 / 86400</f>
        <v>2.1643518518518518E-3</v>
      </c>
      <c r="L1017" s="5">
        <f>717 / 86400</f>
        <v>8.2986111111111108E-3</v>
      </c>
    </row>
    <row r="1018" spans="1:12" x14ac:dyDescent="0.25">
      <c r="A1018" s="3">
        <v>45713.477326388893</v>
      </c>
      <c r="B1018" t="s">
        <v>126</v>
      </c>
      <c r="C1018" s="3">
        <v>45713.48060185185</v>
      </c>
      <c r="D1018" t="s">
        <v>132</v>
      </c>
      <c r="E1018" s="4">
        <v>0.98599999999999999</v>
      </c>
      <c r="F1018" s="4">
        <v>106853.481</v>
      </c>
      <c r="G1018" s="4">
        <v>106854.467</v>
      </c>
      <c r="H1018" s="5">
        <f>38 / 86400</f>
        <v>4.3981481481481481E-4</v>
      </c>
      <c r="I1018" t="s">
        <v>150</v>
      </c>
      <c r="J1018" t="s">
        <v>45</v>
      </c>
      <c r="K1018" s="5">
        <f>283 / 86400</f>
        <v>3.2754629629629631E-3</v>
      </c>
      <c r="L1018" s="5">
        <f>663 / 86400</f>
        <v>7.6736111111111111E-3</v>
      </c>
    </row>
    <row r="1019" spans="1:12" x14ac:dyDescent="0.25">
      <c r="A1019" s="3">
        <v>45713.488275462965</v>
      </c>
      <c r="B1019" t="s">
        <v>132</v>
      </c>
      <c r="C1019" s="3">
        <v>45713.739212962959</v>
      </c>
      <c r="D1019" t="s">
        <v>115</v>
      </c>
      <c r="E1019" s="4">
        <v>101.386</v>
      </c>
      <c r="F1019" s="4">
        <v>106854.467</v>
      </c>
      <c r="G1019" s="4">
        <v>106955.853</v>
      </c>
      <c r="H1019" s="5">
        <f>7900 / 86400</f>
        <v>9.1435185185185189E-2</v>
      </c>
      <c r="I1019" t="s">
        <v>90</v>
      </c>
      <c r="J1019" t="s">
        <v>20</v>
      </c>
      <c r="K1019" s="5">
        <f>21681 / 86400</f>
        <v>0.25093749999999998</v>
      </c>
      <c r="L1019" s="5">
        <f>156 / 86400</f>
        <v>1.8055555555555555E-3</v>
      </c>
    </row>
    <row r="1020" spans="1:12" x14ac:dyDescent="0.25">
      <c r="A1020" s="3">
        <v>45713.741018518514</v>
      </c>
      <c r="B1020" t="s">
        <v>115</v>
      </c>
      <c r="C1020" s="3">
        <v>45713.741168981476</v>
      </c>
      <c r="D1020" t="s">
        <v>115</v>
      </c>
      <c r="E1020" s="4">
        <v>1.6E-2</v>
      </c>
      <c r="F1020" s="4">
        <v>106955.853</v>
      </c>
      <c r="G1020" s="4">
        <v>106955.86900000001</v>
      </c>
      <c r="H1020" s="5">
        <f>0 / 86400</f>
        <v>0</v>
      </c>
      <c r="I1020" t="s">
        <v>22</v>
      </c>
      <c r="J1020" t="s">
        <v>141</v>
      </c>
      <c r="K1020" s="5">
        <f>13 / 86400</f>
        <v>1.5046296296296297E-4</v>
      </c>
      <c r="L1020" s="5">
        <f>167 / 86400</f>
        <v>1.9328703703703704E-3</v>
      </c>
    </row>
    <row r="1021" spans="1:12" x14ac:dyDescent="0.25">
      <c r="A1021" s="3">
        <v>45713.743101851855</v>
      </c>
      <c r="B1021" t="s">
        <v>115</v>
      </c>
      <c r="C1021" s="3">
        <v>45713.90347222222</v>
      </c>
      <c r="D1021" t="s">
        <v>194</v>
      </c>
      <c r="E1021" s="4">
        <v>76.491</v>
      </c>
      <c r="F1021" s="4">
        <v>106955.86900000001</v>
      </c>
      <c r="G1021" s="4">
        <v>107032.36</v>
      </c>
      <c r="H1021" s="5">
        <f>5099 / 86400</f>
        <v>5.9016203703703703E-2</v>
      </c>
      <c r="I1021" t="s">
        <v>37</v>
      </c>
      <c r="J1021" t="s">
        <v>111</v>
      </c>
      <c r="K1021" s="5">
        <f>13856 / 86400</f>
        <v>0.16037037037037036</v>
      </c>
      <c r="L1021" s="5">
        <f>632 / 86400</f>
        <v>7.3148148148148148E-3</v>
      </c>
    </row>
    <row r="1022" spans="1:12" x14ac:dyDescent="0.25">
      <c r="A1022" s="3">
        <v>45713.910787037035</v>
      </c>
      <c r="B1022" t="s">
        <v>194</v>
      </c>
      <c r="C1022" s="3">
        <v>45713.996851851851</v>
      </c>
      <c r="D1022" t="s">
        <v>108</v>
      </c>
      <c r="E1022" s="4">
        <v>44.844999999999999</v>
      </c>
      <c r="F1022" s="4">
        <v>107032.36</v>
      </c>
      <c r="G1022" s="4">
        <v>107077.205</v>
      </c>
      <c r="H1022" s="5">
        <f>2557 / 86400</f>
        <v>2.9594907407407407E-2</v>
      </c>
      <c r="I1022" t="s">
        <v>381</v>
      </c>
      <c r="J1022" t="s">
        <v>136</v>
      </c>
      <c r="K1022" s="5">
        <f>7436 / 86400</f>
        <v>8.6064814814814816E-2</v>
      </c>
      <c r="L1022" s="5">
        <f>271 / 86400</f>
        <v>3.1365740740740742E-3</v>
      </c>
    </row>
    <row r="1023" spans="1:12" x14ac:dyDescent="0.25">
      <c r="A1023" s="12"/>
      <c r="B1023" s="12"/>
      <c r="C1023" s="12"/>
      <c r="D1023" s="12"/>
      <c r="E1023" s="12"/>
      <c r="F1023" s="12"/>
      <c r="G1023" s="12"/>
      <c r="H1023" s="12"/>
      <c r="I1023" s="12"/>
      <c r="J1023" s="12"/>
    </row>
    <row r="1024" spans="1:12" x14ac:dyDescent="0.25">
      <c r="A1024" s="12"/>
      <c r="B1024" s="12"/>
      <c r="C1024" s="12"/>
      <c r="D1024" s="12"/>
      <c r="E1024" s="12"/>
      <c r="F1024" s="12"/>
      <c r="G1024" s="12"/>
      <c r="H1024" s="12"/>
      <c r="I1024" s="12"/>
      <c r="J1024" s="12"/>
    </row>
    <row r="1025" spans="1:12" s="10" customFormat="1" ht="20.100000000000001" customHeight="1" x14ac:dyDescent="0.35">
      <c r="A1025" s="15" t="s">
        <v>440</v>
      </c>
      <c r="B1025" s="15"/>
      <c r="C1025" s="15"/>
      <c r="D1025" s="15"/>
      <c r="E1025" s="15"/>
      <c r="F1025" s="15"/>
      <c r="G1025" s="15"/>
      <c r="H1025" s="15"/>
      <c r="I1025" s="15"/>
      <c r="J1025" s="15"/>
    </row>
    <row r="1026" spans="1:12" x14ac:dyDescent="0.25">
      <c r="A1026" s="12"/>
      <c r="B1026" s="12"/>
      <c r="C1026" s="12"/>
      <c r="D1026" s="12"/>
      <c r="E1026" s="12"/>
      <c r="F1026" s="12"/>
      <c r="G1026" s="12"/>
      <c r="H1026" s="12"/>
      <c r="I1026" s="12"/>
      <c r="J1026" s="12"/>
    </row>
    <row r="1027" spans="1:12" ht="30" x14ac:dyDescent="0.25">
      <c r="A1027" s="2" t="s">
        <v>6</v>
      </c>
      <c r="B1027" s="2" t="s">
        <v>7</v>
      </c>
      <c r="C1027" s="2" t="s">
        <v>8</v>
      </c>
      <c r="D1027" s="2" t="s">
        <v>9</v>
      </c>
      <c r="E1027" s="2" t="s">
        <v>10</v>
      </c>
      <c r="F1027" s="2" t="s">
        <v>11</v>
      </c>
      <c r="G1027" s="2" t="s">
        <v>12</v>
      </c>
      <c r="H1027" s="2" t="s">
        <v>13</v>
      </c>
      <c r="I1027" s="2" t="s">
        <v>14</v>
      </c>
      <c r="J1027" s="2" t="s">
        <v>15</v>
      </c>
      <c r="K1027" s="2" t="s">
        <v>16</v>
      </c>
      <c r="L1027" s="2" t="s">
        <v>17</v>
      </c>
    </row>
    <row r="1028" spans="1:12" x14ac:dyDescent="0.25">
      <c r="A1028" s="3">
        <v>45713.722222222219</v>
      </c>
      <c r="B1028" t="s">
        <v>56</v>
      </c>
      <c r="C1028" s="3">
        <v>45713.72592592593</v>
      </c>
      <c r="D1028" t="s">
        <v>56</v>
      </c>
      <c r="E1028" s="4">
        <v>0</v>
      </c>
      <c r="F1028" s="4">
        <v>54578.572999999997</v>
      </c>
      <c r="G1028" s="4">
        <v>54578.572999999997</v>
      </c>
      <c r="H1028" s="5">
        <f>300 / 86400</f>
        <v>3.472222222222222E-3</v>
      </c>
      <c r="I1028" t="s">
        <v>22</v>
      </c>
      <c r="J1028" t="s">
        <v>22</v>
      </c>
      <c r="K1028" s="5">
        <f>320 / 86400</f>
        <v>3.7037037037037038E-3</v>
      </c>
      <c r="L1028" s="5">
        <f>86079 / 86400</f>
        <v>0.9962847222222222</v>
      </c>
    </row>
    <row r="1029" spans="1:12" x14ac:dyDescent="0.25">
      <c r="A1029" s="12"/>
      <c r="B1029" s="12"/>
      <c r="C1029" s="12"/>
      <c r="D1029" s="12"/>
      <c r="E1029" s="12"/>
      <c r="F1029" s="12"/>
      <c r="G1029" s="12"/>
      <c r="H1029" s="12"/>
      <c r="I1029" s="12"/>
      <c r="J1029" s="12"/>
    </row>
    <row r="1030" spans="1:12" x14ac:dyDescent="0.25">
      <c r="A1030" s="12"/>
      <c r="B1030" s="12"/>
      <c r="C1030" s="12"/>
      <c r="D1030" s="12"/>
      <c r="E1030" s="12"/>
      <c r="F1030" s="12"/>
      <c r="G1030" s="12"/>
      <c r="H1030" s="12"/>
      <c r="I1030" s="12"/>
      <c r="J1030" s="12"/>
    </row>
    <row r="1031" spans="1:12" s="10" customFormat="1" ht="20.100000000000001" customHeight="1" x14ac:dyDescent="0.35">
      <c r="A1031" s="15" t="s">
        <v>441</v>
      </c>
      <c r="B1031" s="15"/>
      <c r="C1031" s="15"/>
      <c r="D1031" s="15"/>
      <c r="E1031" s="15"/>
      <c r="F1031" s="15"/>
      <c r="G1031" s="15"/>
      <c r="H1031" s="15"/>
      <c r="I1031" s="15"/>
      <c r="J1031" s="15"/>
    </row>
    <row r="1032" spans="1:12" x14ac:dyDescent="0.25">
      <c r="A1032" s="12"/>
      <c r="B1032" s="12"/>
      <c r="C1032" s="12"/>
      <c r="D1032" s="12"/>
      <c r="E1032" s="12"/>
      <c r="F1032" s="12"/>
      <c r="G1032" s="12"/>
      <c r="H1032" s="12"/>
      <c r="I1032" s="12"/>
      <c r="J1032" s="12"/>
    </row>
    <row r="1033" spans="1:12" ht="30" x14ac:dyDescent="0.25">
      <c r="A1033" s="2" t="s">
        <v>6</v>
      </c>
      <c r="B1033" s="2" t="s">
        <v>7</v>
      </c>
      <c r="C1033" s="2" t="s">
        <v>8</v>
      </c>
      <c r="D1033" s="2" t="s">
        <v>9</v>
      </c>
      <c r="E1033" s="2" t="s">
        <v>10</v>
      </c>
      <c r="F1033" s="2" t="s">
        <v>11</v>
      </c>
      <c r="G1033" s="2" t="s">
        <v>12</v>
      </c>
      <c r="H1033" s="2" t="s">
        <v>13</v>
      </c>
      <c r="I1033" s="2" t="s">
        <v>14</v>
      </c>
      <c r="J1033" s="2" t="s">
        <v>15</v>
      </c>
      <c r="K1033" s="2" t="s">
        <v>16</v>
      </c>
      <c r="L1033" s="2" t="s">
        <v>17</v>
      </c>
    </row>
    <row r="1034" spans="1:12" x14ac:dyDescent="0.25">
      <c r="A1034" s="3">
        <v>45713.252199074079</v>
      </c>
      <c r="B1034" t="s">
        <v>109</v>
      </c>
      <c r="C1034" s="3">
        <v>45713.333078703705</v>
      </c>
      <c r="D1034" t="s">
        <v>238</v>
      </c>
      <c r="E1034" s="4">
        <v>38.317</v>
      </c>
      <c r="F1034" s="4">
        <v>47631.031000000003</v>
      </c>
      <c r="G1034" s="4">
        <v>47669.347999999998</v>
      </c>
      <c r="H1034" s="5">
        <f>2599 / 86400</f>
        <v>3.0081018518518517E-2</v>
      </c>
      <c r="I1034" t="s">
        <v>87</v>
      </c>
      <c r="J1034" t="s">
        <v>111</v>
      </c>
      <c r="K1034" s="5">
        <f>6988 / 86400</f>
        <v>8.0879629629629635E-2</v>
      </c>
      <c r="L1034" s="5">
        <f>21848 / 86400</f>
        <v>0.25287037037037036</v>
      </c>
    </row>
    <row r="1035" spans="1:12" x14ac:dyDescent="0.25">
      <c r="A1035" s="3">
        <v>45713.333750000005</v>
      </c>
      <c r="B1035" t="s">
        <v>238</v>
      </c>
      <c r="C1035" s="3">
        <v>45713.408067129625</v>
      </c>
      <c r="D1035" t="s">
        <v>316</v>
      </c>
      <c r="E1035" s="4">
        <v>39.064999999999998</v>
      </c>
      <c r="F1035" s="4">
        <v>47669.347999999998</v>
      </c>
      <c r="G1035" s="4">
        <v>47708.413</v>
      </c>
      <c r="H1035" s="5">
        <f>1780 / 86400</f>
        <v>2.060185185185185E-2</v>
      </c>
      <c r="I1035" t="s">
        <v>75</v>
      </c>
      <c r="J1035" t="s">
        <v>136</v>
      </c>
      <c r="K1035" s="5">
        <f>6421 / 86400</f>
        <v>7.4317129629629636E-2</v>
      </c>
      <c r="L1035" s="5">
        <f>2881 / 86400</f>
        <v>3.3344907407407406E-2</v>
      </c>
    </row>
    <row r="1036" spans="1:12" x14ac:dyDescent="0.25">
      <c r="A1036" s="3">
        <v>45713.441412037035</v>
      </c>
      <c r="B1036" t="s">
        <v>316</v>
      </c>
      <c r="C1036" s="3">
        <v>45713.442442129628</v>
      </c>
      <c r="D1036" t="s">
        <v>316</v>
      </c>
      <c r="E1036" s="4">
        <v>0.11</v>
      </c>
      <c r="F1036" s="4">
        <v>47708.413</v>
      </c>
      <c r="G1036" s="4">
        <v>47708.523000000001</v>
      </c>
      <c r="H1036" s="5">
        <f>37 / 86400</f>
        <v>4.2824074074074075E-4</v>
      </c>
      <c r="I1036" t="s">
        <v>76</v>
      </c>
      <c r="J1036" t="s">
        <v>141</v>
      </c>
      <c r="K1036" s="5">
        <f>89 / 86400</f>
        <v>1.0300925925925926E-3</v>
      </c>
      <c r="L1036" s="5">
        <f>322 / 86400</f>
        <v>3.7268518518518519E-3</v>
      </c>
    </row>
    <row r="1037" spans="1:12" x14ac:dyDescent="0.25">
      <c r="A1037" s="3">
        <v>45713.446168981478</v>
      </c>
      <c r="B1037" t="s">
        <v>316</v>
      </c>
      <c r="C1037" s="3">
        <v>45713.451157407406</v>
      </c>
      <c r="D1037" t="s">
        <v>109</v>
      </c>
      <c r="E1037" s="4">
        <v>1.647</v>
      </c>
      <c r="F1037" s="4">
        <v>47708.523000000001</v>
      </c>
      <c r="G1037" s="4">
        <v>47710.17</v>
      </c>
      <c r="H1037" s="5">
        <f>100 / 86400</f>
        <v>1.1574074074074073E-3</v>
      </c>
      <c r="I1037" t="s">
        <v>182</v>
      </c>
      <c r="J1037" t="s">
        <v>29</v>
      </c>
      <c r="K1037" s="5">
        <f>431 / 86400</f>
        <v>4.9884259259259257E-3</v>
      </c>
      <c r="L1037" s="5">
        <f>713 / 86400</f>
        <v>8.2523148148148148E-3</v>
      </c>
    </row>
    <row r="1038" spans="1:12" x14ac:dyDescent="0.25">
      <c r="A1038" s="3">
        <v>45713.459409722222</v>
      </c>
      <c r="B1038" t="s">
        <v>109</v>
      </c>
      <c r="C1038" s="3">
        <v>45713.459618055553</v>
      </c>
      <c r="D1038" t="s">
        <v>109</v>
      </c>
      <c r="E1038" s="4">
        <v>0</v>
      </c>
      <c r="F1038" s="4">
        <v>47710.17</v>
      </c>
      <c r="G1038" s="4">
        <v>47710.17</v>
      </c>
      <c r="H1038" s="5">
        <f>0 / 86400</f>
        <v>0</v>
      </c>
      <c r="I1038" t="s">
        <v>22</v>
      </c>
      <c r="J1038" t="s">
        <v>22</v>
      </c>
      <c r="K1038" s="5">
        <f>18 / 86400</f>
        <v>2.0833333333333335E-4</v>
      </c>
      <c r="L1038" s="5">
        <f>44 / 86400</f>
        <v>5.0925925925925921E-4</v>
      </c>
    </row>
    <row r="1039" spans="1:12" x14ac:dyDescent="0.25">
      <c r="A1039" s="3">
        <v>45713.460127314815</v>
      </c>
      <c r="B1039" t="s">
        <v>109</v>
      </c>
      <c r="C1039" s="3">
        <v>45713.462546296301</v>
      </c>
      <c r="D1039" t="s">
        <v>109</v>
      </c>
      <c r="E1039" s="4">
        <v>0</v>
      </c>
      <c r="F1039" s="4">
        <v>47710.17</v>
      </c>
      <c r="G1039" s="4">
        <v>47710.17</v>
      </c>
      <c r="H1039" s="5">
        <f>197 / 86400</f>
        <v>2.2800925925925927E-3</v>
      </c>
      <c r="I1039" t="s">
        <v>22</v>
      </c>
      <c r="J1039" t="s">
        <v>22</v>
      </c>
      <c r="K1039" s="5">
        <f>209 / 86400</f>
        <v>2.4189814814814816E-3</v>
      </c>
      <c r="L1039" s="5">
        <f>3131 / 86400</f>
        <v>3.6238425925925924E-2</v>
      </c>
    </row>
    <row r="1040" spans="1:12" x14ac:dyDescent="0.25">
      <c r="A1040" s="3">
        <v>45713.498784722222</v>
      </c>
      <c r="B1040" t="s">
        <v>109</v>
      </c>
      <c r="C1040" s="3">
        <v>45713.499224537038</v>
      </c>
      <c r="D1040" t="s">
        <v>109</v>
      </c>
      <c r="E1040" s="4">
        <v>0</v>
      </c>
      <c r="F1040" s="4">
        <v>47710.17</v>
      </c>
      <c r="G1040" s="4">
        <v>47710.17</v>
      </c>
      <c r="H1040" s="5">
        <f>17 / 86400</f>
        <v>1.9675925925925926E-4</v>
      </c>
      <c r="I1040" t="s">
        <v>22</v>
      </c>
      <c r="J1040" t="s">
        <v>22</v>
      </c>
      <c r="K1040" s="5">
        <f>38 / 86400</f>
        <v>4.3981481481481481E-4</v>
      </c>
      <c r="L1040" s="5">
        <f>355 / 86400</f>
        <v>4.1087962962962962E-3</v>
      </c>
    </row>
    <row r="1041" spans="1:12" x14ac:dyDescent="0.25">
      <c r="A1041" s="3">
        <v>45713.503333333334</v>
      </c>
      <c r="B1041" t="s">
        <v>109</v>
      </c>
      <c r="C1041" s="3">
        <v>45713.505972222221</v>
      </c>
      <c r="D1041" t="s">
        <v>109</v>
      </c>
      <c r="E1041" s="4">
        <v>5.3999999999999999E-2</v>
      </c>
      <c r="F1041" s="4">
        <v>47710.17</v>
      </c>
      <c r="G1041" s="4">
        <v>47710.224000000002</v>
      </c>
      <c r="H1041" s="5">
        <f>196 / 86400</f>
        <v>2.2685185185185187E-3</v>
      </c>
      <c r="I1041" t="s">
        <v>134</v>
      </c>
      <c r="J1041" t="s">
        <v>144</v>
      </c>
      <c r="K1041" s="5">
        <f>228 / 86400</f>
        <v>2.638888888888889E-3</v>
      </c>
      <c r="L1041" s="5">
        <f>12 / 86400</f>
        <v>1.3888888888888889E-4</v>
      </c>
    </row>
    <row r="1042" spans="1:12" x14ac:dyDescent="0.25">
      <c r="A1042" s="3">
        <v>45713.506111111114</v>
      </c>
      <c r="B1042" t="s">
        <v>109</v>
      </c>
      <c r="C1042" s="3">
        <v>45713.506203703699</v>
      </c>
      <c r="D1042" t="s">
        <v>109</v>
      </c>
      <c r="E1042" s="4">
        <v>0</v>
      </c>
      <c r="F1042" s="4">
        <v>47710.224000000002</v>
      </c>
      <c r="G1042" s="4">
        <v>47710.224000000002</v>
      </c>
      <c r="H1042" s="5">
        <f>0 / 86400</f>
        <v>0</v>
      </c>
      <c r="I1042" t="s">
        <v>22</v>
      </c>
      <c r="J1042" t="s">
        <v>22</v>
      </c>
      <c r="K1042" s="5">
        <f>8 / 86400</f>
        <v>9.2592592592592588E-5</v>
      </c>
      <c r="L1042" s="5">
        <f>5344 / 86400</f>
        <v>6.1851851851851852E-2</v>
      </c>
    </row>
    <row r="1043" spans="1:12" x14ac:dyDescent="0.25">
      <c r="A1043" s="3">
        <v>45713.568055555559</v>
      </c>
      <c r="B1043" t="s">
        <v>110</v>
      </c>
      <c r="C1043" s="3">
        <v>45713.614525462966</v>
      </c>
      <c r="D1043" t="s">
        <v>157</v>
      </c>
      <c r="E1043" s="4">
        <v>24.693999999999999</v>
      </c>
      <c r="F1043" s="4">
        <v>47710.224000000002</v>
      </c>
      <c r="G1043" s="4">
        <v>47734.917999999998</v>
      </c>
      <c r="H1043" s="5">
        <f>1240 / 86400</f>
        <v>1.4351851851851852E-2</v>
      </c>
      <c r="I1043" t="s">
        <v>60</v>
      </c>
      <c r="J1043" t="s">
        <v>136</v>
      </c>
      <c r="K1043" s="5">
        <f>4015 / 86400</f>
        <v>4.6469907407407404E-2</v>
      </c>
      <c r="L1043" s="5">
        <f>222 / 86400</f>
        <v>2.5694444444444445E-3</v>
      </c>
    </row>
    <row r="1044" spans="1:12" x14ac:dyDescent="0.25">
      <c r="A1044" s="3">
        <v>45713.617094907408</v>
      </c>
      <c r="B1044" t="s">
        <v>157</v>
      </c>
      <c r="C1044" s="3">
        <v>45713.617476851854</v>
      </c>
      <c r="D1044" t="s">
        <v>157</v>
      </c>
      <c r="E1044" s="4">
        <v>3.5999999999999997E-2</v>
      </c>
      <c r="F1044" s="4">
        <v>47734.917999999998</v>
      </c>
      <c r="G1044" s="4">
        <v>47734.953999999998</v>
      </c>
      <c r="H1044" s="5">
        <f>17 / 86400</f>
        <v>1.9675925925925926E-4</v>
      </c>
      <c r="I1044" t="s">
        <v>22</v>
      </c>
      <c r="J1044" t="s">
        <v>141</v>
      </c>
      <c r="K1044" s="5">
        <f>33 / 86400</f>
        <v>3.8194444444444446E-4</v>
      </c>
      <c r="L1044" s="5">
        <f>26 / 86400</f>
        <v>3.0092592592592595E-4</v>
      </c>
    </row>
    <row r="1045" spans="1:12" x14ac:dyDescent="0.25">
      <c r="A1045" s="3">
        <v>45713.617777777778</v>
      </c>
      <c r="B1045" t="s">
        <v>157</v>
      </c>
      <c r="C1045" s="3">
        <v>45713.617905092593</v>
      </c>
      <c r="D1045" t="s">
        <v>157</v>
      </c>
      <c r="E1045" s="4">
        <v>0</v>
      </c>
      <c r="F1045" s="4">
        <v>47734.953999999998</v>
      </c>
      <c r="G1045" s="4">
        <v>47734.953999999998</v>
      </c>
      <c r="H1045" s="5">
        <f>0 / 86400</f>
        <v>0</v>
      </c>
      <c r="I1045" t="s">
        <v>22</v>
      </c>
      <c r="J1045" t="s">
        <v>22</v>
      </c>
      <c r="K1045" s="5">
        <f>11 / 86400</f>
        <v>1.273148148148148E-4</v>
      </c>
      <c r="L1045" s="5">
        <f>244 / 86400</f>
        <v>2.8240740740740739E-3</v>
      </c>
    </row>
    <row r="1046" spans="1:12" x14ac:dyDescent="0.25">
      <c r="A1046" s="3">
        <v>45713.620729166665</v>
      </c>
      <c r="B1046" t="s">
        <v>157</v>
      </c>
      <c r="C1046" s="3">
        <v>45713.622233796297</v>
      </c>
      <c r="D1046" t="s">
        <v>157</v>
      </c>
      <c r="E1046" s="4">
        <v>0</v>
      </c>
      <c r="F1046" s="4">
        <v>47734.953999999998</v>
      </c>
      <c r="G1046" s="4">
        <v>47734.953999999998</v>
      </c>
      <c r="H1046" s="5">
        <f>117 / 86400</f>
        <v>1.3541666666666667E-3</v>
      </c>
      <c r="I1046" t="s">
        <v>22</v>
      </c>
      <c r="J1046" t="s">
        <v>22</v>
      </c>
      <c r="K1046" s="5">
        <f>130 / 86400</f>
        <v>1.5046296296296296E-3</v>
      </c>
      <c r="L1046" s="5">
        <f>5151 / 86400</f>
        <v>5.9618055555555556E-2</v>
      </c>
    </row>
    <row r="1047" spans="1:12" x14ac:dyDescent="0.25">
      <c r="A1047" s="3">
        <v>45713.681851851856</v>
      </c>
      <c r="B1047" t="s">
        <v>157</v>
      </c>
      <c r="C1047" s="3">
        <v>45713.684884259259</v>
      </c>
      <c r="D1047" t="s">
        <v>157</v>
      </c>
      <c r="E1047" s="4">
        <v>0.49399999999999999</v>
      </c>
      <c r="F1047" s="4">
        <v>47734.953999999998</v>
      </c>
      <c r="G1047" s="4">
        <v>47735.447999999997</v>
      </c>
      <c r="H1047" s="5">
        <f>138 / 86400</f>
        <v>1.5972222222222223E-3</v>
      </c>
      <c r="I1047" t="s">
        <v>166</v>
      </c>
      <c r="J1047" t="s">
        <v>34</v>
      </c>
      <c r="K1047" s="5">
        <f>262 / 86400</f>
        <v>3.0324074074074073E-3</v>
      </c>
      <c r="L1047" s="5">
        <f>9253 / 86400</f>
        <v>0.1070949074074074</v>
      </c>
    </row>
    <row r="1048" spans="1:12" x14ac:dyDescent="0.25">
      <c r="A1048" s="3">
        <v>45713.791979166665</v>
      </c>
      <c r="B1048" t="s">
        <v>157</v>
      </c>
      <c r="C1048" s="3">
        <v>45713.848865740743</v>
      </c>
      <c r="D1048" t="s">
        <v>82</v>
      </c>
      <c r="E1048" s="4">
        <v>26.463999999999999</v>
      </c>
      <c r="F1048" s="4">
        <v>47735.447999999997</v>
      </c>
      <c r="G1048" s="4">
        <v>47761.911999999997</v>
      </c>
      <c r="H1048" s="5">
        <f>1460 / 86400</f>
        <v>1.6898148148148148E-2</v>
      </c>
      <c r="I1048" t="s">
        <v>28</v>
      </c>
      <c r="J1048" t="s">
        <v>92</v>
      </c>
      <c r="K1048" s="5">
        <f>4915 / 86400</f>
        <v>5.6886574074074076E-2</v>
      </c>
      <c r="L1048" s="5">
        <f>31 / 86400</f>
        <v>3.5879629629629629E-4</v>
      </c>
    </row>
    <row r="1049" spans="1:12" x14ac:dyDescent="0.25">
      <c r="A1049" s="3">
        <v>45713.849224537036</v>
      </c>
      <c r="B1049" t="s">
        <v>82</v>
      </c>
      <c r="C1049" s="3">
        <v>45713.849293981482</v>
      </c>
      <c r="D1049" t="s">
        <v>82</v>
      </c>
      <c r="E1049" s="4">
        <v>0</v>
      </c>
      <c r="F1049" s="4">
        <v>47761.911999999997</v>
      </c>
      <c r="G1049" s="4">
        <v>47761.911999999997</v>
      </c>
      <c r="H1049" s="5">
        <f>0 / 86400</f>
        <v>0</v>
      </c>
      <c r="I1049" t="s">
        <v>22</v>
      </c>
      <c r="J1049" t="s">
        <v>22</v>
      </c>
      <c r="K1049" s="5">
        <f>6 / 86400</f>
        <v>6.9444444444444444E-5</v>
      </c>
      <c r="L1049" s="5">
        <f>171 / 86400</f>
        <v>1.9791666666666668E-3</v>
      </c>
    </row>
    <row r="1050" spans="1:12" x14ac:dyDescent="0.25">
      <c r="A1050" s="3">
        <v>45713.851273148146</v>
      </c>
      <c r="B1050" t="s">
        <v>82</v>
      </c>
      <c r="C1050" s="3">
        <v>45713.855092592596</v>
      </c>
      <c r="D1050" t="s">
        <v>382</v>
      </c>
      <c r="E1050" s="4">
        <v>1.2849999999999999</v>
      </c>
      <c r="F1050" s="4">
        <v>47761.911999999997</v>
      </c>
      <c r="G1050" s="4">
        <v>47763.197</v>
      </c>
      <c r="H1050" s="5">
        <f>37 / 86400</f>
        <v>4.2824074074074075E-4</v>
      </c>
      <c r="I1050" t="s">
        <v>164</v>
      </c>
      <c r="J1050" t="s">
        <v>29</v>
      </c>
      <c r="K1050" s="5">
        <f>330 / 86400</f>
        <v>3.8194444444444443E-3</v>
      </c>
      <c r="L1050" s="5">
        <f>1187 / 86400</f>
        <v>1.3738425925925926E-2</v>
      </c>
    </row>
    <row r="1051" spans="1:12" x14ac:dyDescent="0.25">
      <c r="A1051" s="3">
        <v>45713.868831018517</v>
      </c>
      <c r="B1051" t="s">
        <v>382</v>
      </c>
      <c r="C1051" s="3">
        <v>45713.87090277778</v>
      </c>
      <c r="D1051" t="s">
        <v>110</v>
      </c>
      <c r="E1051" s="4">
        <v>0.22800000000000001</v>
      </c>
      <c r="F1051" s="4">
        <v>47763.197</v>
      </c>
      <c r="G1051" s="4">
        <v>47763.425000000003</v>
      </c>
      <c r="H1051" s="5">
        <f>78 / 86400</f>
        <v>9.0277777777777774E-4</v>
      </c>
      <c r="I1051" t="s">
        <v>125</v>
      </c>
      <c r="J1051" t="s">
        <v>146</v>
      </c>
      <c r="K1051" s="5">
        <f>179 / 86400</f>
        <v>2.0717592592592593E-3</v>
      </c>
      <c r="L1051" s="5">
        <f>587 / 86400</f>
        <v>6.7939814814814816E-3</v>
      </c>
    </row>
    <row r="1052" spans="1:12" x14ac:dyDescent="0.25">
      <c r="A1052" s="3">
        <v>45713.877696759257</v>
      </c>
      <c r="B1052" t="s">
        <v>110</v>
      </c>
      <c r="C1052" s="3">
        <v>45713.877916666665</v>
      </c>
      <c r="D1052" t="s">
        <v>110</v>
      </c>
      <c r="E1052" s="4">
        <v>0</v>
      </c>
      <c r="F1052" s="4">
        <v>47763.425000000003</v>
      </c>
      <c r="G1052" s="4">
        <v>47763.425000000003</v>
      </c>
      <c r="H1052" s="5">
        <f>0 / 86400</f>
        <v>0</v>
      </c>
      <c r="I1052" t="s">
        <v>22</v>
      </c>
      <c r="J1052" t="s">
        <v>22</v>
      </c>
      <c r="K1052" s="5">
        <f>19 / 86400</f>
        <v>2.199074074074074E-4</v>
      </c>
      <c r="L1052" s="5">
        <f>10547 / 86400</f>
        <v>0.12207175925925925</v>
      </c>
    </row>
    <row r="1053" spans="1:12" x14ac:dyDescent="0.25">
      <c r="A1053" s="12"/>
      <c r="B1053" s="12"/>
      <c r="C1053" s="12"/>
      <c r="D1053" s="12"/>
      <c r="E1053" s="12"/>
      <c r="F1053" s="12"/>
      <c r="G1053" s="12"/>
      <c r="H1053" s="12"/>
      <c r="I1053" s="12"/>
      <c r="J1053" s="12"/>
    </row>
    <row r="1054" spans="1:12" x14ac:dyDescent="0.25">
      <c r="A1054" s="12"/>
      <c r="B1054" s="12"/>
      <c r="C1054" s="12"/>
      <c r="D1054" s="12"/>
      <c r="E1054" s="12"/>
      <c r="F1054" s="12"/>
      <c r="G1054" s="12"/>
      <c r="H1054" s="12"/>
      <c r="I1054" s="12"/>
      <c r="J1054" s="12"/>
    </row>
    <row r="1055" spans="1:12" s="10" customFormat="1" ht="20.100000000000001" customHeight="1" x14ac:dyDescent="0.35">
      <c r="A1055" s="15" t="s">
        <v>442</v>
      </c>
      <c r="B1055" s="15"/>
      <c r="C1055" s="15"/>
      <c r="D1055" s="15"/>
      <c r="E1055" s="15"/>
      <c r="F1055" s="15"/>
      <c r="G1055" s="15"/>
      <c r="H1055" s="15"/>
      <c r="I1055" s="15"/>
      <c r="J1055" s="15"/>
    </row>
    <row r="1056" spans="1:12" x14ac:dyDescent="0.25">
      <c r="A1056" s="12"/>
      <c r="B1056" s="12"/>
      <c r="C1056" s="12"/>
      <c r="D1056" s="12"/>
      <c r="E1056" s="12"/>
      <c r="F1056" s="12"/>
      <c r="G1056" s="12"/>
      <c r="H1056" s="12"/>
      <c r="I1056" s="12"/>
      <c r="J1056" s="12"/>
    </row>
    <row r="1057" spans="1:12" ht="30" x14ac:dyDescent="0.25">
      <c r="A1057" s="2" t="s">
        <v>6</v>
      </c>
      <c r="B1057" s="2" t="s">
        <v>7</v>
      </c>
      <c r="C1057" s="2" t="s">
        <v>8</v>
      </c>
      <c r="D1057" s="2" t="s">
        <v>9</v>
      </c>
      <c r="E1057" s="2" t="s">
        <v>10</v>
      </c>
      <c r="F1057" s="2" t="s">
        <v>11</v>
      </c>
      <c r="G1057" s="2" t="s">
        <v>12</v>
      </c>
      <c r="H1057" s="2" t="s">
        <v>13</v>
      </c>
      <c r="I1057" s="2" t="s">
        <v>14</v>
      </c>
      <c r="J1057" s="2" t="s">
        <v>15</v>
      </c>
      <c r="K1057" s="2" t="s">
        <v>16</v>
      </c>
      <c r="L1057" s="2" t="s">
        <v>17</v>
      </c>
    </row>
    <row r="1058" spans="1:12" x14ac:dyDescent="0.25">
      <c r="A1058" s="3">
        <v>45713</v>
      </c>
      <c r="B1058" t="s">
        <v>112</v>
      </c>
      <c r="C1058" s="3">
        <v>45713.012349537035</v>
      </c>
      <c r="D1058" t="s">
        <v>39</v>
      </c>
      <c r="E1058" s="4">
        <v>10.318</v>
      </c>
      <c r="F1058" s="4">
        <v>43842.288999999997</v>
      </c>
      <c r="G1058" s="4">
        <v>43852.607000000004</v>
      </c>
      <c r="H1058" s="5">
        <f>90 / 86400</f>
        <v>1.0416666666666667E-3</v>
      </c>
      <c r="I1058" t="s">
        <v>160</v>
      </c>
      <c r="J1058" t="s">
        <v>33</v>
      </c>
      <c r="K1058" s="5">
        <f>1067 / 86400</f>
        <v>1.2349537037037037E-2</v>
      </c>
      <c r="L1058" s="5">
        <f>921 / 86400</f>
        <v>1.0659722222222221E-2</v>
      </c>
    </row>
    <row r="1059" spans="1:12" x14ac:dyDescent="0.25">
      <c r="A1059" s="3">
        <v>45713.023009259261</v>
      </c>
      <c r="B1059" t="s">
        <v>39</v>
      </c>
      <c r="C1059" s="3">
        <v>45713.023518518516</v>
      </c>
      <c r="D1059" t="s">
        <v>383</v>
      </c>
      <c r="E1059" s="4">
        <v>2.3E-2</v>
      </c>
      <c r="F1059" s="4">
        <v>43852.607000000004</v>
      </c>
      <c r="G1059" s="4">
        <v>43852.63</v>
      </c>
      <c r="H1059" s="5">
        <f>2 / 86400</f>
        <v>2.3148148148148147E-5</v>
      </c>
      <c r="I1059" t="s">
        <v>146</v>
      </c>
      <c r="J1059" t="s">
        <v>147</v>
      </c>
      <c r="K1059" s="5">
        <f>44 / 86400</f>
        <v>5.0925925925925921E-4</v>
      </c>
      <c r="L1059" s="5">
        <f>1541 / 86400</f>
        <v>1.7835648148148149E-2</v>
      </c>
    </row>
    <row r="1060" spans="1:12" x14ac:dyDescent="0.25">
      <c r="A1060" s="3">
        <v>45713.041354166664</v>
      </c>
      <c r="B1060" t="s">
        <v>383</v>
      </c>
      <c r="C1060" s="3">
        <v>45713.04488425926</v>
      </c>
      <c r="D1060" t="s">
        <v>384</v>
      </c>
      <c r="E1060" s="4">
        <v>1.216</v>
      </c>
      <c r="F1060" s="4">
        <v>43852.63</v>
      </c>
      <c r="G1060" s="4">
        <v>43853.845999999998</v>
      </c>
      <c r="H1060" s="5">
        <f>61 / 86400</f>
        <v>7.0601851851851847E-4</v>
      </c>
      <c r="I1060" t="s">
        <v>193</v>
      </c>
      <c r="J1060" t="s">
        <v>29</v>
      </c>
      <c r="K1060" s="5">
        <f>305 / 86400</f>
        <v>3.5300925925925925E-3</v>
      </c>
      <c r="L1060" s="5">
        <f>12302 / 86400</f>
        <v>0.14238425925925927</v>
      </c>
    </row>
    <row r="1061" spans="1:12" x14ac:dyDescent="0.25">
      <c r="A1061" s="3">
        <v>45713.187268518523</v>
      </c>
      <c r="B1061" t="s">
        <v>384</v>
      </c>
      <c r="C1061" s="3">
        <v>45713.373657407406</v>
      </c>
      <c r="D1061" t="s">
        <v>126</v>
      </c>
      <c r="E1061" s="4">
        <v>89.710999999999999</v>
      </c>
      <c r="F1061" s="4">
        <v>43853.845999999998</v>
      </c>
      <c r="G1061" s="4">
        <v>43943.557000000001</v>
      </c>
      <c r="H1061" s="5">
        <f>4740 / 86400</f>
        <v>5.486111111111111E-2</v>
      </c>
      <c r="I1061" t="s">
        <v>65</v>
      </c>
      <c r="J1061" t="s">
        <v>111</v>
      </c>
      <c r="K1061" s="5">
        <f>16104 / 86400</f>
        <v>0.18638888888888888</v>
      </c>
      <c r="L1061" s="5">
        <f>1678 / 86400</f>
        <v>1.9421296296296298E-2</v>
      </c>
    </row>
    <row r="1062" spans="1:12" x14ac:dyDescent="0.25">
      <c r="A1062" s="3">
        <v>45713.393078703702</v>
      </c>
      <c r="B1062" t="s">
        <v>126</v>
      </c>
      <c r="C1062" s="3">
        <v>45713.396192129629</v>
      </c>
      <c r="D1062" t="s">
        <v>82</v>
      </c>
      <c r="E1062" s="4">
        <v>0.80200000000000005</v>
      </c>
      <c r="F1062" s="4">
        <v>43943.557000000001</v>
      </c>
      <c r="G1062" s="4">
        <v>43944.358999999997</v>
      </c>
      <c r="H1062" s="5">
        <f>89 / 86400</f>
        <v>1.0300925925925926E-3</v>
      </c>
      <c r="I1062" t="s">
        <v>216</v>
      </c>
      <c r="J1062" t="s">
        <v>53</v>
      </c>
      <c r="K1062" s="5">
        <f>269 / 86400</f>
        <v>3.1134259259259257E-3</v>
      </c>
      <c r="L1062" s="5">
        <f>571 / 86400</f>
        <v>6.6087962962962966E-3</v>
      </c>
    </row>
    <row r="1063" spans="1:12" x14ac:dyDescent="0.25">
      <c r="A1063" s="3">
        <v>45713.402800925927</v>
      </c>
      <c r="B1063" t="s">
        <v>82</v>
      </c>
      <c r="C1063" s="3">
        <v>45713.406863425931</v>
      </c>
      <c r="D1063" t="s">
        <v>132</v>
      </c>
      <c r="E1063" s="4">
        <v>1.2430000000000001</v>
      </c>
      <c r="F1063" s="4">
        <v>43944.358999999997</v>
      </c>
      <c r="G1063" s="4">
        <v>43945.601999999999</v>
      </c>
      <c r="H1063" s="5">
        <f>61 / 86400</f>
        <v>7.0601851851851847E-4</v>
      </c>
      <c r="I1063" t="s">
        <v>196</v>
      </c>
      <c r="J1063" t="s">
        <v>45</v>
      </c>
      <c r="K1063" s="5">
        <f>351 / 86400</f>
        <v>4.0625000000000001E-3</v>
      </c>
      <c r="L1063" s="5">
        <f>1170 / 86400</f>
        <v>1.3541666666666667E-2</v>
      </c>
    </row>
    <row r="1064" spans="1:12" x14ac:dyDescent="0.25">
      <c r="A1064" s="3">
        <v>45713.420405092591</v>
      </c>
      <c r="B1064" t="s">
        <v>132</v>
      </c>
      <c r="C1064" s="3">
        <v>45713.637835648144</v>
      </c>
      <c r="D1064" t="s">
        <v>82</v>
      </c>
      <c r="E1064" s="4">
        <v>97.587999999999994</v>
      </c>
      <c r="F1064" s="4">
        <v>43945.601999999999</v>
      </c>
      <c r="G1064" s="4">
        <v>44043.19</v>
      </c>
      <c r="H1064" s="5">
        <f>5936 / 86400</f>
        <v>6.8703703703703697E-2</v>
      </c>
      <c r="I1064" t="s">
        <v>31</v>
      </c>
      <c r="J1064" t="s">
        <v>92</v>
      </c>
      <c r="K1064" s="5">
        <f>18786 / 86400</f>
        <v>0.21743055555555554</v>
      </c>
      <c r="L1064" s="5">
        <f>554 / 86400</f>
        <v>6.4120370370370373E-3</v>
      </c>
    </row>
    <row r="1065" spans="1:12" x14ac:dyDescent="0.25">
      <c r="A1065" s="3">
        <v>45713.644247685181</v>
      </c>
      <c r="B1065" t="s">
        <v>82</v>
      </c>
      <c r="C1065" s="3">
        <v>45713.907986111109</v>
      </c>
      <c r="D1065" t="s">
        <v>278</v>
      </c>
      <c r="E1065" s="4">
        <v>117.797</v>
      </c>
      <c r="F1065" s="4">
        <v>44043.19</v>
      </c>
      <c r="G1065" s="4">
        <v>44160.987000000001</v>
      </c>
      <c r="H1065" s="5">
        <f>7921 / 86400</f>
        <v>9.1678240740740741E-2</v>
      </c>
      <c r="I1065" t="s">
        <v>47</v>
      </c>
      <c r="J1065" t="s">
        <v>92</v>
      </c>
      <c r="K1065" s="5">
        <f>22787 / 86400</f>
        <v>0.26373842592592595</v>
      </c>
      <c r="L1065" s="5">
        <f>848 / 86400</f>
        <v>9.8148148148148144E-3</v>
      </c>
    </row>
    <row r="1066" spans="1:12" x14ac:dyDescent="0.25">
      <c r="A1066" s="3">
        <v>45713.917800925927</v>
      </c>
      <c r="B1066" t="s">
        <v>278</v>
      </c>
      <c r="C1066" s="3">
        <v>45713.99998842593</v>
      </c>
      <c r="D1066" t="s">
        <v>113</v>
      </c>
      <c r="E1066" s="4">
        <v>44.621000000000002</v>
      </c>
      <c r="F1066" s="4">
        <v>44160.987000000001</v>
      </c>
      <c r="G1066" s="4">
        <v>44205.608</v>
      </c>
      <c r="H1066" s="5">
        <f>1860 / 86400</f>
        <v>2.1527777777777778E-2</v>
      </c>
      <c r="I1066" t="s">
        <v>154</v>
      </c>
      <c r="J1066" t="s">
        <v>38</v>
      </c>
      <c r="K1066" s="5">
        <f>7101 / 86400</f>
        <v>8.2187499999999997E-2</v>
      </c>
      <c r="L1066" s="5">
        <f>0 / 86400</f>
        <v>0</v>
      </c>
    </row>
    <row r="1067" spans="1:12" x14ac:dyDescent="0.25">
      <c r="A1067" s="12"/>
      <c r="B1067" s="12"/>
      <c r="C1067" s="12"/>
      <c r="D1067" s="12"/>
      <c r="E1067" s="12"/>
      <c r="F1067" s="12"/>
      <c r="G1067" s="12"/>
      <c r="H1067" s="12"/>
      <c r="I1067" s="12"/>
      <c r="J1067" s="12"/>
    </row>
    <row r="1068" spans="1:12" x14ac:dyDescent="0.25">
      <c r="A1068" s="12"/>
      <c r="B1068" s="12"/>
      <c r="C1068" s="12"/>
      <c r="D1068" s="12"/>
      <c r="E1068" s="12"/>
      <c r="F1068" s="12"/>
      <c r="G1068" s="12"/>
      <c r="H1068" s="12"/>
      <c r="I1068" s="12"/>
      <c r="J1068" s="12"/>
    </row>
    <row r="1069" spans="1:12" s="10" customFormat="1" ht="20.100000000000001" customHeight="1" x14ac:dyDescent="0.35">
      <c r="A1069" s="15" t="s">
        <v>443</v>
      </c>
      <c r="B1069" s="15"/>
      <c r="C1069" s="15"/>
      <c r="D1069" s="15"/>
      <c r="E1069" s="15"/>
      <c r="F1069" s="15"/>
      <c r="G1069" s="15"/>
      <c r="H1069" s="15"/>
      <c r="I1069" s="15"/>
      <c r="J1069" s="15"/>
    </row>
    <row r="1070" spans="1:12" x14ac:dyDescent="0.25">
      <c r="A1070" s="12"/>
      <c r="B1070" s="12"/>
      <c r="C1070" s="12"/>
      <c r="D1070" s="12"/>
      <c r="E1070" s="12"/>
      <c r="F1070" s="12"/>
      <c r="G1070" s="12"/>
      <c r="H1070" s="12"/>
      <c r="I1070" s="12"/>
      <c r="J1070" s="12"/>
    </row>
    <row r="1071" spans="1:12" ht="30" x14ac:dyDescent="0.25">
      <c r="A1071" s="2" t="s">
        <v>6</v>
      </c>
      <c r="B1071" s="2" t="s">
        <v>7</v>
      </c>
      <c r="C1071" s="2" t="s">
        <v>8</v>
      </c>
      <c r="D1071" s="2" t="s">
        <v>9</v>
      </c>
      <c r="E1071" s="2" t="s">
        <v>10</v>
      </c>
      <c r="F1071" s="2" t="s">
        <v>11</v>
      </c>
      <c r="G1071" s="2" t="s">
        <v>12</v>
      </c>
      <c r="H1071" s="2" t="s">
        <v>13</v>
      </c>
      <c r="I1071" s="2" t="s">
        <v>14</v>
      </c>
      <c r="J1071" s="2" t="s">
        <v>15</v>
      </c>
      <c r="K1071" s="2" t="s">
        <v>16</v>
      </c>
      <c r="L1071" s="2" t="s">
        <v>17</v>
      </c>
    </row>
    <row r="1072" spans="1:12" x14ac:dyDescent="0.25">
      <c r="A1072" s="3">
        <v>45713.25881944444</v>
      </c>
      <c r="B1072" t="s">
        <v>114</v>
      </c>
      <c r="C1072" s="3">
        <v>45713.319872685184</v>
      </c>
      <c r="D1072" t="s">
        <v>307</v>
      </c>
      <c r="E1072" s="4">
        <v>35.091999999999999</v>
      </c>
      <c r="F1072" s="4">
        <v>193784.122</v>
      </c>
      <c r="G1072" s="4">
        <v>193819.21400000001</v>
      </c>
      <c r="H1072" s="5">
        <f>1001 / 86400</f>
        <v>1.1585648148148149E-2</v>
      </c>
      <c r="I1072" t="s">
        <v>19</v>
      </c>
      <c r="J1072" t="s">
        <v>119</v>
      </c>
      <c r="K1072" s="5">
        <f>5274 / 86400</f>
        <v>6.1041666666666668E-2</v>
      </c>
      <c r="L1072" s="5">
        <f>23199 / 86400</f>
        <v>0.26850694444444445</v>
      </c>
    </row>
    <row r="1073" spans="1:12" x14ac:dyDescent="0.25">
      <c r="A1073" s="3">
        <v>45713.329560185186</v>
      </c>
      <c r="B1073" t="s">
        <v>307</v>
      </c>
      <c r="C1073" s="3">
        <v>45713.330324074079</v>
      </c>
      <c r="D1073" t="s">
        <v>132</v>
      </c>
      <c r="E1073" s="4">
        <v>2.9000000000000001E-2</v>
      </c>
      <c r="F1073" s="4">
        <v>193819.21400000001</v>
      </c>
      <c r="G1073" s="4">
        <v>193819.24299999999</v>
      </c>
      <c r="H1073" s="5">
        <f>39 / 86400</f>
        <v>4.5138888888888887E-4</v>
      </c>
      <c r="I1073" t="s">
        <v>141</v>
      </c>
      <c r="J1073" t="s">
        <v>147</v>
      </c>
      <c r="K1073" s="5">
        <f>65 / 86400</f>
        <v>7.5231481481481482E-4</v>
      </c>
      <c r="L1073" s="5">
        <f>557 / 86400</f>
        <v>6.4467592592592588E-3</v>
      </c>
    </row>
    <row r="1074" spans="1:12" x14ac:dyDescent="0.25">
      <c r="A1074" s="3">
        <v>45713.336770833332</v>
      </c>
      <c r="B1074" t="s">
        <v>132</v>
      </c>
      <c r="C1074" s="3">
        <v>45713.338877314818</v>
      </c>
      <c r="D1074" t="s">
        <v>137</v>
      </c>
      <c r="E1074" s="4">
        <v>0.69899999999999995</v>
      </c>
      <c r="F1074" s="4">
        <v>193819.24299999999</v>
      </c>
      <c r="G1074" s="4">
        <v>193819.94200000001</v>
      </c>
      <c r="H1074" s="5">
        <f>0 / 86400</f>
        <v>0</v>
      </c>
      <c r="I1074" t="s">
        <v>136</v>
      </c>
      <c r="J1074" t="s">
        <v>29</v>
      </c>
      <c r="K1074" s="5">
        <f>181 / 86400</f>
        <v>2.0949074074074073E-3</v>
      </c>
      <c r="L1074" s="5">
        <f>490 / 86400</f>
        <v>5.6712962962962967E-3</v>
      </c>
    </row>
    <row r="1075" spans="1:12" x14ac:dyDescent="0.25">
      <c r="A1075" s="3">
        <v>45713.344548611116</v>
      </c>
      <c r="B1075" t="s">
        <v>137</v>
      </c>
      <c r="C1075" s="3">
        <v>45713.488576388889</v>
      </c>
      <c r="D1075" t="s">
        <v>385</v>
      </c>
      <c r="E1075" s="4">
        <v>50.466000000000001</v>
      </c>
      <c r="F1075" s="4">
        <v>193819.94200000001</v>
      </c>
      <c r="G1075" s="4">
        <v>193870.408</v>
      </c>
      <c r="H1075" s="5">
        <f>4599 / 86400</f>
        <v>5.3229166666666668E-2</v>
      </c>
      <c r="I1075" t="s">
        <v>65</v>
      </c>
      <c r="J1075" t="s">
        <v>76</v>
      </c>
      <c r="K1075" s="5">
        <f>12443 / 86400</f>
        <v>0.14401620370370372</v>
      </c>
      <c r="L1075" s="5">
        <f>224 / 86400</f>
        <v>2.5925925925925925E-3</v>
      </c>
    </row>
    <row r="1076" spans="1:12" x14ac:dyDescent="0.25">
      <c r="A1076" s="3">
        <v>45713.491168981476</v>
      </c>
      <c r="B1076" t="s">
        <v>385</v>
      </c>
      <c r="C1076" s="3">
        <v>45713.5621875</v>
      </c>
      <c r="D1076" t="s">
        <v>386</v>
      </c>
      <c r="E1076" s="4">
        <v>18.899999999999999</v>
      </c>
      <c r="F1076" s="4">
        <v>193870.408</v>
      </c>
      <c r="G1076" s="4">
        <v>193889.30799999999</v>
      </c>
      <c r="H1076" s="5">
        <f>2019 / 86400</f>
        <v>2.3368055555555555E-2</v>
      </c>
      <c r="I1076" t="s">
        <v>325</v>
      </c>
      <c r="J1076" t="s">
        <v>53</v>
      </c>
      <c r="K1076" s="5">
        <f>6136 / 86400</f>
        <v>7.1018518518518522E-2</v>
      </c>
      <c r="L1076" s="5">
        <f>313 / 86400</f>
        <v>3.6226851851851854E-3</v>
      </c>
    </row>
    <row r="1077" spans="1:12" x14ac:dyDescent="0.25">
      <c r="A1077" s="3">
        <v>45713.565810185188</v>
      </c>
      <c r="B1077" t="s">
        <v>139</v>
      </c>
      <c r="C1077" s="3">
        <v>45713.570081018523</v>
      </c>
      <c r="D1077" t="s">
        <v>114</v>
      </c>
      <c r="E1077" s="4">
        <v>1.395</v>
      </c>
      <c r="F1077" s="4">
        <v>193889.30799999999</v>
      </c>
      <c r="G1077" s="4">
        <v>193890.70300000001</v>
      </c>
      <c r="H1077" s="5">
        <f>20 / 86400</f>
        <v>2.3148148148148149E-4</v>
      </c>
      <c r="I1077" t="s">
        <v>164</v>
      </c>
      <c r="J1077" t="s">
        <v>29</v>
      </c>
      <c r="K1077" s="5">
        <f>368 / 86400</f>
        <v>4.2592592592592595E-3</v>
      </c>
      <c r="L1077" s="5">
        <f>25172 / 86400</f>
        <v>0.2913425925925926</v>
      </c>
    </row>
    <row r="1078" spans="1:12" x14ac:dyDescent="0.25">
      <c r="A1078" s="3">
        <v>45713.86142361111</v>
      </c>
      <c r="B1078" t="s">
        <v>114</v>
      </c>
      <c r="C1078" s="3">
        <v>45713.863750000004</v>
      </c>
      <c r="D1078" t="s">
        <v>114</v>
      </c>
      <c r="E1078" s="4">
        <v>0.14299999999999999</v>
      </c>
      <c r="F1078" s="4">
        <v>193890.70300000001</v>
      </c>
      <c r="G1078" s="4">
        <v>193890.84599999999</v>
      </c>
      <c r="H1078" s="5">
        <f>100 / 86400</f>
        <v>1.1574074074074073E-3</v>
      </c>
      <c r="I1078" t="s">
        <v>134</v>
      </c>
      <c r="J1078" t="s">
        <v>106</v>
      </c>
      <c r="K1078" s="5">
        <f>201 / 86400</f>
        <v>2.3263888888888887E-3</v>
      </c>
      <c r="L1078" s="5">
        <f>11771 / 86400</f>
        <v>0.13623842592592592</v>
      </c>
    </row>
    <row r="1079" spans="1:12" x14ac:dyDescent="0.25">
      <c r="A1079" s="12"/>
      <c r="B1079" s="12"/>
      <c r="C1079" s="12"/>
      <c r="D1079" s="12"/>
      <c r="E1079" s="12"/>
      <c r="F1079" s="12"/>
      <c r="G1079" s="12"/>
      <c r="H1079" s="12"/>
      <c r="I1079" s="12"/>
      <c r="J1079" s="12"/>
    </row>
    <row r="1080" spans="1:12" x14ac:dyDescent="0.25">
      <c r="A1080" s="12"/>
      <c r="B1080" s="12"/>
      <c r="C1080" s="12"/>
      <c r="D1080" s="12"/>
      <c r="E1080" s="12"/>
      <c r="F1080" s="12"/>
      <c r="G1080" s="12"/>
      <c r="H1080" s="12"/>
      <c r="I1080" s="12"/>
      <c r="J1080" s="12"/>
    </row>
    <row r="1081" spans="1:12" s="10" customFormat="1" ht="20.100000000000001" customHeight="1" x14ac:dyDescent="0.35">
      <c r="A1081" s="15" t="s">
        <v>444</v>
      </c>
      <c r="B1081" s="15"/>
      <c r="C1081" s="15"/>
      <c r="D1081" s="15"/>
      <c r="E1081" s="15"/>
      <c r="F1081" s="15"/>
      <c r="G1081" s="15"/>
      <c r="H1081" s="15"/>
      <c r="I1081" s="15"/>
      <c r="J1081" s="15"/>
    </row>
    <row r="1082" spans="1:12" x14ac:dyDescent="0.25">
      <c r="A1082" s="12"/>
      <c r="B1082" s="12"/>
      <c r="C1082" s="12"/>
      <c r="D1082" s="12"/>
      <c r="E1082" s="12"/>
      <c r="F1082" s="12"/>
      <c r="G1082" s="12"/>
      <c r="H1082" s="12"/>
      <c r="I1082" s="12"/>
      <c r="J1082" s="12"/>
    </row>
    <row r="1083" spans="1:12" ht="30" x14ac:dyDescent="0.25">
      <c r="A1083" s="2" t="s">
        <v>6</v>
      </c>
      <c r="B1083" s="2" t="s">
        <v>7</v>
      </c>
      <c r="C1083" s="2" t="s">
        <v>8</v>
      </c>
      <c r="D1083" s="2" t="s">
        <v>9</v>
      </c>
      <c r="E1083" s="2" t="s">
        <v>10</v>
      </c>
      <c r="F1083" s="2" t="s">
        <v>11</v>
      </c>
      <c r="G1083" s="2" t="s">
        <v>12</v>
      </c>
      <c r="H1083" s="2" t="s">
        <v>13</v>
      </c>
      <c r="I1083" s="2" t="s">
        <v>14</v>
      </c>
      <c r="J1083" s="2" t="s">
        <v>15</v>
      </c>
      <c r="K1083" s="2" t="s">
        <v>16</v>
      </c>
      <c r="L1083" s="2" t="s">
        <v>17</v>
      </c>
    </row>
    <row r="1084" spans="1:12" x14ac:dyDescent="0.25">
      <c r="A1084" s="3">
        <v>45713</v>
      </c>
      <c r="B1084" t="s">
        <v>115</v>
      </c>
      <c r="C1084" s="3">
        <v>45713.00712962963</v>
      </c>
      <c r="D1084" t="s">
        <v>95</v>
      </c>
      <c r="E1084" s="4">
        <v>0.17099999994039536</v>
      </c>
      <c r="F1084" s="4">
        <v>525450.32700000005</v>
      </c>
      <c r="G1084" s="4">
        <v>525450.49800000002</v>
      </c>
      <c r="H1084" s="5">
        <f>460 / 86400</f>
        <v>5.324074074074074E-3</v>
      </c>
      <c r="I1084" t="s">
        <v>34</v>
      </c>
      <c r="J1084" t="s">
        <v>144</v>
      </c>
      <c r="K1084" s="5">
        <f>616 / 86400</f>
        <v>7.1296296296296299E-3</v>
      </c>
      <c r="L1084" s="5">
        <f>17449 / 86400</f>
        <v>0.20195601851851852</v>
      </c>
    </row>
    <row r="1085" spans="1:12" x14ac:dyDescent="0.25">
      <c r="A1085" s="3">
        <v>45713.209085648152</v>
      </c>
      <c r="B1085" t="s">
        <v>95</v>
      </c>
      <c r="C1085" s="3">
        <v>45713.450057870374</v>
      </c>
      <c r="D1085" t="s">
        <v>333</v>
      </c>
      <c r="E1085" s="4">
        <v>100.745</v>
      </c>
      <c r="F1085" s="4">
        <v>525450.49800000002</v>
      </c>
      <c r="G1085" s="4">
        <v>525551.24300000002</v>
      </c>
      <c r="H1085" s="5">
        <f>7259 / 86400</f>
        <v>8.4016203703703704E-2</v>
      </c>
      <c r="I1085" t="s">
        <v>62</v>
      </c>
      <c r="J1085" t="s">
        <v>20</v>
      </c>
      <c r="K1085" s="5">
        <f>20819 / 86400</f>
        <v>0.24096064814814816</v>
      </c>
      <c r="L1085" s="5">
        <f>2042 / 86400</f>
        <v>2.3634259259259258E-2</v>
      </c>
    </row>
    <row r="1086" spans="1:12" x14ac:dyDescent="0.25">
      <c r="A1086" s="3">
        <v>45713.473692129628</v>
      </c>
      <c r="B1086" t="s">
        <v>333</v>
      </c>
      <c r="C1086" s="3">
        <v>45713.477696759262</v>
      </c>
      <c r="D1086" t="s">
        <v>132</v>
      </c>
      <c r="E1086" s="4">
        <v>1.024</v>
      </c>
      <c r="F1086" s="4">
        <v>525551.24300000002</v>
      </c>
      <c r="G1086" s="4">
        <v>525552.26699999999</v>
      </c>
      <c r="H1086" s="5">
        <f>2 / 86400</f>
        <v>2.3148148148148147E-5</v>
      </c>
      <c r="I1086" t="s">
        <v>38</v>
      </c>
      <c r="J1086" t="s">
        <v>53</v>
      </c>
      <c r="K1086" s="5">
        <f>346 / 86400</f>
        <v>4.0046296296296297E-3</v>
      </c>
      <c r="L1086" s="5">
        <f>642 / 86400</f>
        <v>7.4305555555555557E-3</v>
      </c>
    </row>
    <row r="1087" spans="1:12" x14ac:dyDescent="0.25">
      <c r="A1087" s="3">
        <v>45713.485127314816</v>
      </c>
      <c r="B1087" t="s">
        <v>132</v>
      </c>
      <c r="C1087" s="3">
        <v>45713.48940972222</v>
      </c>
      <c r="D1087" t="s">
        <v>82</v>
      </c>
      <c r="E1087" s="4">
        <v>1.216</v>
      </c>
      <c r="F1087" s="4">
        <v>525552.26699999999</v>
      </c>
      <c r="G1087" s="4">
        <v>525553.48300000001</v>
      </c>
      <c r="H1087" s="5">
        <f>100 / 86400</f>
        <v>1.1574074074074073E-3</v>
      </c>
      <c r="I1087" t="s">
        <v>140</v>
      </c>
      <c r="J1087" t="s">
        <v>158</v>
      </c>
      <c r="K1087" s="5">
        <f>370 / 86400</f>
        <v>4.2824074074074075E-3</v>
      </c>
      <c r="L1087" s="5">
        <f>1013 / 86400</f>
        <v>1.1724537037037037E-2</v>
      </c>
    </row>
    <row r="1088" spans="1:12" x14ac:dyDescent="0.25">
      <c r="A1088" s="3">
        <v>45713.501134259262</v>
      </c>
      <c r="B1088" t="s">
        <v>82</v>
      </c>
      <c r="C1088" s="3">
        <v>45713.502453703702</v>
      </c>
      <c r="D1088" t="s">
        <v>82</v>
      </c>
      <c r="E1088" s="4">
        <v>9.5000000000000001E-2</v>
      </c>
      <c r="F1088" s="4">
        <v>525553.48300000001</v>
      </c>
      <c r="G1088" s="4">
        <v>525553.57799999998</v>
      </c>
      <c r="H1088" s="5">
        <f>39 / 86400</f>
        <v>4.5138888888888887E-4</v>
      </c>
      <c r="I1088" t="s">
        <v>97</v>
      </c>
      <c r="J1088" t="s">
        <v>106</v>
      </c>
      <c r="K1088" s="5">
        <f>114 / 86400</f>
        <v>1.3194444444444445E-3</v>
      </c>
      <c r="L1088" s="5">
        <f>642 / 86400</f>
        <v>7.4305555555555557E-3</v>
      </c>
    </row>
    <row r="1089" spans="1:12" x14ac:dyDescent="0.25">
      <c r="A1089" s="3">
        <v>45713.509884259256</v>
      </c>
      <c r="B1089" t="s">
        <v>82</v>
      </c>
      <c r="C1089" s="3">
        <v>45713.784456018519</v>
      </c>
      <c r="D1089" t="s">
        <v>82</v>
      </c>
      <c r="E1089" s="4">
        <v>100.0090000000596</v>
      </c>
      <c r="F1089" s="4">
        <v>525553.57799999998</v>
      </c>
      <c r="G1089" s="4">
        <v>525653.58700000006</v>
      </c>
      <c r="H1089" s="5">
        <f>9403 / 86400</f>
        <v>0.10883101851851852</v>
      </c>
      <c r="I1089" t="s">
        <v>81</v>
      </c>
      <c r="J1089" t="s">
        <v>76</v>
      </c>
      <c r="K1089" s="5">
        <f>23723 / 86400</f>
        <v>0.27457175925925925</v>
      </c>
      <c r="L1089" s="5">
        <f>564 / 86400</f>
        <v>6.5277777777777782E-3</v>
      </c>
    </row>
    <row r="1090" spans="1:12" x14ac:dyDescent="0.25">
      <c r="A1090" s="3">
        <v>45713.790983796294</v>
      </c>
      <c r="B1090" t="s">
        <v>82</v>
      </c>
      <c r="C1090" s="3">
        <v>45713.791666666672</v>
      </c>
      <c r="D1090" t="s">
        <v>82</v>
      </c>
      <c r="E1090" s="4">
        <v>0.12999999988079072</v>
      </c>
      <c r="F1090" s="4">
        <v>525653.58700000006</v>
      </c>
      <c r="G1090" s="4">
        <v>525653.71699999995</v>
      </c>
      <c r="H1090" s="5">
        <f>0 / 86400</f>
        <v>0</v>
      </c>
      <c r="I1090" t="s">
        <v>76</v>
      </c>
      <c r="J1090" t="s">
        <v>97</v>
      </c>
      <c r="K1090" s="5">
        <f>59 / 86400</f>
        <v>6.8287037037037036E-4</v>
      </c>
      <c r="L1090" s="5">
        <f>537 / 86400</f>
        <v>6.2152777777777779E-3</v>
      </c>
    </row>
    <row r="1091" spans="1:12" x14ac:dyDescent="0.25">
      <c r="A1091" s="3">
        <v>45713.79788194444</v>
      </c>
      <c r="B1091" t="s">
        <v>316</v>
      </c>
      <c r="C1091" s="3">
        <v>45713.99998842593</v>
      </c>
      <c r="D1091" t="s">
        <v>115</v>
      </c>
      <c r="E1091" s="4">
        <v>96.912000000000006</v>
      </c>
      <c r="F1091" s="4">
        <v>525653.71699999995</v>
      </c>
      <c r="G1091" s="4">
        <v>525750.62899999996</v>
      </c>
      <c r="H1091" s="5">
        <f>4778 / 86400</f>
        <v>5.5300925925925927E-2</v>
      </c>
      <c r="I1091" t="s">
        <v>87</v>
      </c>
      <c r="J1091" t="s">
        <v>111</v>
      </c>
      <c r="K1091" s="5">
        <f>17462 / 86400</f>
        <v>0.20210648148148147</v>
      </c>
      <c r="L1091" s="5">
        <f>0 / 86400</f>
        <v>0</v>
      </c>
    </row>
    <row r="1092" spans="1:12" x14ac:dyDescent="0.25">
      <c r="A1092" s="12"/>
      <c r="B1092" s="12"/>
      <c r="C1092" s="12"/>
      <c r="D1092" s="12"/>
      <c r="E1092" s="12"/>
      <c r="F1092" s="12"/>
      <c r="G1092" s="12"/>
      <c r="H1092" s="12"/>
      <c r="I1092" s="12"/>
      <c r="J1092" s="12"/>
    </row>
    <row r="1093" spans="1:12" x14ac:dyDescent="0.25">
      <c r="A1093" s="12"/>
      <c r="B1093" s="12"/>
      <c r="C1093" s="12"/>
      <c r="D1093" s="12"/>
      <c r="E1093" s="12"/>
      <c r="F1093" s="12"/>
      <c r="G1093" s="12"/>
      <c r="H1093" s="12"/>
      <c r="I1093" s="12"/>
      <c r="J1093" s="12"/>
    </row>
    <row r="1094" spans="1:12" s="10" customFormat="1" ht="20.100000000000001" customHeight="1" x14ac:dyDescent="0.35">
      <c r="A1094" s="15" t="s">
        <v>445</v>
      </c>
      <c r="B1094" s="15"/>
      <c r="C1094" s="15"/>
      <c r="D1094" s="15"/>
      <c r="E1094" s="15"/>
      <c r="F1094" s="15"/>
      <c r="G1094" s="15"/>
      <c r="H1094" s="15"/>
      <c r="I1094" s="15"/>
      <c r="J1094" s="15"/>
    </row>
    <row r="1095" spans="1:12" x14ac:dyDescent="0.25">
      <c r="A1095" s="12"/>
      <c r="B1095" s="12"/>
      <c r="C1095" s="12"/>
      <c r="D1095" s="12"/>
      <c r="E1095" s="12"/>
      <c r="F1095" s="12"/>
      <c r="G1095" s="12"/>
      <c r="H1095" s="12"/>
      <c r="I1095" s="12"/>
      <c r="J1095" s="12"/>
    </row>
    <row r="1096" spans="1:12" ht="30" x14ac:dyDescent="0.25">
      <c r="A1096" s="2" t="s">
        <v>6</v>
      </c>
      <c r="B1096" s="2" t="s">
        <v>7</v>
      </c>
      <c r="C1096" s="2" t="s">
        <v>8</v>
      </c>
      <c r="D1096" s="2" t="s">
        <v>9</v>
      </c>
      <c r="E1096" s="2" t="s">
        <v>10</v>
      </c>
      <c r="F1096" s="2" t="s">
        <v>11</v>
      </c>
      <c r="G1096" s="2" t="s">
        <v>12</v>
      </c>
      <c r="H1096" s="2" t="s">
        <v>13</v>
      </c>
      <c r="I1096" s="2" t="s">
        <v>14</v>
      </c>
      <c r="J1096" s="2" t="s">
        <v>15</v>
      </c>
      <c r="K1096" s="2" t="s">
        <v>16</v>
      </c>
      <c r="L1096" s="2" t="s">
        <v>17</v>
      </c>
    </row>
    <row r="1097" spans="1:12" x14ac:dyDescent="0.25">
      <c r="A1097" s="3">
        <v>45713.274467592593</v>
      </c>
      <c r="B1097" t="s">
        <v>116</v>
      </c>
      <c r="C1097" s="3">
        <v>45713.284884259258</v>
      </c>
      <c r="D1097" t="s">
        <v>316</v>
      </c>
      <c r="E1097" s="4">
        <v>0.95599999999999996</v>
      </c>
      <c r="F1097" s="4">
        <v>25157.163</v>
      </c>
      <c r="G1097" s="4">
        <v>25158.118999999999</v>
      </c>
      <c r="H1097" s="5">
        <f>599 / 86400</f>
        <v>6.9328703703703705E-3</v>
      </c>
      <c r="I1097" t="s">
        <v>131</v>
      </c>
      <c r="J1097" t="s">
        <v>141</v>
      </c>
      <c r="K1097" s="5">
        <f>899 / 86400</f>
        <v>1.0405092592592593E-2</v>
      </c>
      <c r="L1097" s="5">
        <f>23941 / 86400</f>
        <v>0.27709490740740739</v>
      </c>
    </row>
    <row r="1098" spans="1:12" x14ac:dyDescent="0.25">
      <c r="A1098" s="3">
        <v>45713.287511574075</v>
      </c>
      <c r="B1098" t="s">
        <v>316</v>
      </c>
      <c r="C1098" s="3">
        <v>45713.422129629631</v>
      </c>
      <c r="D1098" t="s">
        <v>167</v>
      </c>
      <c r="E1098" s="4">
        <v>49.877000000000002</v>
      </c>
      <c r="F1098" s="4">
        <v>25158.118999999999</v>
      </c>
      <c r="G1098" s="4">
        <v>25207.995999999999</v>
      </c>
      <c r="H1098" s="5">
        <f>3858 / 86400</f>
        <v>4.4652777777777777E-2</v>
      </c>
      <c r="I1098" t="s">
        <v>60</v>
      </c>
      <c r="J1098" t="s">
        <v>76</v>
      </c>
      <c r="K1098" s="5">
        <f>11631 / 86400</f>
        <v>0.13461805555555556</v>
      </c>
      <c r="L1098" s="5">
        <f>639 / 86400</f>
        <v>7.3958333333333333E-3</v>
      </c>
    </row>
    <row r="1099" spans="1:12" x14ac:dyDescent="0.25">
      <c r="A1099" s="3">
        <v>45713.429525462961</v>
      </c>
      <c r="B1099" t="s">
        <v>167</v>
      </c>
      <c r="C1099" s="3">
        <v>45713.599432870367</v>
      </c>
      <c r="D1099" t="s">
        <v>137</v>
      </c>
      <c r="E1099" s="4">
        <v>52.387</v>
      </c>
      <c r="F1099" s="4">
        <v>25207.995999999999</v>
      </c>
      <c r="G1099" s="4">
        <v>25260.383000000002</v>
      </c>
      <c r="H1099" s="5">
        <f>5380 / 86400</f>
        <v>6.2268518518518522E-2</v>
      </c>
      <c r="I1099" t="s">
        <v>60</v>
      </c>
      <c r="J1099" t="s">
        <v>45</v>
      </c>
      <c r="K1099" s="5">
        <f>14679 / 86400</f>
        <v>0.16989583333333333</v>
      </c>
      <c r="L1099" s="5">
        <f>77 / 86400</f>
        <v>8.9120370370370373E-4</v>
      </c>
    </row>
    <row r="1100" spans="1:12" x14ac:dyDescent="0.25">
      <c r="A1100" s="3">
        <v>45713.600324074076</v>
      </c>
      <c r="B1100" t="s">
        <v>137</v>
      </c>
      <c r="C1100" s="3">
        <v>45713.601180555561</v>
      </c>
      <c r="D1100" t="s">
        <v>137</v>
      </c>
      <c r="E1100" s="4">
        <v>3.5000000000000003E-2</v>
      </c>
      <c r="F1100" s="4">
        <v>25260.383000000002</v>
      </c>
      <c r="G1100" s="4">
        <v>25260.418000000001</v>
      </c>
      <c r="H1100" s="5">
        <f>0 / 86400</f>
        <v>0</v>
      </c>
      <c r="I1100" t="s">
        <v>146</v>
      </c>
      <c r="J1100" t="s">
        <v>147</v>
      </c>
      <c r="K1100" s="5">
        <f>74 / 86400</f>
        <v>8.564814814814815E-4</v>
      </c>
      <c r="L1100" s="5">
        <f>1420 / 86400</f>
        <v>1.6435185185185185E-2</v>
      </c>
    </row>
    <row r="1101" spans="1:12" x14ac:dyDescent="0.25">
      <c r="A1101" s="3">
        <v>45713.617615740739</v>
      </c>
      <c r="B1101" t="s">
        <v>137</v>
      </c>
      <c r="C1101" s="3">
        <v>45713.718460648146</v>
      </c>
      <c r="D1101" t="s">
        <v>387</v>
      </c>
      <c r="E1101" s="4">
        <v>40.457999999999998</v>
      </c>
      <c r="F1101" s="4">
        <v>25260.418000000001</v>
      </c>
      <c r="G1101" s="4">
        <v>25300.876</v>
      </c>
      <c r="H1101" s="5">
        <f>2959 / 86400</f>
        <v>3.4247685185185187E-2</v>
      </c>
      <c r="I1101" t="s">
        <v>60</v>
      </c>
      <c r="J1101" t="s">
        <v>20</v>
      </c>
      <c r="K1101" s="5">
        <f>8713 / 86400</f>
        <v>0.10084490740740741</v>
      </c>
      <c r="L1101" s="5">
        <f>603 / 86400</f>
        <v>6.9791666666666665E-3</v>
      </c>
    </row>
    <row r="1102" spans="1:12" x14ac:dyDescent="0.25">
      <c r="A1102" s="3">
        <v>45713.725439814814</v>
      </c>
      <c r="B1102" t="s">
        <v>387</v>
      </c>
      <c r="C1102" s="3">
        <v>45713.727118055554</v>
      </c>
      <c r="D1102" t="s">
        <v>143</v>
      </c>
      <c r="E1102" s="4">
        <v>0.124</v>
      </c>
      <c r="F1102" s="4">
        <v>25300.876</v>
      </c>
      <c r="G1102" s="4">
        <v>25301</v>
      </c>
      <c r="H1102" s="5">
        <f>80 / 86400</f>
        <v>9.2592592592592596E-4</v>
      </c>
      <c r="I1102" t="s">
        <v>45</v>
      </c>
      <c r="J1102" t="s">
        <v>106</v>
      </c>
      <c r="K1102" s="5">
        <f>144 / 86400</f>
        <v>1.6666666666666668E-3</v>
      </c>
      <c r="L1102" s="5">
        <f>93 / 86400</f>
        <v>1.0763888888888889E-3</v>
      </c>
    </row>
    <row r="1103" spans="1:12" x14ac:dyDescent="0.25">
      <c r="A1103" s="3">
        <v>45713.72819444444</v>
      </c>
      <c r="B1103" t="s">
        <v>143</v>
      </c>
      <c r="C1103" s="3">
        <v>45713.850312499999</v>
      </c>
      <c r="D1103" t="s">
        <v>82</v>
      </c>
      <c r="E1103" s="4">
        <v>40.761000000000003</v>
      </c>
      <c r="F1103" s="4">
        <v>25301</v>
      </c>
      <c r="G1103" s="4">
        <v>25341.760999999999</v>
      </c>
      <c r="H1103" s="5">
        <f>3059 / 86400</f>
        <v>3.5405092592592592E-2</v>
      </c>
      <c r="I1103" t="s">
        <v>69</v>
      </c>
      <c r="J1103" t="s">
        <v>29</v>
      </c>
      <c r="K1103" s="5">
        <f>10550 / 86400</f>
        <v>0.12210648148148148</v>
      </c>
      <c r="L1103" s="5">
        <f>295 / 86400</f>
        <v>3.414351851851852E-3</v>
      </c>
    </row>
    <row r="1104" spans="1:12" x14ac:dyDescent="0.25">
      <c r="A1104" s="3">
        <v>45713.853726851856</v>
      </c>
      <c r="B1104" t="s">
        <v>82</v>
      </c>
      <c r="C1104" s="3">
        <v>45713.857106481482</v>
      </c>
      <c r="D1104" t="s">
        <v>116</v>
      </c>
      <c r="E1104" s="4">
        <v>0.70599999999999996</v>
      </c>
      <c r="F1104" s="4">
        <v>25341.760999999999</v>
      </c>
      <c r="G1104" s="4">
        <v>25342.467000000001</v>
      </c>
      <c r="H1104" s="5">
        <f>80 / 86400</f>
        <v>9.2592592592592596E-4</v>
      </c>
      <c r="I1104" t="s">
        <v>150</v>
      </c>
      <c r="J1104" t="s">
        <v>64</v>
      </c>
      <c r="K1104" s="5">
        <f>291 / 86400</f>
        <v>3.3680555555555556E-3</v>
      </c>
      <c r="L1104" s="5">
        <f>1270 / 86400</f>
        <v>1.4699074074074074E-2</v>
      </c>
    </row>
    <row r="1105" spans="1:12" x14ac:dyDescent="0.25">
      <c r="A1105" s="3">
        <v>45713.871805555551</v>
      </c>
      <c r="B1105" t="s">
        <v>116</v>
      </c>
      <c r="C1105" s="3">
        <v>45713.872592592597</v>
      </c>
      <c r="D1105" t="s">
        <v>116</v>
      </c>
      <c r="E1105" s="4">
        <v>6.2E-2</v>
      </c>
      <c r="F1105" s="4">
        <v>25342.467000000001</v>
      </c>
      <c r="G1105" s="4">
        <v>25342.528999999999</v>
      </c>
      <c r="H1105" s="5">
        <f>0 / 86400</f>
        <v>0</v>
      </c>
      <c r="I1105" t="s">
        <v>97</v>
      </c>
      <c r="J1105" t="s">
        <v>106</v>
      </c>
      <c r="K1105" s="5">
        <f>68 / 86400</f>
        <v>7.8703703703703705E-4</v>
      </c>
      <c r="L1105" s="5">
        <f>11007 / 86400</f>
        <v>0.12739583333333335</v>
      </c>
    </row>
    <row r="1106" spans="1:12" x14ac:dyDescent="0.25">
      <c r="A1106" s="12"/>
      <c r="B1106" s="12"/>
      <c r="C1106" s="12"/>
      <c r="D1106" s="12"/>
      <c r="E1106" s="12"/>
      <c r="F1106" s="12"/>
      <c r="G1106" s="12"/>
      <c r="H1106" s="12"/>
      <c r="I1106" s="12"/>
      <c r="J1106" s="12"/>
    </row>
    <row r="1107" spans="1:12" x14ac:dyDescent="0.25">
      <c r="A1107" s="12"/>
      <c r="B1107" s="12"/>
      <c r="C1107" s="12"/>
      <c r="D1107" s="12"/>
      <c r="E1107" s="12"/>
      <c r="F1107" s="12"/>
      <c r="G1107" s="12"/>
      <c r="H1107" s="12"/>
      <c r="I1107" s="12"/>
      <c r="J1107" s="12"/>
    </row>
    <row r="1108" spans="1:12" s="10" customFormat="1" ht="20.100000000000001" customHeight="1" x14ac:dyDescent="0.35">
      <c r="A1108" s="15" t="s">
        <v>446</v>
      </c>
      <c r="B1108" s="15"/>
      <c r="C1108" s="15"/>
      <c r="D1108" s="15"/>
      <c r="E1108" s="15"/>
      <c r="F1108" s="15"/>
      <c r="G1108" s="15"/>
      <c r="H1108" s="15"/>
      <c r="I1108" s="15"/>
      <c r="J1108" s="15"/>
    </row>
    <row r="1109" spans="1:12" x14ac:dyDescent="0.25">
      <c r="A1109" s="12"/>
      <c r="B1109" s="12"/>
      <c r="C1109" s="12"/>
      <c r="D1109" s="12"/>
      <c r="E1109" s="12"/>
      <c r="F1109" s="12"/>
      <c r="G1109" s="12"/>
      <c r="H1109" s="12"/>
      <c r="I1109" s="12"/>
      <c r="J1109" s="12"/>
    </row>
    <row r="1110" spans="1:12" ht="30" x14ac:dyDescent="0.25">
      <c r="A1110" s="2" t="s">
        <v>6</v>
      </c>
      <c r="B1110" s="2" t="s">
        <v>7</v>
      </c>
      <c r="C1110" s="2" t="s">
        <v>8</v>
      </c>
      <c r="D1110" s="2" t="s">
        <v>9</v>
      </c>
      <c r="E1110" s="2" t="s">
        <v>10</v>
      </c>
      <c r="F1110" s="2" t="s">
        <v>11</v>
      </c>
      <c r="G1110" s="2" t="s">
        <v>12</v>
      </c>
      <c r="H1110" s="2" t="s">
        <v>13</v>
      </c>
      <c r="I1110" s="2" t="s">
        <v>14</v>
      </c>
      <c r="J1110" s="2" t="s">
        <v>15</v>
      </c>
      <c r="K1110" s="2" t="s">
        <v>16</v>
      </c>
      <c r="L1110" s="2" t="s">
        <v>17</v>
      </c>
    </row>
    <row r="1111" spans="1:12" x14ac:dyDescent="0.25">
      <c r="A1111" s="3">
        <v>45713.210902777777</v>
      </c>
      <c r="B1111" t="s">
        <v>39</v>
      </c>
      <c r="C1111" s="3">
        <v>45713.220034722224</v>
      </c>
      <c r="D1111" t="s">
        <v>209</v>
      </c>
      <c r="E1111" s="4">
        <v>0.39200000000745056</v>
      </c>
      <c r="F1111" s="4">
        <v>66241.370999999999</v>
      </c>
      <c r="G1111" s="4">
        <v>66241.763000000006</v>
      </c>
      <c r="H1111" s="5">
        <f>679 / 86400</f>
        <v>7.858796296296296E-3</v>
      </c>
      <c r="I1111" t="s">
        <v>140</v>
      </c>
      <c r="J1111" t="s">
        <v>147</v>
      </c>
      <c r="K1111" s="5">
        <f>788 / 86400</f>
        <v>9.1203703703703707E-3</v>
      </c>
      <c r="L1111" s="5">
        <f>18609 / 86400</f>
        <v>0.21538194444444445</v>
      </c>
    </row>
    <row r="1112" spans="1:12" x14ac:dyDescent="0.25">
      <c r="A1112" s="3">
        <v>45713.22451388889</v>
      </c>
      <c r="B1112" t="s">
        <v>209</v>
      </c>
      <c r="C1112" s="3">
        <v>45713.427754629629</v>
      </c>
      <c r="D1112" t="s">
        <v>82</v>
      </c>
      <c r="E1112" s="4">
        <v>79.980999999999995</v>
      </c>
      <c r="F1112" s="4">
        <v>66241.763000000006</v>
      </c>
      <c r="G1112" s="4">
        <v>66321.744000000006</v>
      </c>
      <c r="H1112" s="5">
        <f>6379 / 86400</f>
        <v>7.3831018518518518E-2</v>
      </c>
      <c r="I1112" t="s">
        <v>40</v>
      </c>
      <c r="J1112" t="s">
        <v>32</v>
      </c>
      <c r="K1112" s="5">
        <f>17560 / 86400</f>
        <v>0.20324074074074075</v>
      </c>
      <c r="L1112" s="5">
        <f>218 / 86400</f>
        <v>2.5231481481481481E-3</v>
      </c>
    </row>
    <row r="1113" spans="1:12" x14ac:dyDescent="0.25">
      <c r="A1113" s="3">
        <v>45713.430277777778</v>
      </c>
      <c r="B1113" t="s">
        <v>82</v>
      </c>
      <c r="C1113" s="3">
        <v>45713.431030092594</v>
      </c>
      <c r="D1113" t="s">
        <v>82</v>
      </c>
      <c r="E1113" s="4">
        <v>2.3999999992549419E-2</v>
      </c>
      <c r="F1113" s="4">
        <v>66321.744000000006</v>
      </c>
      <c r="G1113" s="4">
        <v>66321.767999999996</v>
      </c>
      <c r="H1113" s="5">
        <f>40 / 86400</f>
        <v>4.6296296296296298E-4</v>
      </c>
      <c r="I1113" t="s">
        <v>145</v>
      </c>
      <c r="J1113" t="s">
        <v>144</v>
      </c>
      <c r="K1113" s="5">
        <f>64 / 86400</f>
        <v>7.407407407407407E-4</v>
      </c>
      <c r="L1113" s="5">
        <f>2353 / 86400</f>
        <v>2.7233796296296298E-2</v>
      </c>
    </row>
    <row r="1114" spans="1:12" x14ac:dyDescent="0.25">
      <c r="A1114" s="3">
        <v>45713.45826388889</v>
      </c>
      <c r="B1114" t="s">
        <v>82</v>
      </c>
      <c r="C1114" s="3">
        <v>45713.459548611107</v>
      </c>
      <c r="D1114" t="s">
        <v>306</v>
      </c>
      <c r="E1114" s="4">
        <v>0.45399999999254942</v>
      </c>
      <c r="F1114" s="4">
        <v>66321.767999999996</v>
      </c>
      <c r="G1114" s="4">
        <v>66322.221999999994</v>
      </c>
      <c r="H1114" s="5">
        <f>19 / 86400</f>
        <v>2.199074074074074E-4</v>
      </c>
      <c r="I1114" t="s">
        <v>228</v>
      </c>
      <c r="J1114" t="s">
        <v>76</v>
      </c>
      <c r="K1114" s="5">
        <f>110 / 86400</f>
        <v>1.2731481481481483E-3</v>
      </c>
      <c r="L1114" s="5">
        <f>393 / 86400</f>
        <v>4.5486111111111109E-3</v>
      </c>
    </row>
    <row r="1115" spans="1:12" x14ac:dyDescent="0.25">
      <c r="A1115" s="3">
        <v>45713.464097222226</v>
      </c>
      <c r="B1115" t="s">
        <v>306</v>
      </c>
      <c r="C1115" s="3">
        <v>45713.467453703706</v>
      </c>
      <c r="D1115" t="s">
        <v>132</v>
      </c>
      <c r="E1115" s="4">
        <v>0.90300000000745062</v>
      </c>
      <c r="F1115" s="4">
        <v>66322.221999999994</v>
      </c>
      <c r="G1115" s="4">
        <v>66323.125</v>
      </c>
      <c r="H1115" s="5">
        <f>59 / 86400</f>
        <v>6.8287037037037036E-4</v>
      </c>
      <c r="I1115" t="s">
        <v>150</v>
      </c>
      <c r="J1115" t="s">
        <v>53</v>
      </c>
      <c r="K1115" s="5">
        <f>289 / 86400</f>
        <v>3.3449074074074076E-3</v>
      </c>
      <c r="L1115" s="5">
        <f>2019 / 86400</f>
        <v>2.3368055555555555E-2</v>
      </c>
    </row>
    <row r="1116" spans="1:12" x14ac:dyDescent="0.25">
      <c r="A1116" s="3">
        <v>45713.49082175926</v>
      </c>
      <c r="B1116" t="s">
        <v>132</v>
      </c>
      <c r="C1116" s="3">
        <v>45713.734212962961</v>
      </c>
      <c r="D1116" t="s">
        <v>39</v>
      </c>
      <c r="E1116" s="4">
        <v>104.107</v>
      </c>
      <c r="F1116" s="4">
        <v>66323.125</v>
      </c>
      <c r="G1116" s="4">
        <v>66427.232000000004</v>
      </c>
      <c r="H1116" s="5">
        <f>6817 / 86400</f>
        <v>7.8900462962962964E-2</v>
      </c>
      <c r="I1116" t="s">
        <v>87</v>
      </c>
      <c r="J1116" t="s">
        <v>26</v>
      </c>
      <c r="K1116" s="5">
        <f>21028 / 86400</f>
        <v>0.24337962962962964</v>
      </c>
      <c r="L1116" s="5">
        <f>341 / 86400</f>
        <v>3.9467592592592592E-3</v>
      </c>
    </row>
    <row r="1117" spans="1:12" x14ac:dyDescent="0.25">
      <c r="A1117" s="3">
        <v>45713.738159722227</v>
      </c>
      <c r="B1117" t="s">
        <v>39</v>
      </c>
      <c r="C1117" s="3">
        <v>45713.741770833338</v>
      </c>
      <c r="D1117" t="s">
        <v>39</v>
      </c>
      <c r="E1117" s="4">
        <v>1.3949999999925493</v>
      </c>
      <c r="F1117" s="4">
        <v>66427.232000000004</v>
      </c>
      <c r="G1117" s="4">
        <v>66428.626999999993</v>
      </c>
      <c r="H1117" s="5">
        <f>120 / 86400</f>
        <v>1.3888888888888889E-3</v>
      </c>
      <c r="I1117" t="s">
        <v>309</v>
      </c>
      <c r="J1117" t="s">
        <v>32</v>
      </c>
      <c r="K1117" s="5">
        <f>312 / 86400</f>
        <v>3.6111111111111109E-3</v>
      </c>
      <c r="L1117" s="5">
        <f>22310 / 86400</f>
        <v>0.25821759259259258</v>
      </c>
    </row>
    <row r="1118" spans="1:12" x14ac:dyDescent="0.25">
      <c r="A1118" s="12"/>
      <c r="B1118" s="12"/>
      <c r="C1118" s="12"/>
      <c r="D1118" s="12"/>
      <c r="E1118" s="12"/>
      <c r="F1118" s="12"/>
      <c r="G1118" s="12"/>
      <c r="H1118" s="12"/>
      <c r="I1118" s="12"/>
      <c r="J1118" s="12"/>
    </row>
    <row r="1119" spans="1:12" x14ac:dyDescent="0.25">
      <c r="A1119" s="12"/>
      <c r="B1119" s="12"/>
      <c r="C1119" s="12"/>
      <c r="D1119" s="12"/>
      <c r="E1119" s="12"/>
      <c r="F1119" s="12"/>
      <c r="G1119" s="12"/>
      <c r="H1119" s="12"/>
      <c r="I1119" s="12"/>
      <c r="J1119" s="12"/>
    </row>
    <row r="1120" spans="1:12" s="10" customFormat="1" ht="20.100000000000001" customHeight="1" x14ac:dyDescent="0.35">
      <c r="A1120" s="15" t="s">
        <v>447</v>
      </c>
      <c r="B1120" s="15"/>
      <c r="C1120" s="15"/>
      <c r="D1120" s="15"/>
      <c r="E1120" s="15"/>
      <c r="F1120" s="15"/>
      <c r="G1120" s="15"/>
      <c r="H1120" s="15"/>
      <c r="I1120" s="15"/>
      <c r="J1120" s="15"/>
    </row>
    <row r="1121" spans="1:12" x14ac:dyDescent="0.25">
      <c r="A1121" s="12"/>
      <c r="B1121" s="12"/>
      <c r="C1121" s="12"/>
      <c r="D1121" s="12"/>
      <c r="E1121" s="12"/>
      <c r="F1121" s="12"/>
      <c r="G1121" s="12"/>
      <c r="H1121" s="12"/>
      <c r="I1121" s="12"/>
      <c r="J1121" s="12"/>
    </row>
    <row r="1122" spans="1:12" ht="30" x14ac:dyDescent="0.25">
      <c r="A1122" s="2" t="s">
        <v>6</v>
      </c>
      <c r="B1122" s="2" t="s">
        <v>7</v>
      </c>
      <c r="C1122" s="2" t="s">
        <v>8</v>
      </c>
      <c r="D1122" s="2" t="s">
        <v>9</v>
      </c>
      <c r="E1122" s="2" t="s">
        <v>10</v>
      </c>
      <c r="F1122" s="2" t="s">
        <v>11</v>
      </c>
      <c r="G1122" s="2" t="s">
        <v>12</v>
      </c>
      <c r="H1122" s="2" t="s">
        <v>13</v>
      </c>
      <c r="I1122" s="2" t="s">
        <v>14</v>
      </c>
      <c r="J1122" s="2" t="s">
        <v>15</v>
      </c>
      <c r="K1122" s="2" t="s">
        <v>16</v>
      </c>
      <c r="L1122" s="2" t="s">
        <v>17</v>
      </c>
    </row>
    <row r="1123" spans="1:12" x14ac:dyDescent="0.25">
      <c r="A1123" s="3">
        <v>45713.265717592592</v>
      </c>
      <c r="B1123" t="s">
        <v>72</v>
      </c>
      <c r="C1123" s="3">
        <v>45713.335219907407</v>
      </c>
      <c r="D1123" t="s">
        <v>307</v>
      </c>
      <c r="E1123" s="4">
        <v>35.131999999999998</v>
      </c>
      <c r="F1123" s="4">
        <v>6211.0230000000001</v>
      </c>
      <c r="G1123" s="4">
        <v>6246.1549999999997</v>
      </c>
      <c r="H1123" s="5">
        <f>1459 / 86400</f>
        <v>1.6886574074074075E-2</v>
      </c>
      <c r="I1123" t="s">
        <v>142</v>
      </c>
      <c r="J1123" t="s">
        <v>125</v>
      </c>
      <c r="K1123" s="5">
        <f>6004 / 86400</f>
        <v>6.9490740740740742E-2</v>
      </c>
      <c r="L1123" s="5">
        <f>23476 / 86400</f>
        <v>0.27171296296296299</v>
      </c>
    </row>
    <row r="1124" spans="1:12" x14ac:dyDescent="0.25">
      <c r="A1124" s="3">
        <v>45713.341215277775</v>
      </c>
      <c r="B1124" t="s">
        <v>307</v>
      </c>
      <c r="C1124" s="3">
        <v>45713.55568287037</v>
      </c>
      <c r="D1124" t="s">
        <v>18</v>
      </c>
      <c r="E1124" s="4">
        <v>71.122</v>
      </c>
      <c r="F1124" s="4">
        <v>6246.1549999999997</v>
      </c>
      <c r="G1124" s="4">
        <v>6317.277</v>
      </c>
      <c r="H1124" s="5">
        <f>6848 / 86400</f>
        <v>7.9259259259259265E-2</v>
      </c>
      <c r="I1124" t="s">
        <v>117</v>
      </c>
      <c r="J1124" t="s">
        <v>29</v>
      </c>
      <c r="K1124" s="5">
        <f>18529 / 86400</f>
        <v>0.21445601851851853</v>
      </c>
      <c r="L1124" s="5">
        <f>7151 / 86400</f>
        <v>8.2766203703703703E-2</v>
      </c>
    </row>
    <row r="1125" spans="1:12" x14ac:dyDescent="0.25">
      <c r="A1125" s="3">
        <v>45713.638449074075</v>
      </c>
      <c r="B1125" t="s">
        <v>18</v>
      </c>
      <c r="C1125" s="3">
        <v>45713.640752314815</v>
      </c>
      <c r="D1125" t="s">
        <v>388</v>
      </c>
      <c r="E1125" s="4">
        <v>0.504</v>
      </c>
      <c r="F1125" s="4">
        <v>6317.277</v>
      </c>
      <c r="G1125" s="4">
        <v>6317.7809999999999</v>
      </c>
      <c r="H1125" s="5">
        <f>20 / 86400</f>
        <v>2.3148148148148149E-4</v>
      </c>
      <c r="I1125" t="s">
        <v>32</v>
      </c>
      <c r="J1125" t="s">
        <v>64</v>
      </c>
      <c r="K1125" s="5">
        <f>198 / 86400</f>
        <v>2.2916666666666667E-3</v>
      </c>
      <c r="L1125" s="5">
        <f>173 / 86400</f>
        <v>2.0023148148148148E-3</v>
      </c>
    </row>
    <row r="1126" spans="1:12" x14ac:dyDescent="0.25">
      <c r="A1126" s="3">
        <v>45713.642754629633</v>
      </c>
      <c r="B1126" t="s">
        <v>388</v>
      </c>
      <c r="C1126" s="3">
        <v>45713.651701388888</v>
      </c>
      <c r="D1126" t="s">
        <v>389</v>
      </c>
      <c r="E1126" s="4">
        <v>3.5</v>
      </c>
      <c r="F1126" s="4">
        <v>6317.7809999999999</v>
      </c>
      <c r="G1126" s="4">
        <v>6321.2809999999999</v>
      </c>
      <c r="H1126" s="5">
        <f>260 / 86400</f>
        <v>3.0092592592592593E-3</v>
      </c>
      <c r="I1126" t="s">
        <v>193</v>
      </c>
      <c r="J1126" t="s">
        <v>32</v>
      </c>
      <c r="K1126" s="5">
        <f>773 / 86400</f>
        <v>8.9467592592592585E-3</v>
      </c>
      <c r="L1126" s="5">
        <f>5273 / 86400</f>
        <v>6.1030092592592594E-2</v>
      </c>
    </row>
    <row r="1127" spans="1:12" x14ac:dyDescent="0.25">
      <c r="A1127" s="3">
        <v>45713.712731481486</v>
      </c>
      <c r="B1127" t="s">
        <v>389</v>
      </c>
      <c r="C1127" s="3">
        <v>45713.741898148146</v>
      </c>
      <c r="D1127" t="s">
        <v>72</v>
      </c>
      <c r="E1127" s="4">
        <v>3.9289999999999998</v>
      </c>
      <c r="F1127" s="4">
        <v>6321.2809999999999</v>
      </c>
      <c r="G1127" s="4">
        <v>6325.21</v>
      </c>
      <c r="H1127" s="5">
        <f>1799 / 86400</f>
        <v>2.0821759259259259E-2</v>
      </c>
      <c r="I1127" t="s">
        <v>176</v>
      </c>
      <c r="J1127" t="s">
        <v>145</v>
      </c>
      <c r="K1127" s="5">
        <f>2520 / 86400</f>
        <v>2.9166666666666667E-2</v>
      </c>
      <c r="L1127" s="5">
        <f>243 / 86400</f>
        <v>2.8124999999999999E-3</v>
      </c>
    </row>
    <row r="1128" spans="1:12" x14ac:dyDescent="0.25">
      <c r="A1128" s="3">
        <v>45713.744710648149</v>
      </c>
      <c r="B1128" t="s">
        <v>72</v>
      </c>
      <c r="C1128" s="3">
        <v>45713.745312500003</v>
      </c>
      <c r="D1128" t="s">
        <v>72</v>
      </c>
      <c r="E1128" s="4">
        <v>1.0999999999999999E-2</v>
      </c>
      <c r="F1128" s="4">
        <v>6325.21</v>
      </c>
      <c r="G1128" s="4">
        <v>6325.2209999999995</v>
      </c>
      <c r="H1128" s="5">
        <f>19 / 86400</f>
        <v>2.199074074074074E-4</v>
      </c>
      <c r="I1128" t="s">
        <v>144</v>
      </c>
      <c r="J1128" t="s">
        <v>144</v>
      </c>
      <c r="K1128" s="5">
        <f>51 / 86400</f>
        <v>5.9027777777777778E-4</v>
      </c>
      <c r="L1128" s="5">
        <f>22004 / 86400</f>
        <v>0.25467592592592592</v>
      </c>
    </row>
    <row r="1129" spans="1:12" x14ac:dyDescent="0.25">
      <c r="A1129" s="12"/>
      <c r="B1129" s="12"/>
      <c r="C1129" s="12"/>
      <c r="D1129" s="12"/>
      <c r="E1129" s="12"/>
      <c r="F1129" s="12"/>
      <c r="G1129" s="12"/>
      <c r="H1129" s="12"/>
      <c r="I1129" s="12"/>
      <c r="J1129" s="12"/>
    </row>
    <row r="1130" spans="1:12" x14ac:dyDescent="0.25">
      <c r="A1130" s="12"/>
      <c r="B1130" s="12"/>
      <c r="C1130" s="12"/>
      <c r="D1130" s="12"/>
      <c r="E1130" s="12"/>
      <c r="F1130" s="12"/>
      <c r="G1130" s="12"/>
      <c r="H1130" s="12"/>
      <c r="I1130" s="12"/>
      <c r="J1130" s="12"/>
    </row>
    <row r="1131" spans="1:12" s="10" customFormat="1" ht="20.100000000000001" customHeight="1" x14ac:dyDescent="0.35">
      <c r="A1131" s="15" t="s">
        <v>448</v>
      </c>
      <c r="B1131" s="15"/>
      <c r="C1131" s="15"/>
      <c r="D1131" s="15"/>
      <c r="E1131" s="15"/>
      <c r="F1131" s="15"/>
      <c r="G1131" s="15"/>
      <c r="H1131" s="15"/>
      <c r="I1131" s="15"/>
      <c r="J1131" s="15"/>
    </row>
    <row r="1132" spans="1:12" x14ac:dyDescent="0.25">
      <c r="A1132" s="12"/>
      <c r="B1132" s="12"/>
      <c r="C1132" s="12"/>
      <c r="D1132" s="12"/>
      <c r="E1132" s="12"/>
      <c r="F1132" s="12"/>
      <c r="G1132" s="12"/>
      <c r="H1132" s="12"/>
      <c r="I1132" s="12"/>
      <c r="J1132" s="12"/>
    </row>
    <row r="1133" spans="1:12" ht="30" x14ac:dyDescent="0.25">
      <c r="A1133" s="2" t="s">
        <v>6</v>
      </c>
      <c r="B1133" s="2" t="s">
        <v>7</v>
      </c>
      <c r="C1133" s="2" t="s">
        <v>8</v>
      </c>
      <c r="D1133" s="2" t="s">
        <v>9</v>
      </c>
      <c r="E1133" s="2" t="s">
        <v>10</v>
      </c>
      <c r="F1133" s="2" t="s">
        <v>11</v>
      </c>
      <c r="G1133" s="2" t="s">
        <v>12</v>
      </c>
      <c r="H1133" s="2" t="s">
        <v>13</v>
      </c>
      <c r="I1133" s="2" t="s">
        <v>14</v>
      </c>
      <c r="J1133" s="2" t="s">
        <v>15</v>
      </c>
      <c r="K1133" s="2" t="s">
        <v>16</v>
      </c>
      <c r="L1133" s="2" t="s">
        <v>17</v>
      </c>
    </row>
    <row r="1134" spans="1:12" x14ac:dyDescent="0.25">
      <c r="A1134" s="3">
        <v>45713.009942129633</v>
      </c>
      <c r="B1134" t="s">
        <v>118</v>
      </c>
      <c r="C1134" s="3">
        <v>45713.012222222227</v>
      </c>
      <c r="D1134" t="s">
        <v>367</v>
      </c>
      <c r="E1134" s="4">
        <v>4.0000000000000001E-3</v>
      </c>
      <c r="F1134" s="4">
        <v>410501.21</v>
      </c>
      <c r="G1134" s="4">
        <v>410501.21399999998</v>
      </c>
      <c r="H1134" s="5">
        <f>179 / 86400</f>
        <v>2.0717592592592593E-3</v>
      </c>
      <c r="I1134" t="s">
        <v>22</v>
      </c>
      <c r="J1134" t="s">
        <v>22</v>
      </c>
      <c r="K1134" s="5">
        <f>196 / 86400</f>
        <v>2.2685185185185187E-3</v>
      </c>
      <c r="L1134" s="5">
        <f>1093 / 86400</f>
        <v>1.2650462962962962E-2</v>
      </c>
    </row>
    <row r="1135" spans="1:12" x14ac:dyDescent="0.25">
      <c r="A1135" s="3">
        <v>45713.014930555553</v>
      </c>
      <c r="B1135" t="s">
        <v>367</v>
      </c>
      <c r="C1135" s="3">
        <v>45713.017581018517</v>
      </c>
      <c r="D1135" t="s">
        <v>118</v>
      </c>
      <c r="E1135" s="4">
        <v>1.7000000000000001E-2</v>
      </c>
      <c r="F1135" s="4">
        <v>410501.21399999998</v>
      </c>
      <c r="G1135" s="4">
        <v>410501.23100000003</v>
      </c>
      <c r="H1135" s="5">
        <f>200 / 86400</f>
        <v>2.3148148148148147E-3</v>
      </c>
      <c r="I1135" t="s">
        <v>145</v>
      </c>
      <c r="J1135" t="s">
        <v>22</v>
      </c>
      <c r="K1135" s="5">
        <f>228 / 86400</f>
        <v>2.638888888888889E-3</v>
      </c>
      <c r="L1135" s="5">
        <f>359 / 86400</f>
        <v>4.1550925925925922E-3</v>
      </c>
    </row>
    <row r="1136" spans="1:12" x14ac:dyDescent="0.25">
      <c r="A1136" s="3">
        <v>45713.021736111114</v>
      </c>
      <c r="B1136" t="s">
        <v>367</v>
      </c>
      <c r="C1136" s="3">
        <v>45713.091469907406</v>
      </c>
      <c r="D1136" t="s">
        <v>250</v>
      </c>
      <c r="E1136" s="4">
        <v>43.798999999999999</v>
      </c>
      <c r="F1136" s="4">
        <v>410501.23100000003</v>
      </c>
      <c r="G1136" s="4">
        <v>410545.03</v>
      </c>
      <c r="H1136" s="5">
        <f>1139 / 86400</f>
        <v>1.3182870370370371E-2</v>
      </c>
      <c r="I1136" t="s">
        <v>40</v>
      </c>
      <c r="J1136" t="s">
        <v>150</v>
      </c>
      <c r="K1136" s="5">
        <f>6024 / 86400</f>
        <v>6.9722222222222227E-2</v>
      </c>
      <c r="L1136" s="5">
        <f>2687 / 86400</f>
        <v>3.1099537037037037E-2</v>
      </c>
    </row>
    <row r="1137" spans="1:12" x14ac:dyDescent="0.25">
      <c r="A1137" s="3">
        <v>45713.122569444444</v>
      </c>
      <c r="B1137" t="s">
        <v>250</v>
      </c>
      <c r="C1137" s="3">
        <v>45713.178240740745</v>
      </c>
      <c r="D1137" t="s">
        <v>84</v>
      </c>
      <c r="E1137" s="4">
        <v>34.073</v>
      </c>
      <c r="F1137" s="4">
        <v>410545.03</v>
      </c>
      <c r="G1137" s="4">
        <v>410579.103</v>
      </c>
      <c r="H1137" s="5">
        <f>619 / 86400</f>
        <v>7.1643518518518514E-3</v>
      </c>
      <c r="I1137" t="s">
        <v>87</v>
      </c>
      <c r="J1137" t="s">
        <v>150</v>
      </c>
      <c r="K1137" s="5">
        <f>4810 / 86400</f>
        <v>5.5671296296296295E-2</v>
      </c>
      <c r="L1137" s="5">
        <f>1104 / 86400</f>
        <v>1.2777777777777779E-2</v>
      </c>
    </row>
    <row r="1138" spans="1:12" x14ac:dyDescent="0.25">
      <c r="A1138" s="3">
        <v>45713.191018518519</v>
      </c>
      <c r="B1138" t="s">
        <v>84</v>
      </c>
      <c r="C1138" s="3">
        <v>45713.196087962962</v>
      </c>
      <c r="D1138" t="s">
        <v>27</v>
      </c>
      <c r="E1138" s="4">
        <v>2.3260000000000001</v>
      </c>
      <c r="F1138" s="4">
        <v>410579.103</v>
      </c>
      <c r="G1138" s="4">
        <v>410581.429</v>
      </c>
      <c r="H1138" s="5">
        <f>60 / 86400</f>
        <v>6.9444444444444447E-4</v>
      </c>
      <c r="I1138" t="s">
        <v>327</v>
      </c>
      <c r="J1138" t="s">
        <v>92</v>
      </c>
      <c r="K1138" s="5">
        <f>438 / 86400</f>
        <v>5.0694444444444441E-3</v>
      </c>
      <c r="L1138" s="5">
        <f>135 / 86400</f>
        <v>1.5625000000000001E-3</v>
      </c>
    </row>
    <row r="1139" spans="1:12" x14ac:dyDescent="0.25">
      <c r="A1139" s="3">
        <v>45713.197650462964</v>
      </c>
      <c r="B1139" t="s">
        <v>27</v>
      </c>
      <c r="C1139" s="3">
        <v>45713.201504629629</v>
      </c>
      <c r="D1139" t="s">
        <v>27</v>
      </c>
      <c r="E1139" s="4">
        <v>2.4E-2</v>
      </c>
      <c r="F1139" s="4">
        <v>410581.429</v>
      </c>
      <c r="G1139" s="4">
        <v>410581.45299999998</v>
      </c>
      <c r="H1139" s="5">
        <f>299 / 86400</f>
        <v>3.460648148148148E-3</v>
      </c>
      <c r="I1139" t="s">
        <v>106</v>
      </c>
      <c r="J1139" t="s">
        <v>22</v>
      </c>
      <c r="K1139" s="5">
        <f>333 / 86400</f>
        <v>3.8541666666666668E-3</v>
      </c>
      <c r="L1139" s="5">
        <f>161 / 86400</f>
        <v>1.8634259259259259E-3</v>
      </c>
    </row>
    <row r="1140" spans="1:12" x14ac:dyDescent="0.25">
      <c r="A1140" s="3">
        <v>45713.203368055554</v>
      </c>
      <c r="B1140" t="s">
        <v>27</v>
      </c>
      <c r="C1140" s="3">
        <v>45713.203888888893</v>
      </c>
      <c r="D1140" t="s">
        <v>27</v>
      </c>
      <c r="E1140" s="4">
        <v>8.0000000000000002E-3</v>
      </c>
      <c r="F1140" s="4">
        <v>410581.45299999998</v>
      </c>
      <c r="G1140" s="4">
        <v>410581.46100000001</v>
      </c>
      <c r="H1140" s="5">
        <f>39 / 86400</f>
        <v>4.5138888888888887E-4</v>
      </c>
      <c r="I1140" t="s">
        <v>22</v>
      </c>
      <c r="J1140" t="s">
        <v>144</v>
      </c>
      <c r="K1140" s="5">
        <f>44 / 86400</f>
        <v>5.0925925925925921E-4</v>
      </c>
      <c r="L1140" s="5">
        <f>61877 / 86400</f>
        <v>0.71616898148148145</v>
      </c>
    </row>
    <row r="1141" spans="1:12" x14ac:dyDescent="0.25">
      <c r="A1141" s="3">
        <v>45713.920057870375</v>
      </c>
      <c r="B1141" t="s">
        <v>27</v>
      </c>
      <c r="C1141" s="3">
        <v>45713.920925925922</v>
      </c>
      <c r="D1141" t="s">
        <v>27</v>
      </c>
      <c r="E1141" s="4">
        <v>3.4000000000000002E-2</v>
      </c>
      <c r="F1141" s="4">
        <v>410581.46100000001</v>
      </c>
      <c r="G1141" s="4">
        <v>410581.495</v>
      </c>
      <c r="H1141" s="5">
        <f>39 / 86400</f>
        <v>4.5138888888888887E-4</v>
      </c>
      <c r="I1141" t="s">
        <v>146</v>
      </c>
      <c r="J1141" t="s">
        <v>147</v>
      </c>
      <c r="K1141" s="5">
        <f>75 / 86400</f>
        <v>8.6805555555555551E-4</v>
      </c>
      <c r="L1141" s="5">
        <f>6831 / 86400</f>
        <v>7.9062499999999994E-2</v>
      </c>
    </row>
    <row r="1142" spans="1:12" x14ac:dyDescent="0.25">
      <c r="A1142" s="12"/>
      <c r="B1142" s="12"/>
      <c r="C1142" s="12"/>
      <c r="D1142" s="12"/>
      <c r="E1142" s="12"/>
      <c r="F1142" s="12"/>
      <c r="G1142" s="12"/>
      <c r="H1142" s="12"/>
      <c r="I1142" s="12"/>
      <c r="J1142" s="12"/>
    </row>
    <row r="1143" spans="1:12" x14ac:dyDescent="0.25">
      <c r="A1143" s="12"/>
      <c r="B1143" s="12"/>
      <c r="C1143" s="12"/>
      <c r="D1143" s="12"/>
      <c r="E1143" s="12"/>
      <c r="F1143" s="12"/>
      <c r="G1143" s="12"/>
      <c r="H1143" s="12"/>
      <c r="I1143" s="12"/>
      <c r="J1143" s="12"/>
    </row>
    <row r="1144" spans="1:12" s="10" customFormat="1" ht="20.100000000000001" customHeight="1" x14ac:dyDescent="0.35">
      <c r="A1144" s="15" t="s">
        <v>449</v>
      </c>
      <c r="B1144" s="15"/>
      <c r="C1144" s="15"/>
      <c r="D1144" s="15"/>
      <c r="E1144" s="15"/>
      <c r="F1144" s="15"/>
      <c r="G1144" s="15"/>
      <c r="H1144" s="15"/>
      <c r="I1144" s="15"/>
      <c r="J1144" s="15"/>
    </row>
    <row r="1145" spans="1:12" x14ac:dyDescent="0.25">
      <c r="A1145" s="12"/>
      <c r="B1145" s="12"/>
      <c r="C1145" s="12"/>
      <c r="D1145" s="12"/>
      <c r="E1145" s="12"/>
      <c r="F1145" s="12"/>
      <c r="G1145" s="12"/>
      <c r="H1145" s="12"/>
      <c r="I1145" s="12"/>
      <c r="J1145" s="12"/>
    </row>
    <row r="1146" spans="1:12" ht="30" x14ac:dyDescent="0.25">
      <c r="A1146" s="2" t="s">
        <v>6</v>
      </c>
      <c r="B1146" s="2" t="s">
        <v>7</v>
      </c>
      <c r="C1146" s="2" t="s">
        <v>8</v>
      </c>
      <c r="D1146" s="2" t="s">
        <v>9</v>
      </c>
      <c r="E1146" s="2" t="s">
        <v>10</v>
      </c>
      <c r="F1146" s="2" t="s">
        <v>11</v>
      </c>
      <c r="G1146" s="2" t="s">
        <v>12</v>
      </c>
      <c r="H1146" s="2" t="s">
        <v>13</v>
      </c>
      <c r="I1146" s="2" t="s">
        <v>14</v>
      </c>
      <c r="J1146" s="2" t="s">
        <v>15</v>
      </c>
      <c r="K1146" s="2" t="s">
        <v>16</v>
      </c>
      <c r="L1146" s="2" t="s">
        <v>17</v>
      </c>
    </row>
    <row r="1147" spans="1:12" x14ac:dyDescent="0.25">
      <c r="A1147" s="3">
        <v>45713</v>
      </c>
      <c r="B1147" t="s">
        <v>120</v>
      </c>
      <c r="C1147" s="3">
        <v>45713.025902777779</v>
      </c>
      <c r="D1147" t="s">
        <v>152</v>
      </c>
      <c r="E1147" s="4">
        <v>16.978000000000002</v>
      </c>
      <c r="F1147" s="4">
        <v>552987.13800000004</v>
      </c>
      <c r="G1147" s="4">
        <v>553004.11600000004</v>
      </c>
      <c r="H1147" s="5">
        <f>180 / 86400</f>
        <v>2.0833333333333333E-3</v>
      </c>
      <c r="I1147" t="s">
        <v>210</v>
      </c>
      <c r="J1147" t="s">
        <v>164</v>
      </c>
      <c r="K1147" s="5">
        <f>2238 / 86400</f>
        <v>2.5902777777777778E-2</v>
      </c>
      <c r="L1147" s="5">
        <f>1830 / 86400</f>
        <v>2.1180555555555557E-2</v>
      </c>
    </row>
    <row r="1148" spans="1:12" x14ac:dyDescent="0.25">
      <c r="A1148" s="3">
        <v>45713.047083333338</v>
      </c>
      <c r="B1148" t="s">
        <v>85</v>
      </c>
      <c r="C1148" s="3">
        <v>45713.048414351855</v>
      </c>
      <c r="D1148" t="s">
        <v>84</v>
      </c>
      <c r="E1148" s="4">
        <v>0.28599999999999998</v>
      </c>
      <c r="F1148" s="4">
        <v>553004.11600000004</v>
      </c>
      <c r="G1148" s="4">
        <v>553004.402</v>
      </c>
      <c r="H1148" s="5">
        <f>20 / 86400</f>
        <v>2.3148148148148149E-4</v>
      </c>
      <c r="I1148" t="s">
        <v>166</v>
      </c>
      <c r="J1148" t="s">
        <v>64</v>
      </c>
      <c r="K1148" s="5">
        <f>115 / 86400</f>
        <v>1.3310185185185185E-3</v>
      </c>
      <c r="L1148" s="5">
        <f>584 / 86400</f>
        <v>6.7592592592592591E-3</v>
      </c>
    </row>
    <row r="1149" spans="1:12" x14ac:dyDescent="0.25">
      <c r="A1149" s="3">
        <v>45713.055173611108</v>
      </c>
      <c r="B1149" t="s">
        <v>84</v>
      </c>
      <c r="C1149" s="3">
        <v>45713.056331018517</v>
      </c>
      <c r="D1149" t="s">
        <v>84</v>
      </c>
      <c r="E1149" s="4">
        <v>7.6999999999999999E-2</v>
      </c>
      <c r="F1149" s="4">
        <v>553004.402</v>
      </c>
      <c r="G1149" s="4">
        <v>553004.47900000005</v>
      </c>
      <c r="H1149" s="5">
        <f>60 / 86400</f>
        <v>6.9444444444444447E-4</v>
      </c>
      <c r="I1149" t="s">
        <v>53</v>
      </c>
      <c r="J1149" t="s">
        <v>106</v>
      </c>
      <c r="K1149" s="5">
        <f>100 / 86400</f>
        <v>1.1574074074074073E-3</v>
      </c>
      <c r="L1149" s="5">
        <f>1161 / 86400</f>
        <v>1.34375E-2</v>
      </c>
    </row>
    <row r="1150" spans="1:12" x14ac:dyDescent="0.25">
      <c r="A1150" s="3">
        <v>45713.069768518515</v>
      </c>
      <c r="B1150" t="s">
        <v>84</v>
      </c>
      <c r="C1150" s="3">
        <v>45713.074953703705</v>
      </c>
      <c r="D1150" t="s">
        <v>85</v>
      </c>
      <c r="E1150" s="4">
        <v>0.73199999999999998</v>
      </c>
      <c r="F1150" s="4">
        <v>553004.47900000005</v>
      </c>
      <c r="G1150" s="4">
        <v>553005.21100000001</v>
      </c>
      <c r="H1150" s="5">
        <f>259 / 86400</f>
        <v>2.9976851851851853E-3</v>
      </c>
      <c r="I1150" t="s">
        <v>228</v>
      </c>
      <c r="J1150" t="s">
        <v>145</v>
      </c>
      <c r="K1150" s="5">
        <f>447 / 86400</f>
        <v>5.1736111111111115E-3</v>
      </c>
      <c r="L1150" s="5">
        <f>19272 / 86400</f>
        <v>0.22305555555555556</v>
      </c>
    </row>
    <row r="1151" spans="1:12" x14ac:dyDescent="0.25">
      <c r="A1151" s="3">
        <v>45713.298009259262</v>
      </c>
      <c r="B1151" t="s">
        <v>85</v>
      </c>
      <c r="C1151" s="3">
        <v>45713.720729166671</v>
      </c>
      <c r="D1151" t="s">
        <v>364</v>
      </c>
      <c r="E1151" s="4">
        <v>133.65199999999999</v>
      </c>
      <c r="F1151" s="4">
        <v>553005.21100000001</v>
      </c>
      <c r="G1151" s="4">
        <v>553138.86300000001</v>
      </c>
      <c r="H1151" s="5">
        <f>14861 / 86400</f>
        <v>0.17200231481481482</v>
      </c>
      <c r="I1151" t="s">
        <v>331</v>
      </c>
      <c r="J1151" t="s">
        <v>45</v>
      </c>
      <c r="K1151" s="5">
        <f>36522 / 86400</f>
        <v>0.42270833333333335</v>
      </c>
      <c r="L1151" s="5">
        <f>1377 / 86400</f>
        <v>1.59375E-2</v>
      </c>
    </row>
    <row r="1152" spans="1:12" x14ac:dyDescent="0.25">
      <c r="A1152" s="3">
        <v>45713.736666666664</v>
      </c>
      <c r="B1152" t="s">
        <v>364</v>
      </c>
      <c r="C1152" s="3">
        <v>45713.74018518519</v>
      </c>
      <c r="D1152" t="s">
        <v>316</v>
      </c>
      <c r="E1152" s="4">
        <v>0.22</v>
      </c>
      <c r="F1152" s="4">
        <v>553138.86300000001</v>
      </c>
      <c r="G1152" s="4">
        <v>553139.08299999998</v>
      </c>
      <c r="H1152" s="5">
        <f>219 / 86400</f>
        <v>2.5347222222222221E-3</v>
      </c>
      <c r="I1152" t="s">
        <v>29</v>
      </c>
      <c r="J1152" t="s">
        <v>106</v>
      </c>
      <c r="K1152" s="5">
        <f>304 / 86400</f>
        <v>3.5185185185185185E-3</v>
      </c>
      <c r="L1152" s="5">
        <f>2391 / 86400</f>
        <v>2.7673611111111111E-2</v>
      </c>
    </row>
    <row r="1153" spans="1:12" x14ac:dyDescent="0.25">
      <c r="A1153" s="3">
        <v>45713.767858796295</v>
      </c>
      <c r="B1153" t="s">
        <v>316</v>
      </c>
      <c r="C1153" s="3">
        <v>45713.99013888889</v>
      </c>
      <c r="D1153" t="s">
        <v>121</v>
      </c>
      <c r="E1153" s="4">
        <v>80.653999999999996</v>
      </c>
      <c r="F1153" s="4">
        <v>553139.08299999998</v>
      </c>
      <c r="G1153" s="4">
        <v>553219.73699999996</v>
      </c>
      <c r="H1153" s="5">
        <f>7419 / 86400</f>
        <v>8.5868055555555559E-2</v>
      </c>
      <c r="I1153" t="s">
        <v>93</v>
      </c>
      <c r="J1153" t="s">
        <v>76</v>
      </c>
      <c r="K1153" s="5">
        <f>19204 / 86400</f>
        <v>0.22226851851851853</v>
      </c>
      <c r="L1153" s="5">
        <f>851 / 86400</f>
        <v>9.8495370370370369E-3</v>
      </c>
    </row>
    <row r="1154" spans="1:12" x14ac:dyDescent="0.25">
      <c r="A1154" s="12"/>
      <c r="B1154" s="12"/>
      <c r="C1154" s="12"/>
      <c r="D1154" s="12"/>
      <c r="E1154" s="12"/>
      <c r="F1154" s="12"/>
      <c r="G1154" s="12"/>
      <c r="H1154" s="12"/>
      <c r="I1154" s="12"/>
      <c r="J1154" s="12"/>
    </row>
    <row r="1155" spans="1:12" x14ac:dyDescent="0.25">
      <c r="A1155" s="12"/>
      <c r="B1155" s="12"/>
      <c r="C1155" s="12"/>
      <c r="D1155" s="12"/>
      <c r="E1155" s="12"/>
      <c r="F1155" s="12"/>
      <c r="G1155" s="12"/>
      <c r="H1155" s="12"/>
      <c r="I1155" s="12"/>
      <c r="J1155" s="12"/>
    </row>
    <row r="1156" spans="1:12" s="10" customFormat="1" ht="20.100000000000001" customHeight="1" x14ac:dyDescent="0.35">
      <c r="A1156" s="15" t="s">
        <v>450</v>
      </c>
      <c r="B1156" s="15"/>
      <c r="C1156" s="15"/>
      <c r="D1156" s="15"/>
      <c r="E1156" s="15"/>
      <c r="F1156" s="15"/>
      <c r="G1156" s="15"/>
      <c r="H1156" s="15"/>
      <c r="I1156" s="15"/>
      <c r="J1156" s="15"/>
    </row>
    <row r="1157" spans="1:12" x14ac:dyDescent="0.25">
      <c r="A1157" s="12"/>
      <c r="B1157" s="12"/>
      <c r="C1157" s="12"/>
      <c r="D1157" s="12"/>
      <c r="E1157" s="12"/>
      <c r="F1157" s="12"/>
      <c r="G1157" s="12"/>
      <c r="H1157" s="12"/>
      <c r="I1157" s="12"/>
      <c r="J1157" s="12"/>
    </row>
    <row r="1158" spans="1:12" ht="30" x14ac:dyDescent="0.25">
      <c r="A1158" s="2" t="s">
        <v>6</v>
      </c>
      <c r="B1158" s="2" t="s">
        <v>7</v>
      </c>
      <c r="C1158" s="2" t="s">
        <v>8</v>
      </c>
      <c r="D1158" s="2" t="s">
        <v>9</v>
      </c>
      <c r="E1158" s="2" t="s">
        <v>10</v>
      </c>
      <c r="F1158" s="2" t="s">
        <v>11</v>
      </c>
      <c r="G1158" s="2" t="s">
        <v>12</v>
      </c>
      <c r="H1158" s="2" t="s">
        <v>13</v>
      </c>
      <c r="I1158" s="2" t="s">
        <v>14</v>
      </c>
      <c r="J1158" s="2" t="s">
        <v>15</v>
      </c>
      <c r="K1158" s="2" t="s">
        <v>16</v>
      </c>
      <c r="L1158" s="2" t="s">
        <v>17</v>
      </c>
    </row>
    <row r="1159" spans="1:12" x14ac:dyDescent="0.25">
      <c r="A1159" s="3">
        <v>45713.269212962958</v>
      </c>
      <c r="B1159" t="s">
        <v>36</v>
      </c>
      <c r="C1159" s="3">
        <v>45713.556296296301</v>
      </c>
      <c r="D1159" t="s">
        <v>322</v>
      </c>
      <c r="E1159" s="4">
        <v>584.70499999999959</v>
      </c>
      <c r="F1159" s="4">
        <v>3651.3050000000003</v>
      </c>
      <c r="G1159" s="4">
        <v>4236.01</v>
      </c>
      <c r="H1159" s="5">
        <f>9297 / 86400</f>
        <v>0.10760416666666667</v>
      </c>
      <c r="I1159" t="s">
        <v>31</v>
      </c>
      <c r="J1159" t="s">
        <v>317</v>
      </c>
      <c r="K1159" s="5">
        <f>24803 / 86400</f>
        <v>0.28707175925925926</v>
      </c>
      <c r="L1159" s="5">
        <f>23785 / 86400</f>
        <v>0.27528935185185183</v>
      </c>
    </row>
    <row r="1160" spans="1:12" x14ac:dyDescent="0.25">
      <c r="A1160" s="3">
        <v>45713.562372685185</v>
      </c>
      <c r="B1160" t="s">
        <v>322</v>
      </c>
      <c r="C1160" s="3">
        <v>45713.726076388892</v>
      </c>
      <c r="D1160" t="s">
        <v>82</v>
      </c>
      <c r="E1160" s="4">
        <v>249.13499999999999</v>
      </c>
      <c r="F1160" s="4">
        <v>4236.01</v>
      </c>
      <c r="G1160" s="4">
        <v>4485.1450000000004</v>
      </c>
      <c r="H1160" s="5">
        <f>6300 / 86400</f>
        <v>7.2916666666666671E-2</v>
      </c>
      <c r="I1160" t="s">
        <v>87</v>
      </c>
      <c r="J1160" t="s">
        <v>247</v>
      </c>
      <c r="K1160" s="5">
        <f>14143 / 86400</f>
        <v>0.16369212962962962</v>
      </c>
      <c r="L1160" s="5">
        <f>308 / 86400</f>
        <v>3.5648148148148149E-3</v>
      </c>
    </row>
    <row r="1161" spans="1:12" x14ac:dyDescent="0.25">
      <c r="A1161" s="3">
        <v>45713.729641203703</v>
      </c>
      <c r="B1161" t="s">
        <v>82</v>
      </c>
      <c r="C1161" s="3">
        <v>45713.731122685189</v>
      </c>
      <c r="D1161" t="s">
        <v>115</v>
      </c>
      <c r="E1161" s="4">
        <v>0.97</v>
      </c>
      <c r="F1161" s="4">
        <v>4485.1450000000004</v>
      </c>
      <c r="G1161" s="4">
        <v>4486.1149999999998</v>
      </c>
      <c r="H1161" s="5">
        <f>19 / 86400</f>
        <v>2.199074074074074E-4</v>
      </c>
      <c r="I1161" t="s">
        <v>53</v>
      </c>
      <c r="J1161" t="s">
        <v>164</v>
      </c>
      <c r="K1161" s="5">
        <f>127 / 86400</f>
        <v>1.4699074074074074E-3</v>
      </c>
      <c r="L1161" s="5">
        <f>1307 / 86400</f>
        <v>1.5127314814814816E-2</v>
      </c>
    </row>
    <row r="1162" spans="1:12" x14ac:dyDescent="0.25">
      <c r="A1162" s="3">
        <v>45713.746249999997</v>
      </c>
      <c r="B1162" t="s">
        <v>115</v>
      </c>
      <c r="C1162" s="3">
        <v>45713.925046296295</v>
      </c>
      <c r="D1162" t="s">
        <v>27</v>
      </c>
      <c r="E1162" s="4">
        <v>383.29500000000002</v>
      </c>
      <c r="F1162" s="4">
        <v>4486.1149999999998</v>
      </c>
      <c r="G1162" s="4">
        <v>4869.41</v>
      </c>
      <c r="H1162" s="5">
        <f>5939 / 86400</f>
        <v>6.8738425925925925E-2</v>
      </c>
      <c r="I1162" t="s">
        <v>37</v>
      </c>
      <c r="J1162" t="s">
        <v>47</v>
      </c>
      <c r="K1162" s="5">
        <f>15447 / 86400</f>
        <v>0.17878472222222222</v>
      </c>
      <c r="L1162" s="5">
        <f>1233 / 86400</f>
        <v>1.4270833333333333E-2</v>
      </c>
    </row>
    <row r="1163" spans="1:12" x14ac:dyDescent="0.25">
      <c r="A1163" s="3">
        <v>45713.939317129625</v>
      </c>
      <c r="B1163" t="s">
        <v>27</v>
      </c>
      <c r="C1163" s="3">
        <v>45713.946354166663</v>
      </c>
      <c r="D1163" t="s">
        <v>36</v>
      </c>
      <c r="E1163" s="4">
        <v>3.67</v>
      </c>
      <c r="F1163" s="4">
        <v>4869.41</v>
      </c>
      <c r="G1163" s="4">
        <v>4873.08</v>
      </c>
      <c r="H1163" s="5">
        <f>419 / 86400</f>
        <v>4.8495370370370368E-3</v>
      </c>
      <c r="I1163" t="s">
        <v>190</v>
      </c>
      <c r="J1163" t="s">
        <v>136</v>
      </c>
      <c r="K1163" s="5">
        <f>607 / 86400</f>
        <v>7.0254629629629634E-3</v>
      </c>
      <c r="L1163" s="5">
        <f>2235 / 86400</f>
        <v>2.5868055555555554E-2</v>
      </c>
    </row>
    <row r="1164" spans="1:12" x14ac:dyDescent="0.25">
      <c r="A1164" s="3">
        <v>45713.972222222219</v>
      </c>
      <c r="B1164" t="s">
        <v>36</v>
      </c>
      <c r="C1164" s="3">
        <v>45713.974826388891</v>
      </c>
      <c r="D1164" t="s">
        <v>36</v>
      </c>
      <c r="E1164" s="4">
        <v>0.25</v>
      </c>
      <c r="F1164" s="4">
        <v>4873.08</v>
      </c>
      <c r="G1164" s="4">
        <v>4873.33</v>
      </c>
      <c r="H1164" s="5">
        <f>119 / 86400</f>
        <v>1.3773148148148147E-3</v>
      </c>
      <c r="I1164" t="s">
        <v>145</v>
      </c>
      <c r="J1164" t="s">
        <v>141</v>
      </c>
      <c r="K1164" s="5">
        <f>224 / 86400</f>
        <v>2.5925925925925925E-3</v>
      </c>
      <c r="L1164" s="5">
        <f>2174 / 86400</f>
        <v>2.5162037037037038E-2</v>
      </c>
    </row>
    <row r="1165" spans="1:12" x14ac:dyDescent="0.25">
      <c r="A1165" s="12"/>
      <c r="B1165" s="12"/>
      <c r="C1165" s="12"/>
      <c r="D1165" s="12"/>
      <c r="E1165" s="12"/>
      <c r="F1165" s="12"/>
      <c r="G1165" s="12"/>
      <c r="H1165" s="12"/>
      <c r="I1165" s="12"/>
      <c r="J1165" s="12"/>
    </row>
    <row r="1166" spans="1:12" x14ac:dyDescent="0.25">
      <c r="A1166" s="12"/>
      <c r="B1166" s="12"/>
      <c r="C1166" s="12"/>
      <c r="D1166" s="12"/>
      <c r="E1166" s="12"/>
      <c r="F1166" s="12"/>
      <c r="G1166" s="12"/>
      <c r="H1166" s="12"/>
      <c r="I1166" s="12"/>
      <c r="J1166" s="12"/>
    </row>
    <row r="1167" spans="1:12" s="10" customFormat="1" ht="20.100000000000001" customHeight="1" x14ac:dyDescent="0.35">
      <c r="A1167" s="15" t="s">
        <v>451</v>
      </c>
      <c r="B1167" s="15"/>
      <c r="C1167" s="15"/>
      <c r="D1167" s="15"/>
      <c r="E1167" s="15"/>
      <c r="F1167" s="15"/>
      <c r="G1167" s="15"/>
      <c r="H1167" s="15"/>
      <c r="I1167" s="15"/>
      <c r="J1167" s="15"/>
    </row>
    <row r="1168" spans="1:12" x14ac:dyDescent="0.25">
      <c r="A1168" s="12"/>
      <c r="B1168" s="12"/>
      <c r="C1168" s="12"/>
      <c r="D1168" s="12"/>
      <c r="E1168" s="12"/>
      <c r="F1168" s="12"/>
      <c r="G1168" s="12"/>
      <c r="H1168" s="12"/>
      <c r="I1168" s="12"/>
      <c r="J1168" s="12"/>
    </row>
    <row r="1169" spans="1:12" ht="30" x14ac:dyDescent="0.25">
      <c r="A1169" s="2" t="s">
        <v>6</v>
      </c>
      <c r="B1169" s="2" t="s">
        <v>7</v>
      </c>
      <c r="C1169" s="2" t="s">
        <v>8</v>
      </c>
      <c r="D1169" s="2" t="s">
        <v>9</v>
      </c>
      <c r="E1169" s="2" t="s">
        <v>10</v>
      </c>
      <c r="F1169" s="2" t="s">
        <v>11</v>
      </c>
      <c r="G1169" s="2" t="s">
        <v>12</v>
      </c>
      <c r="H1169" s="2" t="s">
        <v>13</v>
      </c>
      <c r="I1169" s="2" t="s">
        <v>14</v>
      </c>
      <c r="J1169" s="2" t="s">
        <v>15</v>
      </c>
      <c r="K1169" s="2" t="s">
        <v>16</v>
      </c>
      <c r="L1169" s="2" t="s">
        <v>17</v>
      </c>
    </row>
    <row r="1170" spans="1:12" x14ac:dyDescent="0.25">
      <c r="A1170" s="3">
        <v>45713</v>
      </c>
      <c r="B1170" t="s">
        <v>79</v>
      </c>
      <c r="C1170" s="3">
        <v>45713.0471875</v>
      </c>
      <c r="D1170" t="s">
        <v>191</v>
      </c>
      <c r="E1170" s="4">
        <v>31.157</v>
      </c>
      <c r="F1170" s="4">
        <v>62743.654000000002</v>
      </c>
      <c r="G1170" s="4">
        <v>62774.811000000002</v>
      </c>
      <c r="H1170" s="5">
        <f>820 / 86400</f>
        <v>9.4907407407407406E-3</v>
      </c>
      <c r="I1170" t="s">
        <v>142</v>
      </c>
      <c r="J1170" t="s">
        <v>166</v>
      </c>
      <c r="K1170" s="5">
        <f>4077 / 86400</f>
        <v>4.71875E-2</v>
      </c>
      <c r="L1170" s="5">
        <f>485 / 86400</f>
        <v>5.6134259259259262E-3</v>
      </c>
    </row>
    <row r="1171" spans="1:12" x14ac:dyDescent="0.25">
      <c r="A1171" s="3">
        <v>45713.052800925929</v>
      </c>
      <c r="B1171" t="s">
        <v>191</v>
      </c>
      <c r="C1171" s="3">
        <v>45713.055254629631</v>
      </c>
      <c r="D1171" t="s">
        <v>122</v>
      </c>
      <c r="E1171" s="4">
        <v>0.27400000000000002</v>
      </c>
      <c r="F1171" s="4">
        <v>62774.811000000002</v>
      </c>
      <c r="G1171" s="4">
        <v>62775.084999999999</v>
      </c>
      <c r="H1171" s="5">
        <f>100 / 86400</f>
        <v>1.1574074074074073E-3</v>
      </c>
      <c r="I1171" t="s">
        <v>26</v>
      </c>
      <c r="J1171" t="s">
        <v>146</v>
      </c>
      <c r="K1171" s="5">
        <f>212 / 86400</f>
        <v>2.4537037037037036E-3</v>
      </c>
      <c r="L1171" s="5">
        <f>173 / 86400</f>
        <v>2.0023148148148148E-3</v>
      </c>
    </row>
    <row r="1172" spans="1:12" x14ac:dyDescent="0.25">
      <c r="A1172" s="3">
        <v>45713.057256944448</v>
      </c>
      <c r="B1172" t="s">
        <v>122</v>
      </c>
      <c r="C1172" s="3">
        <v>45713.058194444442</v>
      </c>
      <c r="D1172" t="s">
        <v>122</v>
      </c>
      <c r="E1172" s="4">
        <v>3.6999999999999998E-2</v>
      </c>
      <c r="F1172" s="4">
        <v>62775.084999999999</v>
      </c>
      <c r="G1172" s="4">
        <v>62775.122000000003</v>
      </c>
      <c r="H1172" s="5">
        <f>40 / 86400</f>
        <v>4.6296296296296298E-4</v>
      </c>
      <c r="I1172" t="s">
        <v>34</v>
      </c>
      <c r="J1172" t="s">
        <v>147</v>
      </c>
      <c r="K1172" s="5">
        <f>80 / 86400</f>
        <v>9.2592592592592596E-4</v>
      </c>
      <c r="L1172" s="5">
        <f>11827 / 86400</f>
        <v>0.13688657407407406</v>
      </c>
    </row>
    <row r="1173" spans="1:12" x14ac:dyDescent="0.25">
      <c r="A1173" s="3">
        <v>45713.195081018523</v>
      </c>
      <c r="B1173" t="s">
        <v>122</v>
      </c>
      <c r="C1173" s="3">
        <v>45713.197650462964</v>
      </c>
      <c r="D1173" t="s">
        <v>115</v>
      </c>
      <c r="E1173" s="4">
        <v>0.38400000000000001</v>
      </c>
      <c r="F1173" s="4">
        <v>62775.122000000003</v>
      </c>
      <c r="G1173" s="4">
        <v>62775.506000000001</v>
      </c>
      <c r="H1173" s="5">
        <f>79 / 86400</f>
        <v>9.1435185185185185E-4</v>
      </c>
      <c r="I1173" t="s">
        <v>38</v>
      </c>
      <c r="J1173" t="s">
        <v>145</v>
      </c>
      <c r="K1173" s="5">
        <f>222 / 86400</f>
        <v>2.5694444444444445E-3</v>
      </c>
      <c r="L1173" s="5">
        <f>90 / 86400</f>
        <v>1.0416666666666667E-3</v>
      </c>
    </row>
    <row r="1174" spans="1:12" x14ac:dyDescent="0.25">
      <c r="A1174" s="3">
        <v>45713.198692129634</v>
      </c>
      <c r="B1174" t="s">
        <v>115</v>
      </c>
      <c r="C1174" s="3">
        <v>45713.310810185183</v>
      </c>
      <c r="D1174" t="s">
        <v>323</v>
      </c>
      <c r="E1174" s="4">
        <v>52.57</v>
      </c>
      <c r="F1174" s="4">
        <v>62775.506000000001</v>
      </c>
      <c r="G1174" s="4">
        <v>62828.076000000001</v>
      </c>
      <c r="H1174" s="5">
        <f>2701 / 86400</f>
        <v>3.1261574074074074E-2</v>
      </c>
      <c r="I1174" t="s">
        <v>75</v>
      </c>
      <c r="J1174" t="s">
        <v>111</v>
      </c>
      <c r="K1174" s="5">
        <f>9687 / 86400</f>
        <v>0.11211805555555555</v>
      </c>
      <c r="L1174" s="5">
        <f>4 / 86400</f>
        <v>4.6296296296296294E-5</v>
      </c>
    </row>
    <row r="1175" spans="1:12" x14ac:dyDescent="0.25">
      <c r="A1175" s="3">
        <v>45713.310856481483</v>
      </c>
      <c r="B1175" t="s">
        <v>323</v>
      </c>
      <c r="C1175" s="3">
        <v>45713.421134259261</v>
      </c>
      <c r="D1175" t="s">
        <v>363</v>
      </c>
      <c r="E1175" s="4">
        <v>49.125</v>
      </c>
      <c r="F1175" s="4">
        <v>62828.076000000001</v>
      </c>
      <c r="G1175" s="4">
        <v>62877.201000000001</v>
      </c>
      <c r="H1175" s="5">
        <f>2658 / 86400</f>
        <v>3.0763888888888889E-2</v>
      </c>
      <c r="I1175" t="s">
        <v>19</v>
      </c>
      <c r="J1175" t="s">
        <v>92</v>
      </c>
      <c r="K1175" s="5">
        <f>9527 / 86400</f>
        <v>0.1102662037037037</v>
      </c>
      <c r="L1175" s="5">
        <f>33 / 86400</f>
        <v>3.8194444444444446E-4</v>
      </c>
    </row>
    <row r="1176" spans="1:12" x14ac:dyDescent="0.25">
      <c r="A1176" s="3">
        <v>45713.4215162037</v>
      </c>
      <c r="B1176" t="s">
        <v>363</v>
      </c>
      <c r="C1176" s="3">
        <v>45713.42597222222</v>
      </c>
      <c r="D1176" t="s">
        <v>132</v>
      </c>
      <c r="E1176" s="4">
        <v>1.4430000000000001</v>
      </c>
      <c r="F1176" s="4">
        <v>62877.201000000001</v>
      </c>
      <c r="G1176" s="4">
        <v>62878.644</v>
      </c>
      <c r="H1176" s="5">
        <f>0 / 86400</f>
        <v>0</v>
      </c>
      <c r="I1176" t="s">
        <v>228</v>
      </c>
      <c r="J1176" t="s">
        <v>45</v>
      </c>
      <c r="K1176" s="5">
        <f>385 / 86400</f>
        <v>4.4560185185185189E-3</v>
      </c>
      <c r="L1176" s="5">
        <f>1056 / 86400</f>
        <v>1.2222222222222223E-2</v>
      </c>
    </row>
    <row r="1177" spans="1:12" x14ac:dyDescent="0.25">
      <c r="A1177" s="3">
        <v>45713.438194444447</v>
      </c>
      <c r="B1177" t="s">
        <v>132</v>
      </c>
      <c r="C1177" s="3">
        <v>45713.440717592588</v>
      </c>
      <c r="D1177" t="s">
        <v>137</v>
      </c>
      <c r="E1177" s="4">
        <v>0.61899999999999999</v>
      </c>
      <c r="F1177" s="4">
        <v>62878.644</v>
      </c>
      <c r="G1177" s="4">
        <v>62879.262999999999</v>
      </c>
      <c r="H1177" s="5">
        <f>0 / 86400</f>
        <v>0</v>
      </c>
      <c r="I1177" t="s">
        <v>26</v>
      </c>
      <c r="J1177" t="s">
        <v>134</v>
      </c>
      <c r="K1177" s="5">
        <f>218 / 86400</f>
        <v>2.5231481481481481E-3</v>
      </c>
      <c r="L1177" s="5">
        <f>2669 / 86400</f>
        <v>3.0891203703703702E-2</v>
      </c>
    </row>
    <row r="1178" spans="1:12" x14ac:dyDescent="0.25">
      <c r="A1178" s="3">
        <v>45713.471608796295</v>
      </c>
      <c r="B1178" t="s">
        <v>137</v>
      </c>
      <c r="C1178" s="3">
        <v>45713.550370370373</v>
      </c>
      <c r="D1178" t="s">
        <v>390</v>
      </c>
      <c r="E1178" s="4">
        <v>37.311</v>
      </c>
      <c r="F1178" s="4">
        <v>62879.262999999999</v>
      </c>
      <c r="G1178" s="4">
        <v>62916.574000000001</v>
      </c>
      <c r="H1178" s="5">
        <f>2339 / 86400</f>
        <v>2.7071759259259261E-2</v>
      </c>
      <c r="I1178" t="s">
        <v>123</v>
      </c>
      <c r="J1178" t="s">
        <v>111</v>
      </c>
      <c r="K1178" s="5">
        <f>6805 / 86400</f>
        <v>7.8761574074074067E-2</v>
      </c>
      <c r="L1178" s="5">
        <f>57 / 86400</f>
        <v>6.5972222222222224E-4</v>
      </c>
    </row>
    <row r="1179" spans="1:12" x14ac:dyDescent="0.25">
      <c r="A1179" s="3">
        <v>45713.551030092596</v>
      </c>
      <c r="B1179" t="s">
        <v>390</v>
      </c>
      <c r="C1179" s="3">
        <v>45713.587071759262</v>
      </c>
      <c r="D1179" t="s">
        <v>262</v>
      </c>
      <c r="E1179" s="4">
        <v>11.875</v>
      </c>
      <c r="F1179" s="4">
        <v>62916.574000000001</v>
      </c>
      <c r="G1179" s="4">
        <v>62928.449000000001</v>
      </c>
      <c r="H1179" s="5">
        <f>1040 / 86400</f>
        <v>1.2037037037037037E-2</v>
      </c>
      <c r="I1179" t="s">
        <v>331</v>
      </c>
      <c r="J1179" t="s">
        <v>29</v>
      </c>
      <c r="K1179" s="5">
        <f>3114 / 86400</f>
        <v>3.6041666666666666E-2</v>
      </c>
      <c r="L1179" s="5">
        <f>57 / 86400</f>
        <v>6.5972222222222224E-4</v>
      </c>
    </row>
    <row r="1180" spans="1:12" x14ac:dyDescent="0.25">
      <c r="A1180" s="3">
        <v>45713.587731481486</v>
      </c>
      <c r="B1180" t="s">
        <v>262</v>
      </c>
      <c r="C1180" s="3">
        <v>45713.646550925929</v>
      </c>
      <c r="D1180" t="s">
        <v>175</v>
      </c>
      <c r="E1180" s="4">
        <v>25.794</v>
      </c>
      <c r="F1180" s="4">
        <v>62928.449000000001</v>
      </c>
      <c r="G1180" s="4">
        <v>62954.243000000002</v>
      </c>
      <c r="H1180" s="5">
        <f>1541 / 86400</f>
        <v>1.7835648148148149E-2</v>
      </c>
      <c r="I1180" t="s">
        <v>40</v>
      </c>
      <c r="J1180" t="s">
        <v>26</v>
      </c>
      <c r="K1180" s="5">
        <f>5082 / 86400</f>
        <v>5.8819444444444445E-2</v>
      </c>
      <c r="L1180" s="5">
        <f>50 / 86400</f>
        <v>5.7870370370370367E-4</v>
      </c>
    </row>
    <row r="1181" spans="1:12" x14ac:dyDescent="0.25">
      <c r="A1181" s="3">
        <v>45713.647129629629</v>
      </c>
      <c r="B1181" t="s">
        <v>175</v>
      </c>
      <c r="C1181" s="3">
        <v>45713.680405092593</v>
      </c>
      <c r="D1181" t="s">
        <v>82</v>
      </c>
      <c r="E1181" s="4">
        <v>19.872</v>
      </c>
      <c r="F1181" s="4">
        <v>62954.243000000002</v>
      </c>
      <c r="G1181" s="4">
        <v>62974.114999999998</v>
      </c>
      <c r="H1181" s="5">
        <f>561 / 86400</f>
        <v>6.4930555555555557E-3</v>
      </c>
      <c r="I1181" t="s">
        <v>40</v>
      </c>
      <c r="J1181" t="s">
        <v>190</v>
      </c>
      <c r="K1181" s="5">
        <f>2875 / 86400</f>
        <v>3.3275462962962965E-2</v>
      </c>
      <c r="L1181" s="5">
        <f>380 / 86400</f>
        <v>4.3981481481481484E-3</v>
      </c>
    </row>
    <row r="1182" spans="1:12" x14ac:dyDescent="0.25">
      <c r="A1182" s="3">
        <v>45713.684803240743</v>
      </c>
      <c r="B1182" t="s">
        <v>82</v>
      </c>
      <c r="C1182" s="3">
        <v>45713.685706018514</v>
      </c>
      <c r="D1182" t="s">
        <v>82</v>
      </c>
      <c r="E1182" s="4">
        <v>0.13800000000000001</v>
      </c>
      <c r="F1182" s="4">
        <v>62974.114999999998</v>
      </c>
      <c r="G1182" s="4">
        <v>62974.252999999997</v>
      </c>
      <c r="H1182" s="5">
        <f>0 / 86400</f>
        <v>0</v>
      </c>
      <c r="I1182" t="s">
        <v>111</v>
      </c>
      <c r="J1182" t="s">
        <v>145</v>
      </c>
      <c r="K1182" s="5">
        <f>78 / 86400</f>
        <v>9.0277777777777774E-4</v>
      </c>
      <c r="L1182" s="5">
        <f>500 / 86400</f>
        <v>5.7870370370370367E-3</v>
      </c>
    </row>
    <row r="1183" spans="1:12" x14ac:dyDescent="0.25">
      <c r="A1183" s="3">
        <v>45713.69149305555</v>
      </c>
      <c r="B1183" t="s">
        <v>82</v>
      </c>
      <c r="C1183" s="3">
        <v>45713.692812499998</v>
      </c>
      <c r="D1183" t="s">
        <v>82</v>
      </c>
      <c r="E1183" s="4">
        <v>0.10199999999999999</v>
      </c>
      <c r="F1183" s="4">
        <v>62974.252999999997</v>
      </c>
      <c r="G1183" s="4">
        <v>62974.355000000003</v>
      </c>
      <c r="H1183" s="5">
        <f>39 / 86400</f>
        <v>4.5138888888888887E-4</v>
      </c>
      <c r="I1183" t="s">
        <v>53</v>
      </c>
      <c r="J1183" t="s">
        <v>106</v>
      </c>
      <c r="K1183" s="5">
        <f>114 / 86400</f>
        <v>1.3194444444444445E-3</v>
      </c>
      <c r="L1183" s="5">
        <f>494 / 86400</f>
        <v>5.7175925925925927E-3</v>
      </c>
    </row>
    <row r="1184" spans="1:12" x14ac:dyDescent="0.25">
      <c r="A1184" s="3">
        <v>45713.698530092588</v>
      </c>
      <c r="B1184" t="s">
        <v>82</v>
      </c>
      <c r="C1184" s="3">
        <v>45713.701909722222</v>
      </c>
      <c r="D1184" t="s">
        <v>103</v>
      </c>
      <c r="E1184" s="4">
        <v>0.109</v>
      </c>
      <c r="F1184" s="4">
        <v>62974.355000000003</v>
      </c>
      <c r="G1184" s="4">
        <v>62974.464</v>
      </c>
      <c r="H1184" s="5">
        <f>219 / 86400</f>
        <v>2.5347222222222221E-3</v>
      </c>
      <c r="I1184" t="s">
        <v>145</v>
      </c>
      <c r="J1184" t="s">
        <v>144</v>
      </c>
      <c r="K1184" s="5">
        <f>292 / 86400</f>
        <v>3.3796296296296296E-3</v>
      </c>
      <c r="L1184" s="5">
        <f>6542 / 86400</f>
        <v>7.5717592592592586E-2</v>
      </c>
    </row>
    <row r="1185" spans="1:12" x14ac:dyDescent="0.25">
      <c r="A1185" s="3">
        <v>45713.777627314819</v>
      </c>
      <c r="B1185" t="s">
        <v>103</v>
      </c>
      <c r="C1185" s="3">
        <v>45713.779108796298</v>
      </c>
      <c r="D1185" t="s">
        <v>82</v>
      </c>
      <c r="E1185" s="4">
        <v>0.09</v>
      </c>
      <c r="F1185" s="4">
        <v>62974.464</v>
      </c>
      <c r="G1185" s="4">
        <v>62974.553999999996</v>
      </c>
      <c r="H1185" s="5">
        <f>79 / 86400</f>
        <v>9.1435185185185185E-4</v>
      </c>
      <c r="I1185" t="s">
        <v>20</v>
      </c>
      <c r="J1185" t="s">
        <v>106</v>
      </c>
      <c r="K1185" s="5">
        <f>127 / 86400</f>
        <v>1.4699074074074074E-3</v>
      </c>
      <c r="L1185" s="5">
        <f>1177 / 86400</f>
        <v>1.3622685185185186E-2</v>
      </c>
    </row>
    <row r="1186" spans="1:12" x14ac:dyDescent="0.25">
      <c r="A1186" s="3">
        <v>45713.792731481481</v>
      </c>
      <c r="B1186" t="s">
        <v>82</v>
      </c>
      <c r="C1186" s="3">
        <v>45713.796284722222</v>
      </c>
      <c r="D1186" t="s">
        <v>21</v>
      </c>
      <c r="E1186" s="4">
        <v>1.4590000000000001</v>
      </c>
      <c r="F1186" s="4">
        <v>62974.553999999996</v>
      </c>
      <c r="G1186" s="4">
        <v>62976.012999999999</v>
      </c>
      <c r="H1186" s="5">
        <f>79 / 86400</f>
        <v>9.1435185185185185E-4</v>
      </c>
      <c r="I1186" t="s">
        <v>156</v>
      </c>
      <c r="J1186" t="s">
        <v>20</v>
      </c>
      <c r="K1186" s="5">
        <f>306 / 86400</f>
        <v>3.5416666666666665E-3</v>
      </c>
      <c r="L1186" s="5">
        <f>487 / 86400</f>
        <v>5.6365740740740742E-3</v>
      </c>
    </row>
    <row r="1187" spans="1:12" x14ac:dyDescent="0.25">
      <c r="A1187" s="3">
        <v>45713.801921296297</v>
      </c>
      <c r="B1187" t="s">
        <v>21</v>
      </c>
      <c r="C1187" s="3">
        <v>45713.807858796295</v>
      </c>
      <c r="D1187" t="s">
        <v>122</v>
      </c>
      <c r="E1187" s="4">
        <v>1.833</v>
      </c>
      <c r="F1187" s="4">
        <v>62976.012999999999</v>
      </c>
      <c r="G1187" s="4">
        <v>62977.845999999998</v>
      </c>
      <c r="H1187" s="5">
        <f>80 / 86400</f>
        <v>9.2592592592592596E-4</v>
      </c>
      <c r="I1187" t="s">
        <v>153</v>
      </c>
      <c r="J1187" t="s">
        <v>45</v>
      </c>
      <c r="K1187" s="5">
        <f>512 / 86400</f>
        <v>5.9259259259259256E-3</v>
      </c>
      <c r="L1187" s="5">
        <f>16600 / 86400</f>
        <v>0.19212962962962962</v>
      </c>
    </row>
    <row r="1188" spans="1:12" x14ac:dyDescent="0.25">
      <c r="A1188" s="12"/>
      <c r="B1188" s="12"/>
      <c r="C1188" s="12"/>
      <c r="D1188" s="12"/>
      <c r="E1188" s="12"/>
      <c r="F1188" s="12"/>
      <c r="G1188" s="12"/>
      <c r="H1188" s="12"/>
      <c r="I1188" s="12"/>
      <c r="J1188" s="12"/>
    </row>
    <row r="1189" spans="1:12" x14ac:dyDescent="0.25">
      <c r="A1189" s="12"/>
      <c r="B1189" s="12"/>
      <c r="C1189" s="12"/>
      <c r="D1189" s="12"/>
      <c r="E1189" s="12"/>
      <c r="F1189" s="12"/>
      <c r="G1189" s="12"/>
      <c r="H1189" s="12"/>
      <c r="I1189" s="12"/>
      <c r="J1189" s="12"/>
    </row>
    <row r="1190" spans="1:12" s="10" customFormat="1" ht="20.100000000000001" customHeight="1" x14ac:dyDescent="0.35">
      <c r="A1190" s="15" t="s">
        <v>452</v>
      </c>
      <c r="B1190" s="15"/>
      <c r="C1190" s="15"/>
      <c r="D1190" s="15"/>
      <c r="E1190" s="15"/>
      <c r="F1190" s="15"/>
      <c r="G1190" s="15"/>
      <c r="H1190" s="15"/>
      <c r="I1190" s="15"/>
      <c r="J1190" s="15"/>
    </row>
    <row r="1191" spans="1:12" x14ac:dyDescent="0.25">
      <c r="A1191" s="12"/>
      <c r="B1191" s="12"/>
      <c r="C1191" s="12"/>
      <c r="D1191" s="12"/>
      <c r="E1191" s="12"/>
      <c r="F1191" s="12"/>
      <c r="G1191" s="12"/>
      <c r="H1191" s="12"/>
      <c r="I1191" s="12"/>
      <c r="J1191" s="12"/>
    </row>
    <row r="1192" spans="1:12" ht="30" x14ac:dyDescent="0.25">
      <c r="A1192" s="2" t="s">
        <v>6</v>
      </c>
      <c r="B1192" s="2" t="s">
        <v>7</v>
      </c>
      <c r="C1192" s="2" t="s">
        <v>8</v>
      </c>
      <c r="D1192" s="2" t="s">
        <v>9</v>
      </c>
      <c r="E1192" s="2" t="s">
        <v>10</v>
      </c>
      <c r="F1192" s="2" t="s">
        <v>11</v>
      </c>
      <c r="G1192" s="2" t="s">
        <v>12</v>
      </c>
      <c r="H1192" s="2" t="s">
        <v>13</v>
      </c>
      <c r="I1192" s="2" t="s">
        <v>14</v>
      </c>
      <c r="J1192" s="2" t="s">
        <v>15</v>
      </c>
      <c r="K1192" s="2" t="s">
        <v>16</v>
      </c>
      <c r="L1192" s="2" t="s">
        <v>17</v>
      </c>
    </row>
    <row r="1193" spans="1:12" x14ac:dyDescent="0.25">
      <c r="A1193" s="3">
        <v>45713</v>
      </c>
      <c r="B1193" t="s">
        <v>98</v>
      </c>
      <c r="C1193" s="3">
        <v>45713.002627314811</v>
      </c>
      <c r="D1193" t="s">
        <v>98</v>
      </c>
      <c r="E1193" s="4">
        <v>3.9999999992549419E-2</v>
      </c>
      <c r="F1193" s="4">
        <v>66324.327000000005</v>
      </c>
      <c r="G1193" s="4">
        <v>66324.366999999998</v>
      </c>
      <c r="H1193" s="5">
        <f>199 / 86400</f>
        <v>2.3032407407407407E-3</v>
      </c>
      <c r="I1193" t="s">
        <v>144</v>
      </c>
      <c r="J1193" t="s">
        <v>144</v>
      </c>
      <c r="K1193" s="5">
        <f>227 / 86400</f>
        <v>2.627314814814815E-3</v>
      </c>
      <c r="L1193" s="5">
        <f>15982 / 86400</f>
        <v>0.18497685185185186</v>
      </c>
    </row>
    <row r="1194" spans="1:12" x14ac:dyDescent="0.25">
      <c r="A1194" s="3">
        <v>45713.187604166669</v>
      </c>
      <c r="B1194" t="s">
        <v>98</v>
      </c>
      <c r="C1194" s="3">
        <v>45713.377604166672</v>
      </c>
      <c r="D1194" t="s">
        <v>51</v>
      </c>
      <c r="E1194" s="4">
        <v>106.45099999999999</v>
      </c>
      <c r="F1194" s="4">
        <v>66324.366999999998</v>
      </c>
      <c r="G1194" s="4">
        <v>66430.817999999999</v>
      </c>
      <c r="H1194" s="5">
        <f>4220 / 86400</f>
        <v>4.884259259259259E-2</v>
      </c>
      <c r="I1194" t="s">
        <v>90</v>
      </c>
      <c r="J1194" t="s">
        <v>38</v>
      </c>
      <c r="K1194" s="5">
        <f>16416 / 86400</f>
        <v>0.19</v>
      </c>
      <c r="L1194" s="5">
        <f>1403 / 86400</f>
        <v>1.6238425925925927E-2</v>
      </c>
    </row>
    <row r="1195" spans="1:12" x14ac:dyDescent="0.25">
      <c r="A1195" s="3">
        <v>45713.393842592588</v>
      </c>
      <c r="B1195" t="s">
        <v>51</v>
      </c>
      <c r="C1195" s="3">
        <v>45713.396284722221</v>
      </c>
      <c r="D1195" t="s">
        <v>132</v>
      </c>
      <c r="E1195" s="4">
        <v>0.97100000000745057</v>
      </c>
      <c r="F1195" s="4">
        <v>66430.817999999999</v>
      </c>
      <c r="G1195" s="4">
        <v>66431.789000000004</v>
      </c>
      <c r="H1195" s="5">
        <f>0 / 86400</f>
        <v>0</v>
      </c>
      <c r="I1195" t="s">
        <v>105</v>
      </c>
      <c r="J1195" t="s">
        <v>20</v>
      </c>
      <c r="K1195" s="5">
        <f>211 / 86400</f>
        <v>2.4421296296296296E-3</v>
      </c>
      <c r="L1195" s="5">
        <f>530 / 86400</f>
        <v>6.1342592592592594E-3</v>
      </c>
    </row>
    <row r="1196" spans="1:12" x14ac:dyDescent="0.25">
      <c r="A1196" s="3">
        <v>45713.402418981481</v>
      </c>
      <c r="B1196" t="s">
        <v>132</v>
      </c>
      <c r="C1196" s="3">
        <v>45713.402604166666</v>
      </c>
      <c r="D1196" t="s">
        <v>132</v>
      </c>
      <c r="E1196" s="4">
        <v>3.4000000000000002E-2</v>
      </c>
      <c r="F1196" s="4">
        <v>66431.789000000004</v>
      </c>
      <c r="G1196" s="4">
        <v>66431.823000000004</v>
      </c>
      <c r="H1196" s="5">
        <f>0 / 86400</f>
        <v>0</v>
      </c>
      <c r="I1196" t="s">
        <v>146</v>
      </c>
      <c r="J1196" t="s">
        <v>97</v>
      </c>
      <c r="K1196" s="5">
        <f>15 / 86400</f>
        <v>1.7361111111111112E-4</v>
      </c>
      <c r="L1196" s="5">
        <f>347 / 86400</f>
        <v>4.0162037037037041E-3</v>
      </c>
    </row>
    <row r="1197" spans="1:12" x14ac:dyDescent="0.25">
      <c r="A1197" s="3">
        <v>45713.40662037037</v>
      </c>
      <c r="B1197" t="s">
        <v>132</v>
      </c>
      <c r="C1197" s="3">
        <v>45713.620844907404</v>
      </c>
      <c r="D1197" t="s">
        <v>82</v>
      </c>
      <c r="E1197" s="4">
        <v>96.010999999992549</v>
      </c>
      <c r="F1197" s="4">
        <v>66431.823000000004</v>
      </c>
      <c r="G1197" s="4">
        <v>66527.834000000003</v>
      </c>
      <c r="H1197" s="5">
        <f>6540 / 86400</f>
        <v>7.5694444444444439E-2</v>
      </c>
      <c r="I1197" t="s">
        <v>81</v>
      </c>
      <c r="J1197" t="s">
        <v>92</v>
      </c>
      <c r="K1197" s="5">
        <f>18508 / 86400</f>
        <v>0.21421296296296297</v>
      </c>
      <c r="L1197" s="5">
        <f>288 / 86400</f>
        <v>3.3333333333333335E-3</v>
      </c>
    </row>
    <row r="1198" spans="1:12" x14ac:dyDescent="0.25">
      <c r="A1198" s="3">
        <v>45713.624178240745</v>
      </c>
      <c r="B1198" t="s">
        <v>82</v>
      </c>
      <c r="C1198" s="3">
        <v>45713.626643518517</v>
      </c>
      <c r="D1198" t="s">
        <v>126</v>
      </c>
      <c r="E1198" s="4">
        <v>0.95999999999254937</v>
      </c>
      <c r="F1198" s="4">
        <v>66527.834000000003</v>
      </c>
      <c r="G1198" s="4">
        <v>66528.793999999994</v>
      </c>
      <c r="H1198" s="5">
        <f>20 / 86400</f>
        <v>2.3148148148148149E-4</v>
      </c>
      <c r="I1198" t="s">
        <v>138</v>
      </c>
      <c r="J1198" t="s">
        <v>32</v>
      </c>
      <c r="K1198" s="5">
        <f>212 / 86400</f>
        <v>2.4537037037037036E-3</v>
      </c>
      <c r="L1198" s="5">
        <f>2787 / 86400</f>
        <v>3.2256944444444442E-2</v>
      </c>
    </row>
    <row r="1199" spans="1:12" x14ac:dyDescent="0.25">
      <c r="A1199" s="3">
        <v>45713.658900462964</v>
      </c>
      <c r="B1199" t="s">
        <v>126</v>
      </c>
      <c r="C1199" s="3">
        <v>45713.660057870366</v>
      </c>
      <c r="D1199" t="s">
        <v>126</v>
      </c>
      <c r="E1199" s="4">
        <v>5.5000000007450582E-2</v>
      </c>
      <c r="F1199" s="4">
        <v>66528.793999999994</v>
      </c>
      <c r="G1199" s="4">
        <v>66528.849000000002</v>
      </c>
      <c r="H1199" s="5">
        <f>3 / 86400</f>
        <v>3.4722222222222222E-5</v>
      </c>
      <c r="I1199" t="s">
        <v>145</v>
      </c>
      <c r="J1199" t="s">
        <v>147</v>
      </c>
      <c r="K1199" s="5">
        <f>99 / 86400</f>
        <v>1.1458333333333333E-3</v>
      </c>
      <c r="L1199" s="5">
        <f>662 / 86400</f>
        <v>7.6620370370370366E-3</v>
      </c>
    </row>
    <row r="1200" spans="1:12" x14ac:dyDescent="0.25">
      <c r="A1200" s="3">
        <v>45713.667719907404</v>
      </c>
      <c r="B1200" t="s">
        <v>126</v>
      </c>
      <c r="C1200" s="3">
        <v>45713.781099537038</v>
      </c>
      <c r="D1200" t="s">
        <v>372</v>
      </c>
      <c r="E1200" s="4">
        <v>59.915999999999997</v>
      </c>
      <c r="F1200" s="4">
        <v>66528.849000000002</v>
      </c>
      <c r="G1200" s="4">
        <v>66588.764999999999</v>
      </c>
      <c r="H1200" s="5">
        <f>2580 / 86400</f>
        <v>2.9861111111111113E-2</v>
      </c>
      <c r="I1200" t="s">
        <v>93</v>
      </c>
      <c r="J1200" t="s">
        <v>136</v>
      </c>
      <c r="K1200" s="5">
        <f>9795 / 86400</f>
        <v>0.11336805555555556</v>
      </c>
      <c r="L1200" s="5">
        <f>24 / 86400</f>
        <v>2.7777777777777778E-4</v>
      </c>
    </row>
    <row r="1201" spans="1:12" x14ac:dyDescent="0.25">
      <c r="A1201" s="3">
        <v>45713.781377314815</v>
      </c>
      <c r="B1201" t="s">
        <v>372</v>
      </c>
      <c r="C1201" s="3">
        <v>45713.985960648148</v>
      </c>
      <c r="D1201" t="s">
        <v>104</v>
      </c>
      <c r="E1201" s="4">
        <v>96.503</v>
      </c>
      <c r="F1201" s="4">
        <v>66588.764999999999</v>
      </c>
      <c r="G1201" s="4">
        <v>66685.267999999996</v>
      </c>
      <c r="H1201" s="5">
        <f>5802 / 86400</f>
        <v>6.7152777777777783E-2</v>
      </c>
      <c r="I1201" t="s">
        <v>35</v>
      </c>
      <c r="J1201" t="s">
        <v>111</v>
      </c>
      <c r="K1201" s="5">
        <f>17675 / 86400</f>
        <v>0.20457175925925927</v>
      </c>
      <c r="L1201" s="5">
        <f>825 / 86400</f>
        <v>9.5486111111111119E-3</v>
      </c>
    </row>
    <row r="1202" spans="1:12" x14ac:dyDescent="0.25">
      <c r="A1202" s="3">
        <v>45713.995509259257</v>
      </c>
      <c r="B1202" t="s">
        <v>104</v>
      </c>
      <c r="C1202" s="3">
        <v>45713.99998842593</v>
      </c>
      <c r="D1202" t="s">
        <v>124</v>
      </c>
      <c r="E1202" s="4">
        <v>1.6089999999925495</v>
      </c>
      <c r="F1202" s="4">
        <v>66685.267999999996</v>
      </c>
      <c r="G1202" s="4">
        <v>66686.876999999993</v>
      </c>
      <c r="H1202" s="5">
        <f>100 / 86400</f>
        <v>1.1574074074074073E-3</v>
      </c>
      <c r="I1202" t="s">
        <v>138</v>
      </c>
      <c r="J1202" t="s">
        <v>76</v>
      </c>
      <c r="K1202" s="5">
        <f>387 / 86400</f>
        <v>4.4791666666666669E-3</v>
      </c>
      <c r="L1202" s="5">
        <f>0 / 86400</f>
        <v>0</v>
      </c>
    </row>
    <row r="1203" spans="1:12" x14ac:dyDescent="0.25">
      <c r="A1203" s="12"/>
      <c r="B1203" s="12"/>
      <c r="C1203" s="12"/>
      <c r="D1203" s="12"/>
      <c r="E1203" s="12"/>
      <c r="F1203" s="12"/>
      <c r="G1203" s="12"/>
      <c r="H1203" s="12"/>
      <c r="I1203" s="12"/>
      <c r="J1203" s="12"/>
    </row>
    <row r="1204" spans="1:12" x14ac:dyDescent="0.25">
      <c r="A1204" s="12"/>
      <c r="B1204" s="12"/>
      <c r="C1204" s="12"/>
      <c r="D1204" s="12"/>
      <c r="E1204" s="12"/>
      <c r="F1204" s="12"/>
      <c r="G1204" s="12"/>
      <c r="H1204" s="12"/>
      <c r="I1204" s="12"/>
      <c r="J1204" s="12"/>
    </row>
    <row r="1205" spans="1:12" s="10" customFormat="1" ht="20.100000000000001" customHeight="1" x14ac:dyDescent="0.35">
      <c r="A1205" s="15" t="s">
        <v>453</v>
      </c>
      <c r="B1205" s="15"/>
      <c r="C1205" s="15"/>
      <c r="D1205" s="15"/>
      <c r="E1205" s="15"/>
      <c r="F1205" s="15"/>
      <c r="G1205" s="15"/>
      <c r="H1205" s="15"/>
      <c r="I1205" s="15"/>
      <c r="J1205" s="15"/>
    </row>
    <row r="1206" spans="1:12" x14ac:dyDescent="0.25">
      <c r="A1206" s="12"/>
      <c r="B1206" s="12"/>
      <c r="C1206" s="12"/>
      <c r="D1206" s="12"/>
      <c r="E1206" s="12"/>
      <c r="F1206" s="12"/>
      <c r="G1206" s="12"/>
      <c r="H1206" s="12"/>
      <c r="I1206" s="12"/>
      <c r="J1206" s="12"/>
    </row>
    <row r="1207" spans="1:12" ht="30" x14ac:dyDescent="0.25">
      <c r="A1207" s="2" t="s">
        <v>6</v>
      </c>
      <c r="B1207" s="2" t="s">
        <v>7</v>
      </c>
      <c r="C1207" s="2" t="s">
        <v>8</v>
      </c>
      <c r="D1207" s="2" t="s">
        <v>9</v>
      </c>
      <c r="E1207" s="2" t="s">
        <v>10</v>
      </c>
      <c r="F1207" s="2" t="s">
        <v>11</v>
      </c>
      <c r="G1207" s="2" t="s">
        <v>12</v>
      </c>
      <c r="H1207" s="2" t="s">
        <v>13</v>
      </c>
      <c r="I1207" s="2" t="s">
        <v>14</v>
      </c>
      <c r="J1207" s="2" t="s">
        <v>15</v>
      </c>
      <c r="K1207" s="2" t="s">
        <v>16</v>
      </c>
      <c r="L1207" s="2" t="s">
        <v>17</v>
      </c>
    </row>
    <row r="1208" spans="1:12" x14ac:dyDescent="0.25">
      <c r="A1208" s="3">
        <v>45713.035266203704</v>
      </c>
      <c r="B1208" t="s">
        <v>126</v>
      </c>
      <c r="C1208" s="3">
        <v>45713.035636574074</v>
      </c>
      <c r="D1208" t="s">
        <v>126</v>
      </c>
      <c r="E1208" s="4">
        <v>1.7000000000000001E-2</v>
      </c>
      <c r="F1208" s="4">
        <v>293910.59999999998</v>
      </c>
      <c r="G1208" s="4">
        <v>293910.61700000003</v>
      </c>
      <c r="H1208" s="5">
        <f>0 / 86400</f>
        <v>0</v>
      </c>
      <c r="I1208" t="s">
        <v>147</v>
      </c>
      <c r="J1208" t="s">
        <v>147</v>
      </c>
      <c r="K1208" s="5">
        <f>32 / 86400</f>
        <v>3.7037037037037035E-4</v>
      </c>
      <c r="L1208" s="5">
        <f>3052 / 86400</f>
        <v>3.5324074074074077E-2</v>
      </c>
    </row>
    <row r="1209" spans="1:12" x14ac:dyDescent="0.25">
      <c r="A1209" s="3">
        <v>45713.035694444443</v>
      </c>
      <c r="B1209" t="s">
        <v>126</v>
      </c>
      <c r="C1209" s="3">
        <v>45713.035902777774</v>
      </c>
      <c r="D1209" t="s">
        <v>126</v>
      </c>
      <c r="E1209" s="4">
        <v>6.0000000000000001E-3</v>
      </c>
      <c r="F1209" s="4">
        <v>293910.61700000003</v>
      </c>
      <c r="G1209" s="4">
        <v>293910.62300000002</v>
      </c>
      <c r="H1209" s="5">
        <f>2 / 86400</f>
        <v>2.3148148148148147E-5</v>
      </c>
      <c r="I1209" t="s">
        <v>22</v>
      </c>
      <c r="J1209" t="s">
        <v>144</v>
      </c>
      <c r="K1209" s="5">
        <f>18 / 86400</f>
        <v>2.0833333333333335E-4</v>
      </c>
      <c r="L1209" s="5">
        <f>22323 / 86400</f>
        <v>0.25836805555555553</v>
      </c>
    </row>
    <row r="1210" spans="1:12" x14ac:dyDescent="0.25">
      <c r="A1210" s="3">
        <v>45713.294270833328</v>
      </c>
      <c r="B1210" t="s">
        <v>126</v>
      </c>
      <c r="C1210" s="3">
        <v>45713.558333333334</v>
      </c>
      <c r="D1210" t="s">
        <v>51</v>
      </c>
      <c r="E1210" s="4">
        <v>102.73</v>
      </c>
      <c r="F1210" s="4">
        <v>293910.62300000002</v>
      </c>
      <c r="G1210" s="4">
        <v>294013.353</v>
      </c>
      <c r="H1210" s="5">
        <f>8040 / 86400</f>
        <v>9.3055555555555558E-2</v>
      </c>
      <c r="I1210" t="s">
        <v>73</v>
      </c>
      <c r="J1210" t="s">
        <v>32</v>
      </c>
      <c r="K1210" s="5">
        <f>22815 / 86400</f>
        <v>0.26406249999999998</v>
      </c>
      <c r="L1210" s="5">
        <f>1599 / 86400</f>
        <v>1.8506944444444444E-2</v>
      </c>
    </row>
    <row r="1211" spans="1:12" x14ac:dyDescent="0.25">
      <c r="A1211" s="3">
        <v>45713.576840277776</v>
      </c>
      <c r="B1211" t="s">
        <v>51</v>
      </c>
      <c r="C1211" s="3">
        <v>45713.899039351847</v>
      </c>
      <c r="D1211" t="s">
        <v>126</v>
      </c>
      <c r="E1211" s="4">
        <v>102.64400000000001</v>
      </c>
      <c r="F1211" s="4">
        <v>294013.353</v>
      </c>
      <c r="G1211" s="4">
        <v>294115.99699999997</v>
      </c>
      <c r="H1211" s="5">
        <f>12320 / 86400</f>
        <v>0.1425925925925926</v>
      </c>
      <c r="I1211" t="s">
        <v>25</v>
      </c>
      <c r="J1211" t="s">
        <v>45</v>
      </c>
      <c r="K1211" s="5">
        <f>27838 / 86400</f>
        <v>0.32219907407407405</v>
      </c>
      <c r="L1211" s="5">
        <f>8722 / 86400</f>
        <v>0.10094907407407408</v>
      </c>
    </row>
    <row r="1212" spans="1:12" x14ac:dyDescent="0.25">
      <c r="A1212" s="12"/>
      <c r="B1212" s="12"/>
      <c r="C1212" s="12"/>
      <c r="D1212" s="12"/>
      <c r="E1212" s="12"/>
      <c r="F1212" s="12"/>
      <c r="G1212" s="12"/>
      <c r="H1212" s="12"/>
      <c r="I1212" s="12"/>
      <c r="J1212" s="12"/>
    </row>
    <row r="1213" spans="1:12" x14ac:dyDescent="0.25">
      <c r="A1213" s="12" t="s">
        <v>128</v>
      </c>
      <c r="B1213" s="12"/>
      <c r="C1213" s="12"/>
      <c r="D1213" s="12"/>
      <c r="E1213" s="12"/>
      <c r="F1213" s="12"/>
      <c r="G1213" s="12"/>
      <c r="H1213" s="12"/>
      <c r="I1213" s="12"/>
      <c r="J1213" s="12"/>
    </row>
  </sheetData>
  <mergeCells count="262">
    <mergeCell ref="A1212:J1212"/>
    <mergeCell ref="A1213:J1213"/>
    <mergeCell ref="A1168:J1168"/>
    <mergeCell ref="A1188:J1188"/>
    <mergeCell ref="A1189:J1189"/>
    <mergeCell ref="A1190:J1190"/>
    <mergeCell ref="A1191:J1191"/>
    <mergeCell ref="A1203:J1203"/>
    <mergeCell ref="A1204:J1204"/>
    <mergeCell ref="A1205:J1205"/>
    <mergeCell ref="A1206:J1206"/>
    <mergeCell ref="A1144:J1144"/>
    <mergeCell ref="A1145:J1145"/>
    <mergeCell ref="A1154:J1154"/>
    <mergeCell ref="A1155:J1155"/>
    <mergeCell ref="A1156:J1156"/>
    <mergeCell ref="A1157:J1157"/>
    <mergeCell ref="A1165:J1165"/>
    <mergeCell ref="A1166:J1166"/>
    <mergeCell ref="A1167:J1167"/>
    <mergeCell ref="A1119:J1119"/>
    <mergeCell ref="A1120:J1120"/>
    <mergeCell ref="A1121:J1121"/>
    <mergeCell ref="A1129:J1129"/>
    <mergeCell ref="A1130:J1130"/>
    <mergeCell ref="A1131:J1131"/>
    <mergeCell ref="A1132:J1132"/>
    <mergeCell ref="A1142:J1142"/>
    <mergeCell ref="A1143:J1143"/>
    <mergeCell ref="A1092:J1092"/>
    <mergeCell ref="A1093:J1093"/>
    <mergeCell ref="A1094:J1094"/>
    <mergeCell ref="A1095:J1095"/>
    <mergeCell ref="A1106:J1106"/>
    <mergeCell ref="A1107:J1107"/>
    <mergeCell ref="A1108:J1108"/>
    <mergeCell ref="A1109:J1109"/>
    <mergeCell ref="A1118:J1118"/>
    <mergeCell ref="A1056:J1056"/>
    <mergeCell ref="A1067:J1067"/>
    <mergeCell ref="A1068:J1068"/>
    <mergeCell ref="A1069:J1069"/>
    <mergeCell ref="A1070:J1070"/>
    <mergeCell ref="A1079:J1079"/>
    <mergeCell ref="A1080:J1080"/>
    <mergeCell ref="A1081:J1081"/>
    <mergeCell ref="A1082:J1082"/>
    <mergeCell ref="A1025:J1025"/>
    <mergeCell ref="A1026:J1026"/>
    <mergeCell ref="A1029:J1029"/>
    <mergeCell ref="A1030:J1030"/>
    <mergeCell ref="A1031:J1031"/>
    <mergeCell ref="A1032:J1032"/>
    <mergeCell ref="A1053:J1053"/>
    <mergeCell ref="A1054:J1054"/>
    <mergeCell ref="A1055:J1055"/>
    <mergeCell ref="A987:J987"/>
    <mergeCell ref="A988:J988"/>
    <mergeCell ref="A989:J989"/>
    <mergeCell ref="A1008:J1008"/>
    <mergeCell ref="A1009:J1009"/>
    <mergeCell ref="A1010:J1010"/>
    <mergeCell ref="A1011:J1011"/>
    <mergeCell ref="A1023:J1023"/>
    <mergeCell ref="A1024:J1024"/>
    <mergeCell ref="A949:J949"/>
    <mergeCell ref="A950:J950"/>
    <mergeCell ref="A951:J951"/>
    <mergeCell ref="A952:J952"/>
    <mergeCell ref="A970:J970"/>
    <mergeCell ref="A971:J971"/>
    <mergeCell ref="A972:J972"/>
    <mergeCell ref="A973:J973"/>
    <mergeCell ref="A986:J986"/>
    <mergeCell ref="A906:J906"/>
    <mergeCell ref="A926:J926"/>
    <mergeCell ref="A927:J927"/>
    <mergeCell ref="A928:J928"/>
    <mergeCell ref="A929:J929"/>
    <mergeCell ref="A937:J937"/>
    <mergeCell ref="A938:J938"/>
    <mergeCell ref="A939:J939"/>
    <mergeCell ref="A940:J940"/>
    <mergeCell ref="A868:J868"/>
    <mergeCell ref="A869:J869"/>
    <mergeCell ref="A880:J880"/>
    <mergeCell ref="A881:J881"/>
    <mergeCell ref="A882:J882"/>
    <mergeCell ref="A883:J883"/>
    <mergeCell ref="A903:J903"/>
    <mergeCell ref="A904:J904"/>
    <mergeCell ref="A905:J905"/>
    <mergeCell ref="A841:J841"/>
    <mergeCell ref="A842:J842"/>
    <mergeCell ref="A843:J843"/>
    <mergeCell ref="A856:J856"/>
    <mergeCell ref="A857:J857"/>
    <mergeCell ref="A858:J858"/>
    <mergeCell ref="A859:J859"/>
    <mergeCell ref="A866:J866"/>
    <mergeCell ref="A867:J867"/>
    <mergeCell ref="A809:J809"/>
    <mergeCell ref="A810:J810"/>
    <mergeCell ref="A811:J811"/>
    <mergeCell ref="A812:J812"/>
    <mergeCell ref="A821:J821"/>
    <mergeCell ref="A822:J822"/>
    <mergeCell ref="A823:J823"/>
    <mergeCell ref="A824:J824"/>
    <mergeCell ref="A840:J840"/>
    <mergeCell ref="A784:J784"/>
    <mergeCell ref="A787:J787"/>
    <mergeCell ref="A788:J788"/>
    <mergeCell ref="A789:J789"/>
    <mergeCell ref="A790:J790"/>
    <mergeCell ref="A798:J798"/>
    <mergeCell ref="A799:J799"/>
    <mergeCell ref="A800:J800"/>
    <mergeCell ref="A801:J801"/>
    <mergeCell ref="A754:J754"/>
    <mergeCell ref="A755:J755"/>
    <mergeCell ref="A768:J768"/>
    <mergeCell ref="A769:J769"/>
    <mergeCell ref="A770:J770"/>
    <mergeCell ref="A771:J771"/>
    <mergeCell ref="A781:J781"/>
    <mergeCell ref="A782:J782"/>
    <mergeCell ref="A783:J783"/>
    <mergeCell ref="A716:J716"/>
    <mergeCell ref="A717:J717"/>
    <mergeCell ref="A718:J718"/>
    <mergeCell ref="A732:J732"/>
    <mergeCell ref="A733:J733"/>
    <mergeCell ref="A734:J734"/>
    <mergeCell ref="A735:J735"/>
    <mergeCell ref="A752:J752"/>
    <mergeCell ref="A753:J753"/>
    <mergeCell ref="A683:J683"/>
    <mergeCell ref="A684:J684"/>
    <mergeCell ref="A685:J685"/>
    <mergeCell ref="A686:J686"/>
    <mergeCell ref="A694:J694"/>
    <mergeCell ref="A695:J695"/>
    <mergeCell ref="A696:J696"/>
    <mergeCell ref="A697:J697"/>
    <mergeCell ref="A715:J715"/>
    <mergeCell ref="A647:J647"/>
    <mergeCell ref="A658:J658"/>
    <mergeCell ref="A659:J659"/>
    <mergeCell ref="A660:J660"/>
    <mergeCell ref="A661:J661"/>
    <mergeCell ref="A673:J673"/>
    <mergeCell ref="A674:J674"/>
    <mergeCell ref="A675:J675"/>
    <mergeCell ref="A676:J676"/>
    <mergeCell ref="A618:J618"/>
    <mergeCell ref="A619:J619"/>
    <mergeCell ref="A627:J627"/>
    <mergeCell ref="A628:J628"/>
    <mergeCell ref="A629:J629"/>
    <mergeCell ref="A630:J630"/>
    <mergeCell ref="A644:J644"/>
    <mergeCell ref="A645:J645"/>
    <mergeCell ref="A646:J646"/>
    <mergeCell ref="A585:J585"/>
    <mergeCell ref="A586:J586"/>
    <mergeCell ref="A587:J587"/>
    <mergeCell ref="A605:J605"/>
    <mergeCell ref="A606:J606"/>
    <mergeCell ref="A607:J607"/>
    <mergeCell ref="A608:J608"/>
    <mergeCell ref="A616:J616"/>
    <mergeCell ref="A617:J617"/>
    <mergeCell ref="A549:J549"/>
    <mergeCell ref="A550:J550"/>
    <mergeCell ref="A551:J551"/>
    <mergeCell ref="A552:J552"/>
    <mergeCell ref="A569:J569"/>
    <mergeCell ref="A570:J570"/>
    <mergeCell ref="A571:J571"/>
    <mergeCell ref="A572:J572"/>
    <mergeCell ref="A584:J584"/>
    <mergeCell ref="A496:J496"/>
    <mergeCell ref="A509:J509"/>
    <mergeCell ref="A510:J510"/>
    <mergeCell ref="A511:J511"/>
    <mergeCell ref="A512:J512"/>
    <mergeCell ref="A528:J528"/>
    <mergeCell ref="A529:J529"/>
    <mergeCell ref="A530:J530"/>
    <mergeCell ref="A531:J531"/>
    <mergeCell ref="A448:J448"/>
    <mergeCell ref="A449:J449"/>
    <mergeCell ref="A473:J473"/>
    <mergeCell ref="A474:J474"/>
    <mergeCell ref="A475:J475"/>
    <mergeCell ref="A476:J476"/>
    <mergeCell ref="A493:J493"/>
    <mergeCell ref="A494:J494"/>
    <mergeCell ref="A495:J495"/>
    <mergeCell ref="A415:J415"/>
    <mergeCell ref="A416:J416"/>
    <mergeCell ref="A417:J417"/>
    <mergeCell ref="A426:J426"/>
    <mergeCell ref="A427:J427"/>
    <mergeCell ref="A428:J428"/>
    <mergeCell ref="A429:J429"/>
    <mergeCell ref="A446:J446"/>
    <mergeCell ref="A447:J447"/>
    <mergeCell ref="A379:J379"/>
    <mergeCell ref="A380:J380"/>
    <mergeCell ref="A381:J381"/>
    <mergeCell ref="A382:J382"/>
    <mergeCell ref="A389:J389"/>
    <mergeCell ref="A390:J390"/>
    <mergeCell ref="A391:J391"/>
    <mergeCell ref="A392:J392"/>
    <mergeCell ref="A414:J414"/>
    <mergeCell ref="A177:J177"/>
    <mergeCell ref="A187:J187"/>
    <mergeCell ref="A188:J188"/>
    <mergeCell ref="A189:J189"/>
    <mergeCell ref="A190:J190"/>
    <mergeCell ref="A371:J371"/>
    <mergeCell ref="A372:J372"/>
    <mergeCell ref="A373:J373"/>
    <mergeCell ref="A374:J374"/>
    <mergeCell ref="A149:J149"/>
    <mergeCell ref="A150:J150"/>
    <mergeCell ref="A160:J160"/>
    <mergeCell ref="A161:J161"/>
    <mergeCell ref="A162:J162"/>
    <mergeCell ref="A163:J163"/>
    <mergeCell ref="A174:J174"/>
    <mergeCell ref="A175:J175"/>
    <mergeCell ref="A176:J176"/>
    <mergeCell ref="A105:J105"/>
    <mergeCell ref="A106:J106"/>
    <mergeCell ref="A107:J107"/>
    <mergeCell ref="A125:J125"/>
    <mergeCell ref="A126:J126"/>
    <mergeCell ref="A127:J127"/>
    <mergeCell ref="A128:J128"/>
    <mergeCell ref="A147:J147"/>
    <mergeCell ref="A148:J148"/>
    <mergeCell ref="A74:J74"/>
    <mergeCell ref="A75:J75"/>
    <mergeCell ref="A76:J76"/>
    <mergeCell ref="A77:J77"/>
    <mergeCell ref="A91:J91"/>
    <mergeCell ref="A92:J92"/>
    <mergeCell ref="A93:J93"/>
    <mergeCell ref="A94:J94"/>
    <mergeCell ref="A104:J104"/>
    <mergeCell ref="A1:J1"/>
    <mergeCell ref="A2:J2"/>
    <mergeCell ref="A3:J3"/>
    <mergeCell ref="A4:J4"/>
    <mergeCell ref="A5:J5"/>
    <mergeCell ref="A6:J6"/>
    <mergeCell ref="A72:J72"/>
    <mergeCell ref="A73:J73"/>
  </mergeCell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2025-09-22T19:53:11Z</dcterms:created>
  <dcterms:modified xsi:type="dcterms:W3CDTF">2025-09-23T05:42:38Z</dcterms:modified>
</cp:coreProperties>
</file>