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codeName="ThisWorkbook"/>
  <xr:revisionPtr revIDLastSave="0" documentId="13_ncr:1_{54324649-26C4-4E54-9F7B-7A6B94F9C243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L1472" i="1" l="1"/>
  <c r="K1472" i="1"/>
  <c r="H1472" i="1"/>
  <c r="L1471" i="1"/>
  <c r="K1471" i="1"/>
  <c r="H1471" i="1"/>
  <c r="L1470" i="1"/>
  <c r="K1470" i="1"/>
  <c r="H1470" i="1"/>
  <c r="L1464" i="1"/>
  <c r="K1464" i="1"/>
  <c r="H1464" i="1"/>
  <c r="L1463" i="1"/>
  <c r="K1463" i="1"/>
  <c r="H1463" i="1"/>
  <c r="L1462" i="1"/>
  <c r="K1462" i="1"/>
  <c r="H1462" i="1"/>
  <c r="L1461" i="1"/>
  <c r="K1461" i="1"/>
  <c r="H1461" i="1"/>
  <c r="L1460" i="1"/>
  <c r="K1460" i="1"/>
  <c r="H1460" i="1"/>
  <c r="L1459" i="1"/>
  <c r="K1459" i="1"/>
  <c r="H1459" i="1"/>
  <c r="L1458" i="1"/>
  <c r="K1458" i="1"/>
  <c r="H1458" i="1"/>
  <c r="L1452" i="1"/>
  <c r="K1452" i="1"/>
  <c r="H1452" i="1"/>
  <c r="L1451" i="1"/>
  <c r="K1451" i="1"/>
  <c r="H1451" i="1"/>
  <c r="L1450" i="1"/>
  <c r="K1450" i="1"/>
  <c r="H1450" i="1"/>
  <c r="L1449" i="1"/>
  <c r="K1449" i="1"/>
  <c r="H1449" i="1"/>
  <c r="L1448" i="1"/>
  <c r="K1448" i="1"/>
  <c r="H1448" i="1"/>
  <c r="L1447" i="1"/>
  <c r="K1447" i="1"/>
  <c r="H1447" i="1"/>
  <c r="L1446" i="1"/>
  <c r="K1446" i="1"/>
  <c r="H1446" i="1"/>
  <c r="L1445" i="1"/>
  <c r="K1445" i="1"/>
  <c r="H1445" i="1"/>
  <c r="L1444" i="1"/>
  <c r="K1444" i="1"/>
  <c r="H1444" i="1"/>
  <c r="L1443" i="1"/>
  <c r="K1443" i="1"/>
  <c r="H1443" i="1"/>
  <c r="L1442" i="1"/>
  <c r="K1442" i="1"/>
  <c r="H1442" i="1"/>
  <c r="L1441" i="1"/>
  <c r="K1441" i="1"/>
  <c r="H1441" i="1"/>
  <c r="L1440" i="1"/>
  <c r="K1440" i="1"/>
  <c r="H1440" i="1"/>
  <c r="L1439" i="1"/>
  <c r="K1439" i="1"/>
  <c r="H1439" i="1"/>
  <c r="L1438" i="1"/>
  <c r="K1438" i="1"/>
  <c r="H1438" i="1"/>
  <c r="L1437" i="1"/>
  <c r="K1437" i="1"/>
  <c r="H1437" i="1"/>
  <c r="L1436" i="1"/>
  <c r="K1436" i="1"/>
  <c r="H1436" i="1"/>
  <c r="L1435" i="1"/>
  <c r="K1435" i="1"/>
  <c r="H1435" i="1"/>
  <c r="L1434" i="1"/>
  <c r="K1434" i="1"/>
  <c r="H1434" i="1"/>
  <c r="L1433" i="1"/>
  <c r="K1433" i="1"/>
  <c r="H1433" i="1"/>
  <c r="L1427" i="1"/>
  <c r="K1427" i="1"/>
  <c r="H1427" i="1"/>
  <c r="L1426" i="1"/>
  <c r="K1426" i="1"/>
  <c r="H1426" i="1"/>
  <c r="L1425" i="1"/>
  <c r="K1425" i="1"/>
  <c r="H1425" i="1"/>
  <c r="L1424" i="1"/>
  <c r="K1424" i="1"/>
  <c r="H1424" i="1"/>
  <c r="L1423" i="1"/>
  <c r="K1423" i="1"/>
  <c r="H1423" i="1"/>
  <c r="L1422" i="1"/>
  <c r="K1422" i="1"/>
  <c r="H1422" i="1"/>
  <c r="L1421" i="1"/>
  <c r="K1421" i="1"/>
  <c r="H1421" i="1"/>
  <c r="L1420" i="1"/>
  <c r="K1420" i="1"/>
  <c r="H1420" i="1"/>
  <c r="L1419" i="1"/>
  <c r="K1419" i="1"/>
  <c r="H1419" i="1"/>
  <c r="L1418" i="1"/>
  <c r="K1418" i="1"/>
  <c r="H1418" i="1"/>
  <c r="L1417" i="1"/>
  <c r="K1417" i="1"/>
  <c r="H1417" i="1"/>
  <c r="L1416" i="1"/>
  <c r="K1416" i="1"/>
  <c r="H1416" i="1"/>
  <c r="L1410" i="1"/>
  <c r="K1410" i="1"/>
  <c r="H1410" i="1"/>
  <c r="L1409" i="1"/>
  <c r="K1409" i="1"/>
  <c r="H1409" i="1"/>
  <c r="L1408" i="1"/>
  <c r="K1408" i="1"/>
  <c r="H1408" i="1"/>
  <c r="L1407" i="1"/>
  <c r="K1407" i="1"/>
  <c r="H1407" i="1"/>
  <c r="L1406" i="1"/>
  <c r="K1406" i="1"/>
  <c r="H1406" i="1"/>
  <c r="L1405" i="1"/>
  <c r="K1405" i="1"/>
  <c r="H1405" i="1"/>
  <c r="L1404" i="1"/>
  <c r="K1404" i="1"/>
  <c r="H1404" i="1"/>
  <c r="L1403" i="1"/>
  <c r="K1403" i="1"/>
  <c r="H1403" i="1"/>
  <c r="L1402" i="1"/>
  <c r="K1402" i="1"/>
  <c r="H1402" i="1"/>
  <c r="L1396" i="1"/>
  <c r="K1396" i="1"/>
  <c r="H1396" i="1"/>
  <c r="L1395" i="1"/>
  <c r="K1395" i="1"/>
  <c r="H1395" i="1"/>
  <c r="L1394" i="1"/>
  <c r="K1394" i="1"/>
  <c r="H1394" i="1"/>
  <c r="L1393" i="1"/>
  <c r="K1393" i="1"/>
  <c r="H1393" i="1"/>
  <c r="L1392" i="1"/>
  <c r="K1392" i="1"/>
  <c r="H1392" i="1"/>
  <c r="L1391" i="1"/>
  <c r="K1391" i="1"/>
  <c r="H1391" i="1"/>
  <c r="L1385" i="1"/>
  <c r="K1385" i="1"/>
  <c r="H1385" i="1"/>
  <c r="L1384" i="1"/>
  <c r="K1384" i="1"/>
  <c r="H1384" i="1"/>
  <c r="L1383" i="1"/>
  <c r="K1383" i="1"/>
  <c r="H1383" i="1"/>
  <c r="L1382" i="1"/>
  <c r="K1382" i="1"/>
  <c r="H1382" i="1"/>
  <c r="L1381" i="1"/>
  <c r="K1381" i="1"/>
  <c r="H1381" i="1"/>
  <c r="L1380" i="1"/>
  <c r="K1380" i="1"/>
  <c r="H1380" i="1"/>
  <c r="L1379" i="1"/>
  <c r="K1379" i="1"/>
  <c r="H1379" i="1"/>
  <c r="L1378" i="1"/>
  <c r="K1378" i="1"/>
  <c r="H1378" i="1"/>
  <c r="L1372" i="1"/>
  <c r="K1372" i="1"/>
  <c r="H1372" i="1"/>
  <c r="L1371" i="1"/>
  <c r="K1371" i="1"/>
  <c r="H1371" i="1"/>
  <c r="L1370" i="1"/>
  <c r="K1370" i="1"/>
  <c r="H1370" i="1"/>
  <c r="L1369" i="1"/>
  <c r="K1369" i="1"/>
  <c r="H1369" i="1"/>
  <c r="L1368" i="1"/>
  <c r="K1368" i="1"/>
  <c r="H1368" i="1"/>
  <c r="L1367" i="1"/>
  <c r="K1367" i="1"/>
  <c r="H1367" i="1"/>
  <c r="L1366" i="1"/>
  <c r="K1366" i="1"/>
  <c r="H1366" i="1"/>
  <c r="L1365" i="1"/>
  <c r="K1365" i="1"/>
  <c r="H1365" i="1"/>
  <c r="L1359" i="1"/>
  <c r="K1359" i="1"/>
  <c r="H1359" i="1"/>
  <c r="L1358" i="1"/>
  <c r="K1358" i="1"/>
  <c r="H1358" i="1"/>
  <c r="L1357" i="1"/>
  <c r="K1357" i="1"/>
  <c r="H1357" i="1"/>
  <c r="L1356" i="1"/>
  <c r="K1356" i="1"/>
  <c r="H1356" i="1"/>
  <c r="L1355" i="1"/>
  <c r="K1355" i="1"/>
  <c r="H1355" i="1"/>
  <c r="L1354" i="1"/>
  <c r="K1354" i="1"/>
  <c r="H1354" i="1"/>
  <c r="L1353" i="1"/>
  <c r="K1353" i="1"/>
  <c r="H1353" i="1"/>
  <c r="L1347" i="1"/>
  <c r="K1347" i="1"/>
  <c r="H1347" i="1"/>
  <c r="L1346" i="1"/>
  <c r="K1346" i="1"/>
  <c r="H1346" i="1"/>
  <c r="L1345" i="1"/>
  <c r="K1345" i="1"/>
  <c r="H1345" i="1"/>
  <c r="L1344" i="1"/>
  <c r="K1344" i="1"/>
  <c r="H1344" i="1"/>
  <c r="L1343" i="1"/>
  <c r="K1343" i="1"/>
  <c r="H1343" i="1"/>
  <c r="L1342" i="1"/>
  <c r="K1342" i="1"/>
  <c r="H1342" i="1"/>
  <c r="L1341" i="1"/>
  <c r="K1341" i="1"/>
  <c r="H1341" i="1"/>
  <c r="L1340" i="1"/>
  <c r="K1340" i="1"/>
  <c r="H1340" i="1"/>
  <c r="L1339" i="1"/>
  <c r="K1339" i="1"/>
  <c r="H1339" i="1"/>
  <c r="L1338" i="1"/>
  <c r="K1338" i="1"/>
  <c r="H1338" i="1"/>
  <c r="L1332" i="1"/>
  <c r="K1332" i="1"/>
  <c r="H1332" i="1"/>
  <c r="L1331" i="1"/>
  <c r="K1331" i="1"/>
  <c r="H1331" i="1"/>
  <c r="L1330" i="1"/>
  <c r="K1330" i="1"/>
  <c r="H1330" i="1"/>
  <c r="L1329" i="1"/>
  <c r="K1329" i="1"/>
  <c r="H1329" i="1"/>
  <c r="L1328" i="1"/>
  <c r="K1328" i="1"/>
  <c r="H1328" i="1"/>
  <c r="L1327" i="1"/>
  <c r="K1327" i="1"/>
  <c r="H1327" i="1"/>
  <c r="L1326" i="1"/>
  <c r="K1326" i="1"/>
  <c r="H1326" i="1"/>
  <c r="L1325" i="1"/>
  <c r="K1325" i="1"/>
  <c r="H1325" i="1"/>
  <c r="L1324" i="1"/>
  <c r="K1324" i="1"/>
  <c r="H1324" i="1"/>
  <c r="L1323" i="1"/>
  <c r="K1323" i="1"/>
  <c r="H1323" i="1"/>
  <c r="L1322" i="1"/>
  <c r="K1322" i="1"/>
  <c r="H1322" i="1"/>
  <c r="L1321" i="1"/>
  <c r="K1321" i="1"/>
  <c r="H1321" i="1"/>
  <c r="L1320" i="1"/>
  <c r="K1320" i="1"/>
  <c r="H1320" i="1"/>
  <c r="L1319" i="1"/>
  <c r="K1319" i="1"/>
  <c r="H1319" i="1"/>
  <c r="L1318" i="1"/>
  <c r="K1318" i="1"/>
  <c r="H1318" i="1"/>
  <c r="L1317" i="1"/>
  <c r="K1317" i="1"/>
  <c r="H1317" i="1"/>
  <c r="L1316" i="1"/>
  <c r="K1316" i="1"/>
  <c r="H1316" i="1"/>
  <c r="L1315" i="1"/>
  <c r="K1315" i="1"/>
  <c r="H1315" i="1"/>
  <c r="L1309" i="1"/>
  <c r="K1309" i="1"/>
  <c r="H1309" i="1"/>
  <c r="L1308" i="1"/>
  <c r="K1308" i="1"/>
  <c r="H1308" i="1"/>
  <c r="L1307" i="1"/>
  <c r="K1307" i="1"/>
  <c r="H1307" i="1"/>
  <c r="L1306" i="1"/>
  <c r="K1306" i="1"/>
  <c r="H1306" i="1"/>
  <c r="L1305" i="1"/>
  <c r="K1305" i="1"/>
  <c r="H1305" i="1"/>
  <c r="L1304" i="1"/>
  <c r="K1304" i="1"/>
  <c r="H1304" i="1"/>
  <c r="L1298" i="1"/>
  <c r="K1298" i="1"/>
  <c r="H1298" i="1"/>
  <c r="L1297" i="1"/>
  <c r="K1297" i="1"/>
  <c r="H1297" i="1"/>
  <c r="L1296" i="1"/>
  <c r="K1296" i="1"/>
  <c r="H1296" i="1"/>
  <c r="L1295" i="1"/>
  <c r="K1295" i="1"/>
  <c r="H1295" i="1"/>
  <c r="L1294" i="1"/>
  <c r="K1294" i="1"/>
  <c r="H1294" i="1"/>
  <c r="L1293" i="1"/>
  <c r="K1293" i="1"/>
  <c r="H1293" i="1"/>
  <c r="L1292" i="1"/>
  <c r="K1292" i="1"/>
  <c r="H1292" i="1"/>
  <c r="L1291" i="1"/>
  <c r="K1291" i="1"/>
  <c r="H1291" i="1"/>
  <c r="L1290" i="1"/>
  <c r="K1290" i="1"/>
  <c r="H1290" i="1"/>
  <c r="L1289" i="1"/>
  <c r="K1289" i="1"/>
  <c r="H1289" i="1"/>
  <c r="L1288" i="1"/>
  <c r="K1288" i="1"/>
  <c r="H1288" i="1"/>
  <c r="L1287" i="1"/>
  <c r="K1287" i="1"/>
  <c r="H1287" i="1"/>
  <c r="L1281" i="1"/>
  <c r="K1281" i="1"/>
  <c r="H1281" i="1"/>
  <c r="L1280" i="1"/>
  <c r="K1280" i="1"/>
  <c r="H1280" i="1"/>
  <c r="L1279" i="1"/>
  <c r="K1279" i="1"/>
  <c r="H1279" i="1"/>
  <c r="L1278" i="1"/>
  <c r="K1278" i="1"/>
  <c r="H1278" i="1"/>
  <c r="L1277" i="1"/>
  <c r="K1277" i="1"/>
  <c r="H1277" i="1"/>
  <c r="L1276" i="1"/>
  <c r="K1276" i="1"/>
  <c r="H1276" i="1"/>
  <c r="L1275" i="1"/>
  <c r="K1275" i="1"/>
  <c r="H1275" i="1"/>
  <c r="L1274" i="1"/>
  <c r="K1274" i="1"/>
  <c r="H1274" i="1"/>
  <c r="L1273" i="1"/>
  <c r="K1273" i="1"/>
  <c r="H1273" i="1"/>
  <c r="L1272" i="1"/>
  <c r="K1272" i="1"/>
  <c r="H1272" i="1"/>
  <c r="L1271" i="1"/>
  <c r="K1271" i="1"/>
  <c r="H1271" i="1"/>
  <c r="L1270" i="1"/>
  <c r="K1270" i="1"/>
  <c r="H1270" i="1"/>
  <c r="L1269" i="1"/>
  <c r="K1269" i="1"/>
  <c r="H1269" i="1"/>
  <c r="L1268" i="1"/>
  <c r="K1268" i="1"/>
  <c r="H1268" i="1"/>
  <c r="L1267" i="1"/>
  <c r="K1267" i="1"/>
  <c r="H1267" i="1"/>
  <c r="L1261" i="1"/>
  <c r="K1261" i="1"/>
  <c r="H1261" i="1"/>
  <c r="L1260" i="1"/>
  <c r="K1260" i="1"/>
  <c r="H1260" i="1"/>
  <c r="L1259" i="1"/>
  <c r="K1259" i="1"/>
  <c r="H1259" i="1"/>
  <c r="L1258" i="1"/>
  <c r="K1258" i="1"/>
  <c r="H1258" i="1"/>
  <c r="L1257" i="1"/>
  <c r="K1257" i="1"/>
  <c r="H1257" i="1"/>
  <c r="L1256" i="1"/>
  <c r="K1256" i="1"/>
  <c r="H1256" i="1"/>
  <c r="L1255" i="1"/>
  <c r="K1255" i="1"/>
  <c r="H1255" i="1"/>
  <c r="L1254" i="1"/>
  <c r="K1254" i="1"/>
  <c r="H1254" i="1"/>
  <c r="L1253" i="1"/>
  <c r="K1253" i="1"/>
  <c r="H1253" i="1"/>
  <c r="L1252" i="1"/>
  <c r="K1252" i="1"/>
  <c r="H1252" i="1"/>
  <c r="L1251" i="1"/>
  <c r="K1251" i="1"/>
  <c r="H1251" i="1"/>
  <c r="L1250" i="1"/>
  <c r="K1250" i="1"/>
  <c r="H1250" i="1"/>
  <c r="L1249" i="1"/>
  <c r="K1249" i="1"/>
  <c r="H1249" i="1"/>
  <c r="L1248" i="1"/>
  <c r="K1248" i="1"/>
  <c r="H1248" i="1"/>
  <c r="L1247" i="1"/>
  <c r="K1247" i="1"/>
  <c r="H1247" i="1"/>
  <c r="L1246" i="1"/>
  <c r="K1246" i="1"/>
  <c r="H1246" i="1"/>
  <c r="L1245" i="1"/>
  <c r="K1245" i="1"/>
  <c r="H1245" i="1"/>
  <c r="L1244" i="1"/>
  <c r="K1244" i="1"/>
  <c r="H1244" i="1"/>
  <c r="L1243" i="1"/>
  <c r="K1243" i="1"/>
  <c r="H1243" i="1"/>
  <c r="L1242" i="1"/>
  <c r="K1242" i="1"/>
  <c r="H1242" i="1"/>
  <c r="L1236" i="1"/>
  <c r="K1236" i="1"/>
  <c r="H1236" i="1"/>
  <c r="L1235" i="1"/>
  <c r="K1235" i="1"/>
  <c r="H1235" i="1"/>
  <c r="L1234" i="1"/>
  <c r="K1234" i="1"/>
  <c r="H1234" i="1"/>
  <c r="L1233" i="1"/>
  <c r="K1233" i="1"/>
  <c r="H1233" i="1"/>
  <c r="L1232" i="1"/>
  <c r="K1232" i="1"/>
  <c r="H1232" i="1"/>
  <c r="L1231" i="1"/>
  <c r="K1231" i="1"/>
  <c r="H1231" i="1"/>
  <c r="L1230" i="1"/>
  <c r="K1230" i="1"/>
  <c r="H1230" i="1"/>
  <c r="L1229" i="1"/>
  <c r="K1229" i="1"/>
  <c r="H1229" i="1"/>
  <c r="L1228" i="1"/>
  <c r="K1228" i="1"/>
  <c r="H1228" i="1"/>
  <c r="L1222" i="1"/>
  <c r="K1222" i="1"/>
  <c r="H1222" i="1"/>
  <c r="L1221" i="1"/>
  <c r="K1221" i="1"/>
  <c r="H1221" i="1"/>
  <c r="L1220" i="1"/>
  <c r="K1220" i="1"/>
  <c r="H1220" i="1"/>
  <c r="L1219" i="1"/>
  <c r="K1219" i="1"/>
  <c r="H1219" i="1"/>
  <c r="L1218" i="1"/>
  <c r="K1218" i="1"/>
  <c r="H1218" i="1"/>
  <c r="L1217" i="1"/>
  <c r="K1217" i="1"/>
  <c r="H1217" i="1"/>
  <c r="L1216" i="1"/>
  <c r="K1216" i="1"/>
  <c r="H1216" i="1"/>
  <c r="L1215" i="1"/>
  <c r="K1215" i="1"/>
  <c r="H1215" i="1"/>
  <c r="L1214" i="1"/>
  <c r="K1214" i="1"/>
  <c r="H1214" i="1"/>
  <c r="L1213" i="1"/>
  <c r="K1213" i="1"/>
  <c r="H1213" i="1"/>
  <c r="L1212" i="1"/>
  <c r="K1212" i="1"/>
  <c r="H1212" i="1"/>
  <c r="L1211" i="1"/>
  <c r="K1211" i="1"/>
  <c r="H1211" i="1"/>
  <c r="L1210" i="1"/>
  <c r="K1210" i="1"/>
  <c r="H1210" i="1"/>
  <c r="L1209" i="1"/>
  <c r="K1209" i="1"/>
  <c r="H1209" i="1"/>
  <c r="L1208" i="1"/>
  <c r="K1208" i="1"/>
  <c r="H1208" i="1"/>
  <c r="L1207" i="1"/>
  <c r="K1207" i="1"/>
  <c r="H1207" i="1"/>
  <c r="L1206" i="1"/>
  <c r="K1206" i="1"/>
  <c r="H1206" i="1"/>
  <c r="L1205" i="1"/>
  <c r="K1205" i="1"/>
  <c r="H1205" i="1"/>
  <c r="L1204" i="1"/>
  <c r="K1204" i="1"/>
  <c r="H1204" i="1"/>
  <c r="L1203" i="1"/>
  <c r="K1203" i="1"/>
  <c r="H1203" i="1"/>
  <c r="L1202" i="1"/>
  <c r="K1202" i="1"/>
  <c r="H1202" i="1"/>
  <c r="L1201" i="1"/>
  <c r="K1201" i="1"/>
  <c r="H1201" i="1"/>
  <c r="L1200" i="1"/>
  <c r="K1200" i="1"/>
  <c r="H1200" i="1"/>
  <c r="L1199" i="1"/>
  <c r="K1199" i="1"/>
  <c r="H1199" i="1"/>
  <c r="L1198" i="1"/>
  <c r="K1198" i="1"/>
  <c r="H1198" i="1"/>
  <c r="L1197" i="1"/>
  <c r="K1197" i="1"/>
  <c r="H1197" i="1"/>
  <c r="L1196" i="1"/>
  <c r="K1196" i="1"/>
  <c r="H1196" i="1"/>
  <c r="L1195" i="1"/>
  <c r="K1195" i="1"/>
  <c r="H1195" i="1"/>
  <c r="L1194" i="1"/>
  <c r="K1194" i="1"/>
  <c r="H1194" i="1"/>
  <c r="L1193" i="1"/>
  <c r="K1193" i="1"/>
  <c r="H1193" i="1"/>
  <c r="L1192" i="1"/>
  <c r="K1192" i="1"/>
  <c r="H1192" i="1"/>
  <c r="L1191" i="1"/>
  <c r="K1191" i="1"/>
  <c r="H1191" i="1"/>
  <c r="L1190" i="1"/>
  <c r="K1190" i="1"/>
  <c r="H1190" i="1"/>
  <c r="L1189" i="1"/>
  <c r="K1189" i="1"/>
  <c r="H1189" i="1"/>
  <c r="L1188" i="1"/>
  <c r="K1188" i="1"/>
  <c r="H1188" i="1"/>
  <c r="L1187" i="1"/>
  <c r="K1187" i="1"/>
  <c r="H1187" i="1"/>
  <c r="L1186" i="1"/>
  <c r="K1186" i="1"/>
  <c r="H1186" i="1"/>
  <c r="L1180" i="1"/>
  <c r="K1180" i="1"/>
  <c r="H1180" i="1"/>
  <c r="L1179" i="1"/>
  <c r="K1179" i="1"/>
  <c r="H1179" i="1"/>
  <c r="L1178" i="1"/>
  <c r="K1178" i="1"/>
  <c r="H1178" i="1"/>
  <c r="L1177" i="1"/>
  <c r="K1177" i="1"/>
  <c r="H1177" i="1"/>
  <c r="L1176" i="1"/>
  <c r="K1176" i="1"/>
  <c r="H1176" i="1"/>
  <c r="L1175" i="1"/>
  <c r="K1175" i="1"/>
  <c r="H1175" i="1"/>
  <c r="L1174" i="1"/>
  <c r="K1174" i="1"/>
  <c r="H1174" i="1"/>
  <c r="L1168" i="1"/>
  <c r="K1168" i="1"/>
  <c r="H1168" i="1"/>
  <c r="L1167" i="1"/>
  <c r="K1167" i="1"/>
  <c r="H1167" i="1"/>
  <c r="L1166" i="1"/>
  <c r="K1166" i="1"/>
  <c r="H1166" i="1"/>
  <c r="L1165" i="1"/>
  <c r="K1165" i="1"/>
  <c r="H1165" i="1"/>
  <c r="L1164" i="1"/>
  <c r="K1164" i="1"/>
  <c r="H1164" i="1"/>
  <c r="L1163" i="1"/>
  <c r="K1163" i="1"/>
  <c r="H1163" i="1"/>
  <c r="L1162" i="1"/>
  <c r="K1162" i="1"/>
  <c r="H1162" i="1"/>
  <c r="L1161" i="1"/>
  <c r="K1161" i="1"/>
  <c r="H1161" i="1"/>
  <c r="L1160" i="1"/>
  <c r="K1160" i="1"/>
  <c r="H1160" i="1"/>
  <c r="L1154" i="1"/>
  <c r="K1154" i="1"/>
  <c r="H1154" i="1"/>
  <c r="L1153" i="1"/>
  <c r="K1153" i="1"/>
  <c r="H1153" i="1"/>
  <c r="L1152" i="1"/>
  <c r="K1152" i="1"/>
  <c r="H1152" i="1"/>
  <c r="L1151" i="1"/>
  <c r="K1151" i="1"/>
  <c r="H1151" i="1"/>
  <c r="L1150" i="1"/>
  <c r="K1150" i="1"/>
  <c r="H1150" i="1"/>
  <c r="L1149" i="1"/>
  <c r="K1149" i="1"/>
  <c r="H1149" i="1"/>
  <c r="L1143" i="1"/>
  <c r="K1143" i="1"/>
  <c r="H1143" i="1"/>
  <c r="L1142" i="1"/>
  <c r="K1142" i="1"/>
  <c r="H1142" i="1"/>
  <c r="L1141" i="1"/>
  <c r="K1141" i="1"/>
  <c r="H1141" i="1"/>
  <c r="L1140" i="1"/>
  <c r="K1140" i="1"/>
  <c r="H1140" i="1"/>
  <c r="L1139" i="1"/>
  <c r="K1139" i="1"/>
  <c r="H1139" i="1"/>
  <c r="L1138" i="1"/>
  <c r="K1138" i="1"/>
  <c r="H1138" i="1"/>
  <c r="L1137" i="1"/>
  <c r="K1137" i="1"/>
  <c r="H1137" i="1"/>
  <c r="L1136" i="1"/>
  <c r="K1136" i="1"/>
  <c r="H1136" i="1"/>
  <c r="L1135" i="1"/>
  <c r="K1135" i="1"/>
  <c r="H1135" i="1"/>
  <c r="L1134" i="1"/>
  <c r="K1134" i="1"/>
  <c r="H1134" i="1"/>
  <c r="L1133" i="1"/>
  <c r="K1133" i="1"/>
  <c r="H1133" i="1"/>
  <c r="L1132" i="1"/>
  <c r="K1132" i="1"/>
  <c r="H1132" i="1"/>
  <c r="L1131" i="1"/>
  <c r="K1131" i="1"/>
  <c r="H1131" i="1"/>
  <c r="L1130" i="1"/>
  <c r="K1130" i="1"/>
  <c r="H1130" i="1"/>
  <c r="L1129" i="1"/>
  <c r="K1129" i="1"/>
  <c r="H1129" i="1"/>
  <c r="L1128" i="1"/>
  <c r="K1128" i="1"/>
  <c r="H1128" i="1"/>
  <c r="L1122" i="1"/>
  <c r="K1122" i="1"/>
  <c r="H1122" i="1"/>
  <c r="L1121" i="1"/>
  <c r="K1121" i="1"/>
  <c r="H1121" i="1"/>
  <c r="L1120" i="1"/>
  <c r="K1120" i="1"/>
  <c r="H1120" i="1"/>
  <c r="L1119" i="1"/>
  <c r="K1119" i="1"/>
  <c r="H1119" i="1"/>
  <c r="L1118" i="1"/>
  <c r="K1118" i="1"/>
  <c r="H1118" i="1"/>
  <c r="L1117" i="1"/>
  <c r="K1117" i="1"/>
  <c r="H1117" i="1"/>
  <c r="L1116" i="1"/>
  <c r="K1116" i="1"/>
  <c r="H1116" i="1"/>
  <c r="L1115" i="1"/>
  <c r="K1115" i="1"/>
  <c r="H1115" i="1"/>
  <c r="L1114" i="1"/>
  <c r="K1114" i="1"/>
  <c r="H1114" i="1"/>
  <c r="L1113" i="1"/>
  <c r="K1113" i="1"/>
  <c r="H1113" i="1"/>
  <c r="L1107" i="1"/>
  <c r="K1107" i="1"/>
  <c r="H1107" i="1"/>
  <c r="L1106" i="1"/>
  <c r="K1106" i="1"/>
  <c r="H1106" i="1"/>
  <c r="L1105" i="1"/>
  <c r="K1105" i="1"/>
  <c r="H1105" i="1"/>
  <c r="L1104" i="1"/>
  <c r="K1104" i="1"/>
  <c r="H1104" i="1"/>
  <c r="L1103" i="1"/>
  <c r="K1103" i="1"/>
  <c r="H1103" i="1"/>
  <c r="L1102" i="1"/>
  <c r="K1102" i="1"/>
  <c r="H1102" i="1"/>
  <c r="L1101" i="1"/>
  <c r="K1101" i="1"/>
  <c r="H1101" i="1"/>
  <c r="L1100" i="1"/>
  <c r="K1100" i="1"/>
  <c r="H1100" i="1"/>
  <c r="L1094" i="1"/>
  <c r="K1094" i="1"/>
  <c r="H1094" i="1"/>
  <c r="L1093" i="1"/>
  <c r="K1093" i="1"/>
  <c r="H1093" i="1"/>
  <c r="L1092" i="1"/>
  <c r="K1092" i="1"/>
  <c r="H1092" i="1"/>
  <c r="L1091" i="1"/>
  <c r="K1091" i="1"/>
  <c r="H1091" i="1"/>
  <c r="L1090" i="1"/>
  <c r="K1090" i="1"/>
  <c r="H1090" i="1"/>
  <c r="L1089" i="1"/>
  <c r="K1089" i="1"/>
  <c r="H1089" i="1"/>
  <c r="L1088" i="1"/>
  <c r="K1088" i="1"/>
  <c r="H1088" i="1"/>
  <c r="L1087" i="1"/>
  <c r="K1087" i="1"/>
  <c r="H1087" i="1"/>
  <c r="L1086" i="1"/>
  <c r="K1086" i="1"/>
  <c r="H1086" i="1"/>
  <c r="L1080" i="1"/>
  <c r="K1080" i="1"/>
  <c r="H1080" i="1"/>
  <c r="L1079" i="1"/>
  <c r="K1079" i="1"/>
  <c r="H1079" i="1"/>
  <c r="L1078" i="1"/>
  <c r="K1078" i="1"/>
  <c r="H1078" i="1"/>
  <c r="L1077" i="1"/>
  <c r="K1077" i="1"/>
  <c r="H1077" i="1"/>
  <c r="L1076" i="1"/>
  <c r="K1076" i="1"/>
  <c r="H1076" i="1"/>
  <c r="L1075" i="1"/>
  <c r="K1075" i="1"/>
  <c r="H1075" i="1"/>
  <c r="L1074" i="1"/>
  <c r="K1074" i="1"/>
  <c r="H1074" i="1"/>
  <c r="L1073" i="1"/>
  <c r="K1073" i="1"/>
  <c r="H1073" i="1"/>
  <c r="L1072" i="1"/>
  <c r="K1072" i="1"/>
  <c r="H1072" i="1"/>
  <c r="L1071" i="1"/>
  <c r="K1071" i="1"/>
  <c r="H1071" i="1"/>
  <c r="L1070" i="1"/>
  <c r="K1070" i="1"/>
  <c r="H1070" i="1"/>
  <c r="L1069" i="1"/>
  <c r="K1069" i="1"/>
  <c r="H1069" i="1"/>
  <c r="L1068" i="1"/>
  <c r="K1068" i="1"/>
  <c r="H1068" i="1"/>
  <c r="L1062" i="1"/>
  <c r="K1062" i="1"/>
  <c r="H1062" i="1"/>
  <c r="L1061" i="1"/>
  <c r="K1061" i="1"/>
  <c r="H1061" i="1"/>
  <c r="L1060" i="1"/>
  <c r="K1060" i="1"/>
  <c r="H1060" i="1"/>
  <c r="L1059" i="1"/>
  <c r="K1059" i="1"/>
  <c r="H1059" i="1"/>
  <c r="L1058" i="1"/>
  <c r="K1058" i="1"/>
  <c r="H1058" i="1"/>
  <c r="L1057" i="1"/>
  <c r="K1057" i="1"/>
  <c r="H1057" i="1"/>
  <c r="L1056" i="1"/>
  <c r="K1056" i="1"/>
  <c r="H1056" i="1"/>
  <c r="L1055" i="1"/>
  <c r="K1055" i="1"/>
  <c r="H1055" i="1"/>
  <c r="L1054" i="1"/>
  <c r="K1054" i="1"/>
  <c r="H1054" i="1"/>
  <c r="L1053" i="1"/>
  <c r="K1053" i="1"/>
  <c r="H1053" i="1"/>
  <c r="L1047" i="1"/>
  <c r="K1047" i="1"/>
  <c r="H1047" i="1"/>
  <c r="L1046" i="1"/>
  <c r="K1046" i="1"/>
  <c r="H1046" i="1"/>
  <c r="L1045" i="1"/>
  <c r="K1045" i="1"/>
  <c r="H1045" i="1"/>
  <c r="L1044" i="1"/>
  <c r="K1044" i="1"/>
  <c r="H1044" i="1"/>
  <c r="L1043" i="1"/>
  <c r="K1043" i="1"/>
  <c r="H1043" i="1"/>
  <c r="L1042" i="1"/>
  <c r="K1042" i="1"/>
  <c r="H1042" i="1"/>
  <c r="L1041" i="1"/>
  <c r="K1041" i="1"/>
  <c r="H1041" i="1"/>
  <c r="L1040" i="1"/>
  <c r="K1040" i="1"/>
  <c r="H1040" i="1"/>
  <c r="L1034" i="1"/>
  <c r="K1034" i="1"/>
  <c r="H1034" i="1"/>
  <c r="L1033" i="1"/>
  <c r="K1033" i="1"/>
  <c r="H1033" i="1"/>
  <c r="L1032" i="1"/>
  <c r="K1032" i="1"/>
  <c r="H1032" i="1"/>
  <c r="L1031" i="1"/>
  <c r="K1031" i="1"/>
  <c r="H1031" i="1"/>
  <c r="L1030" i="1"/>
  <c r="K1030" i="1"/>
  <c r="H1030" i="1"/>
  <c r="L1029" i="1"/>
  <c r="K1029" i="1"/>
  <c r="H1029" i="1"/>
  <c r="L1028" i="1"/>
  <c r="K1028" i="1"/>
  <c r="H1028" i="1"/>
  <c r="L1027" i="1"/>
  <c r="K1027" i="1"/>
  <c r="H1027" i="1"/>
  <c r="L1021" i="1"/>
  <c r="K1021" i="1"/>
  <c r="H1021" i="1"/>
  <c r="L1020" i="1"/>
  <c r="K1020" i="1"/>
  <c r="H1020" i="1"/>
  <c r="L1019" i="1"/>
  <c r="K1019" i="1"/>
  <c r="H1019" i="1"/>
  <c r="L1018" i="1"/>
  <c r="K1018" i="1"/>
  <c r="H1018" i="1"/>
  <c r="L1017" i="1"/>
  <c r="K1017" i="1"/>
  <c r="H1017" i="1"/>
  <c r="L1016" i="1"/>
  <c r="K1016" i="1"/>
  <c r="H1016" i="1"/>
  <c r="L1015" i="1"/>
  <c r="K1015" i="1"/>
  <c r="H1015" i="1"/>
  <c r="L1014" i="1"/>
  <c r="K1014" i="1"/>
  <c r="H1014" i="1"/>
  <c r="L1013" i="1"/>
  <c r="K1013" i="1"/>
  <c r="H1013" i="1"/>
  <c r="L1012" i="1"/>
  <c r="K1012" i="1"/>
  <c r="H1012" i="1"/>
  <c r="L1006" i="1"/>
  <c r="K1006" i="1"/>
  <c r="H1006" i="1"/>
  <c r="L1000" i="1"/>
  <c r="K1000" i="1"/>
  <c r="H1000" i="1"/>
  <c r="L999" i="1"/>
  <c r="K999" i="1"/>
  <c r="H999" i="1"/>
  <c r="L998" i="1"/>
  <c r="K998" i="1"/>
  <c r="H998" i="1"/>
  <c r="L997" i="1"/>
  <c r="K997" i="1"/>
  <c r="H997" i="1"/>
  <c r="L996" i="1"/>
  <c r="K996" i="1"/>
  <c r="H996" i="1"/>
  <c r="L995" i="1"/>
  <c r="K995" i="1"/>
  <c r="H995" i="1"/>
  <c r="L994" i="1"/>
  <c r="K994" i="1"/>
  <c r="H994" i="1"/>
  <c r="L993" i="1"/>
  <c r="K993" i="1"/>
  <c r="H993" i="1"/>
  <c r="L992" i="1"/>
  <c r="K992" i="1"/>
  <c r="H992" i="1"/>
  <c r="L991" i="1"/>
  <c r="K991" i="1"/>
  <c r="H991" i="1"/>
  <c r="L990" i="1"/>
  <c r="K990" i="1"/>
  <c r="H990" i="1"/>
  <c r="L989" i="1"/>
  <c r="K989" i="1"/>
  <c r="H989" i="1"/>
  <c r="L988" i="1"/>
  <c r="K988" i="1"/>
  <c r="H988" i="1"/>
  <c r="L987" i="1"/>
  <c r="K987" i="1"/>
  <c r="H987" i="1"/>
  <c r="L986" i="1"/>
  <c r="K986" i="1"/>
  <c r="H986" i="1"/>
  <c r="L985" i="1"/>
  <c r="K985" i="1"/>
  <c r="H985" i="1"/>
  <c r="L984" i="1"/>
  <c r="K984" i="1"/>
  <c r="H984" i="1"/>
  <c r="L983" i="1"/>
  <c r="K983" i="1"/>
  <c r="H983" i="1"/>
  <c r="L982" i="1"/>
  <c r="K982" i="1"/>
  <c r="H982" i="1"/>
  <c r="L981" i="1"/>
  <c r="K981" i="1"/>
  <c r="H981" i="1"/>
  <c r="L980" i="1"/>
  <c r="K980" i="1"/>
  <c r="H980" i="1"/>
  <c r="L979" i="1"/>
  <c r="K979" i="1"/>
  <c r="H979" i="1"/>
  <c r="L978" i="1"/>
  <c r="K978" i="1"/>
  <c r="H978" i="1"/>
  <c r="L977" i="1"/>
  <c r="K977" i="1"/>
  <c r="H977" i="1"/>
  <c r="L976" i="1"/>
  <c r="K976" i="1"/>
  <c r="H976" i="1"/>
  <c r="L975" i="1"/>
  <c r="K975" i="1"/>
  <c r="H975" i="1"/>
  <c r="L974" i="1"/>
  <c r="K974" i="1"/>
  <c r="H974" i="1"/>
  <c r="L973" i="1"/>
  <c r="K973" i="1"/>
  <c r="H973" i="1"/>
  <c r="L972" i="1"/>
  <c r="K972" i="1"/>
  <c r="H972" i="1"/>
  <c r="L971" i="1"/>
  <c r="K971" i="1"/>
  <c r="H971" i="1"/>
  <c r="L970" i="1"/>
  <c r="K970" i="1"/>
  <c r="H970" i="1"/>
  <c r="L969" i="1"/>
  <c r="K969" i="1"/>
  <c r="H969" i="1"/>
  <c r="L968" i="1"/>
  <c r="K968" i="1"/>
  <c r="H968" i="1"/>
  <c r="L967" i="1"/>
  <c r="K967" i="1"/>
  <c r="H967" i="1"/>
  <c r="L966" i="1"/>
  <c r="K966" i="1"/>
  <c r="H966" i="1"/>
  <c r="L965" i="1"/>
  <c r="K965" i="1"/>
  <c r="H965" i="1"/>
  <c r="L964" i="1"/>
  <c r="K964" i="1"/>
  <c r="H964" i="1"/>
  <c r="L958" i="1"/>
  <c r="K958" i="1"/>
  <c r="H958" i="1"/>
  <c r="L957" i="1"/>
  <c r="K957" i="1"/>
  <c r="H957" i="1"/>
  <c r="L956" i="1"/>
  <c r="K956" i="1"/>
  <c r="H956" i="1"/>
  <c r="L955" i="1"/>
  <c r="K955" i="1"/>
  <c r="H955" i="1"/>
  <c r="L954" i="1"/>
  <c r="K954" i="1"/>
  <c r="H954" i="1"/>
  <c r="L953" i="1"/>
  <c r="K953" i="1"/>
  <c r="H953" i="1"/>
  <c r="L952" i="1"/>
  <c r="K952" i="1"/>
  <c r="H952" i="1"/>
  <c r="L951" i="1"/>
  <c r="K951" i="1"/>
  <c r="H951" i="1"/>
  <c r="L950" i="1"/>
  <c r="K950" i="1"/>
  <c r="H950" i="1"/>
  <c r="L949" i="1"/>
  <c r="K949" i="1"/>
  <c r="H949" i="1"/>
  <c r="L948" i="1"/>
  <c r="K948" i="1"/>
  <c r="H948" i="1"/>
  <c r="L947" i="1"/>
  <c r="K947" i="1"/>
  <c r="H947" i="1"/>
  <c r="L946" i="1"/>
  <c r="K946" i="1"/>
  <c r="H946" i="1"/>
  <c r="L945" i="1"/>
  <c r="K945" i="1"/>
  <c r="H945" i="1"/>
  <c r="L944" i="1"/>
  <c r="K944" i="1"/>
  <c r="H944" i="1"/>
  <c r="L938" i="1"/>
  <c r="K938" i="1"/>
  <c r="H938" i="1"/>
  <c r="L937" i="1"/>
  <c r="K937" i="1"/>
  <c r="H937" i="1"/>
  <c r="L936" i="1"/>
  <c r="K936" i="1"/>
  <c r="H936" i="1"/>
  <c r="L930" i="1"/>
  <c r="K930" i="1"/>
  <c r="H930" i="1"/>
  <c r="L929" i="1"/>
  <c r="K929" i="1"/>
  <c r="H929" i="1"/>
  <c r="L928" i="1"/>
  <c r="K928" i="1"/>
  <c r="H928" i="1"/>
  <c r="L927" i="1"/>
  <c r="K927" i="1"/>
  <c r="H927" i="1"/>
  <c r="L926" i="1"/>
  <c r="K926" i="1"/>
  <c r="H926" i="1"/>
  <c r="L925" i="1"/>
  <c r="K925" i="1"/>
  <c r="H925" i="1"/>
  <c r="L924" i="1"/>
  <c r="K924" i="1"/>
  <c r="H924" i="1"/>
  <c r="L923" i="1"/>
  <c r="K923" i="1"/>
  <c r="H923" i="1"/>
  <c r="L922" i="1"/>
  <c r="K922" i="1"/>
  <c r="H922" i="1"/>
  <c r="L921" i="1"/>
  <c r="K921" i="1"/>
  <c r="H921" i="1"/>
  <c r="L920" i="1"/>
  <c r="K920" i="1"/>
  <c r="H920" i="1"/>
  <c r="L919" i="1"/>
  <c r="K919" i="1"/>
  <c r="H919" i="1"/>
  <c r="L918" i="1"/>
  <c r="K918" i="1"/>
  <c r="H918" i="1"/>
  <c r="L917" i="1"/>
  <c r="K917" i="1"/>
  <c r="H917" i="1"/>
  <c r="L916" i="1"/>
  <c r="K916" i="1"/>
  <c r="H916" i="1"/>
  <c r="L915" i="1"/>
  <c r="K915" i="1"/>
  <c r="H915" i="1"/>
  <c r="L914" i="1"/>
  <c r="K914" i="1"/>
  <c r="H914" i="1"/>
  <c r="L913" i="1"/>
  <c r="K913" i="1"/>
  <c r="H913" i="1"/>
  <c r="L912" i="1"/>
  <c r="K912" i="1"/>
  <c r="H912" i="1"/>
  <c r="L911" i="1"/>
  <c r="K911" i="1"/>
  <c r="H911" i="1"/>
  <c r="L910" i="1"/>
  <c r="K910" i="1"/>
  <c r="H910" i="1"/>
  <c r="L904" i="1"/>
  <c r="K904" i="1"/>
  <c r="H904" i="1"/>
  <c r="L903" i="1"/>
  <c r="K903" i="1"/>
  <c r="H903" i="1"/>
  <c r="L902" i="1"/>
  <c r="K902" i="1"/>
  <c r="H902" i="1"/>
  <c r="L901" i="1"/>
  <c r="K901" i="1"/>
  <c r="H901" i="1"/>
  <c r="L900" i="1"/>
  <c r="K900" i="1"/>
  <c r="H900" i="1"/>
  <c r="L899" i="1"/>
  <c r="K899" i="1"/>
  <c r="H899" i="1"/>
  <c r="L898" i="1"/>
  <c r="K898" i="1"/>
  <c r="H898" i="1"/>
  <c r="L897" i="1"/>
  <c r="K897" i="1"/>
  <c r="H897" i="1"/>
  <c r="L896" i="1"/>
  <c r="K896" i="1"/>
  <c r="H896" i="1"/>
  <c r="L895" i="1"/>
  <c r="K895" i="1"/>
  <c r="H895" i="1"/>
  <c r="L894" i="1"/>
  <c r="K894" i="1"/>
  <c r="H894" i="1"/>
  <c r="L893" i="1"/>
  <c r="K893" i="1"/>
  <c r="H893" i="1"/>
  <c r="L892" i="1"/>
  <c r="K892" i="1"/>
  <c r="H892" i="1"/>
  <c r="L891" i="1"/>
  <c r="K891" i="1"/>
  <c r="H891" i="1"/>
  <c r="L890" i="1"/>
  <c r="K890" i="1"/>
  <c r="H890" i="1"/>
  <c r="L889" i="1"/>
  <c r="K889" i="1"/>
  <c r="H889" i="1"/>
  <c r="L888" i="1"/>
  <c r="K888" i="1"/>
  <c r="H888" i="1"/>
  <c r="L887" i="1"/>
  <c r="K887" i="1"/>
  <c r="H887" i="1"/>
  <c r="L886" i="1"/>
  <c r="K886" i="1"/>
  <c r="H886" i="1"/>
  <c r="L885" i="1"/>
  <c r="K885" i="1"/>
  <c r="H885" i="1"/>
  <c r="L879" i="1"/>
  <c r="K879" i="1"/>
  <c r="H879" i="1"/>
  <c r="L878" i="1"/>
  <c r="K878" i="1"/>
  <c r="H878" i="1"/>
  <c r="L877" i="1"/>
  <c r="K877" i="1"/>
  <c r="H877" i="1"/>
  <c r="L876" i="1"/>
  <c r="K876" i="1"/>
  <c r="H876" i="1"/>
  <c r="L875" i="1"/>
  <c r="K875" i="1"/>
  <c r="H875" i="1"/>
  <c r="L869" i="1"/>
  <c r="K869" i="1"/>
  <c r="H869" i="1"/>
  <c r="L868" i="1"/>
  <c r="K868" i="1"/>
  <c r="H868" i="1"/>
  <c r="L867" i="1"/>
  <c r="K867" i="1"/>
  <c r="H867" i="1"/>
  <c r="L866" i="1"/>
  <c r="K866" i="1"/>
  <c r="H866" i="1"/>
  <c r="L860" i="1"/>
  <c r="K860" i="1"/>
  <c r="H860" i="1"/>
  <c r="L859" i="1"/>
  <c r="K859" i="1"/>
  <c r="H859" i="1"/>
  <c r="L858" i="1"/>
  <c r="K858" i="1"/>
  <c r="H858" i="1"/>
  <c r="L857" i="1"/>
  <c r="K857" i="1"/>
  <c r="H857" i="1"/>
  <c r="L856" i="1"/>
  <c r="K856" i="1"/>
  <c r="H856" i="1"/>
  <c r="L855" i="1"/>
  <c r="K855" i="1"/>
  <c r="H855" i="1"/>
  <c r="L854" i="1"/>
  <c r="K854" i="1"/>
  <c r="H854" i="1"/>
  <c r="L853" i="1"/>
  <c r="K853" i="1"/>
  <c r="H853" i="1"/>
  <c r="L852" i="1"/>
  <c r="K852" i="1"/>
  <c r="H852" i="1"/>
  <c r="L851" i="1"/>
  <c r="K851" i="1"/>
  <c r="H851" i="1"/>
  <c r="L850" i="1"/>
  <c r="K850" i="1"/>
  <c r="H850" i="1"/>
  <c r="L849" i="1"/>
  <c r="K849" i="1"/>
  <c r="H849" i="1"/>
  <c r="L848" i="1"/>
  <c r="K848" i="1"/>
  <c r="H848" i="1"/>
  <c r="L847" i="1"/>
  <c r="K847" i="1"/>
  <c r="H847" i="1"/>
  <c r="L846" i="1"/>
  <c r="K846" i="1"/>
  <c r="H846" i="1"/>
  <c r="L845" i="1"/>
  <c r="K845" i="1"/>
  <c r="H845" i="1"/>
  <c r="L844" i="1"/>
  <c r="K844" i="1"/>
  <c r="H844" i="1"/>
  <c r="L838" i="1"/>
  <c r="K838" i="1"/>
  <c r="H838" i="1"/>
  <c r="L837" i="1"/>
  <c r="K837" i="1"/>
  <c r="H837" i="1"/>
  <c r="L836" i="1"/>
  <c r="K836" i="1"/>
  <c r="H836" i="1"/>
  <c r="L835" i="1"/>
  <c r="K835" i="1"/>
  <c r="H835" i="1"/>
  <c r="L834" i="1"/>
  <c r="K834" i="1"/>
  <c r="H834" i="1"/>
  <c r="L833" i="1"/>
  <c r="K833" i="1"/>
  <c r="H833" i="1"/>
  <c r="L827" i="1"/>
  <c r="K827" i="1"/>
  <c r="H827" i="1"/>
  <c r="L826" i="1"/>
  <c r="K826" i="1"/>
  <c r="H826" i="1"/>
  <c r="L825" i="1"/>
  <c r="K825" i="1"/>
  <c r="H825" i="1"/>
  <c r="L824" i="1"/>
  <c r="K824" i="1"/>
  <c r="H824" i="1"/>
  <c r="L823" i="1"/>
  <c r="K823" i="1"/>
  <c r="H823" i="1"/>
  <c r="L822" i="1"/>
  <c r="K822" i="1"/>
  <c r="H822" i="1"/>
  <c r="L821" i="1"/>
  <c r="K821" i="1"/>
  <c r="H821" i="1"/>
  <c r="L820" i="1"/>
  <c r="K820" i="1"/>
  <c r="H820" i="1"/>
  <c r="L819" i="1"/>
  <c r="K819" i="1"/>
  <c r="H819" i="1"/>
  <c r="L818" i="1"/>
  <c r="K818" i="1"/>
  <c r="H818" i="1"/>
  <c r="L817" i="1"/>
  <c r="K817" i="1"/>
  <c r="H817" i="1"/>
  <c r="L816" i="1"/>
  <c r="K816" i="1"/>
  <c r="H816" i="1"/>
  <c r="L810" i="1"/>
  <c r="K810" i="1"/>
  <c r="H810" i="1"/>
  <c r="L809" i="1"/>
  <c r="K809" i="1"/>
  <c r="H809" i="1"/>
  <c r="L808" i="1"/>
  <c r="K808" i="1"/>
  <c r="H808" i="1"/>
  <c r="L807" i="1"/>
  <c r="K807" i="1"/>
  <c r="H807" i="1"/>
  <c r="L806" i="1"/>
  <c r="K806" i="1"/>
  <c r="H806" i="1"/>
  <c r="L805" i="1"/>
  <c r="K805" i="1"/>
  <c r="H805" i="1"/>
  <c r="L804" i="1"/>
  <c r="K804" i="1"/>
  <c r="H804" i="1"/>
  <c r="L803" i="1"/>
  <c r="K803" i="1"/>
  <c r="H803" i="1"/>
  <c r="L802" i="1"/>
  <c r="K802" i="1"/>
  <c r="H802" i="1"/>
  <c r="L801" i="1"/>
  <c r="K801" i="1"/>
  <c r="H801" i="1"/>
  <c r="L800" i="1"/>
  <c r="K800" i="1"/>
  <c r="H800" i="1"/>
  <c r="L794" i="1"/>
  <c r="K794" i="1"/>
  <c r="H794" i="1"/>
  <c r="L793" i="1"/>
  <c r="K793" i="1"/>
  <c r="H793" i="1"/>
  <c r="L792" i="1"/>
  <c r="K792" i="1"/>
  <c r="H792" i="1"/>
  <c r="L791" i="1"/>
  <c r="K791" i="1"/>
  <c r="H791" i="1"/>
  <c r="L785" i="1"/>
  <c r="K785" i="1"/>
  <c r="H785" i="1"/>
  <c r="L784" i="1"/>
  <c r="K784" i="1"/>
  <c r="H784" i="1"/>
  <c r="L783" i="1"/>
  <c r="K783" i="1"/>
  <c r="H783" i="1"/>
  <c r="L782" i="1"/>
  <c r="K782" i="1"/>
  <c r="H782" i="1"/>
  <c r="L781" i="1"/>
  <c r="K781" i="1"/>
  <c r="H781" i="1"/>
  <c r="L780" i="1"/>
  <c r="K780" i="1"/>
  <c r="H780" i="1"/>
  <c r="L779" i="1"/>
  <c r="K779" i="1"/>
  <c r="H779" i="1"/>
  <c r="L773" i="1"/>
  <c r="K773" i="1"/>
  <c r="H773" i="1"/>
  <c r="L772" i="1"/>
  <c r="K772" i="1"/>
  <c r="H772" i="1"/>
  <c r="L771" i="1"/>
  <c r="K771" i="1"/>
  <c r="H771" i="1"/>
  <c r="L770" i="1"/>
  <c r="K770" i="1"/>
  <c r="H770" i="1"/>
  <c r="L769" i="1"/>
  <c r="K769" i="1"/>
  <c r="H769" i="1"/>
  <c r="L768" i="1"/>
  <c r="K768" i="1"/>
  <c r="H768" i="1"/>
  <c r="L767" i="1"/>
  <c r="K767" i="1"/>
  <c r="H767" i="1"/>
  <c r="L766" i="1"/>
  <c r="K766" i="1"/>
  <c r="H766" i="1"/>
  <c r="L765" i="1"/>
  <c r="K765" i="1"/>
  <c r="H765" i="1"/>
  <c r="L764" i="1"/>
  <c r="K764" i="1"/>
  <c r="H764" i="1"/>
  <c r="L758" i="1"/>
  <c r="K758" i="1"/>
  <c r="H758" i="1"/>
  <c r="L757" i="1"/>
  <c r="K757" i="1"/>
  <c r="H757" i="1"/>
  <c r="L756" i="1"/>
  <c r="K756" i="1"/>
  <c r="H756" i="1"/>
  <c r="L755" i="1"/>
  <c r="K755" i="1"/>
  <c r="H755" i="1"/>
  <c r="L754" i="1"/>
  <c r="K754" i="1"/>
  <c r="H754" i="1"/>
  <c r="L753" i="1"/>
  <c r="K753" i="1"/>
  <c r="H753" i="1"/>
  <c r="L752" i="1"/>
  <c r="K752" i="1"/>
  <c r="H752" i="1"/>
  <c r="L751" i="1"/>
  <c r="K751" i="1"/>
  <c r="H751" i="1"/>
  <c r="L750" i="1"/>
  <c r="K750" i="1"/>
  <c r="H750" i="1"/>
  <c r="L749" i="1"/>
  <c r="K749" i="1"/>
  <c r="H749" i="1"/>
  <c r="L748" i="1"/>
  <c r="K748" i="1"/>
  <c r="H748" i="1"/>
  <c r="L747" i="1"/>
  <c r="K747" i="1"/>
  <c r="H747" i="1"/>
  <c r="L741" i="1"/>
  <c r="K741" i="1"/>
  <c r="H741" i="1"/>
  <c r="L740" i="1"/>
  <c r="K740" i="1"/>
  <c r="H740" i="1"/>
  <c r="L739" i="1"/>
  <c r="K739" i="1"/>
  <c r="H739" i="1"/>
  <c r="L738" i="1"/>
  <c r="K738" i="1"/>
  <c r="H738" i="1"/>
  <c r="L737" i="1"/>
  <c r="K737" i="1"/>
  <c r="H737" i="1"/>
  <c r="L736" i="1"/>
  <c r="K736" i="1"/>
  <c r="H736" i="1"/>
  <c r="L735" i="1"/>
  <c r="K735" i="1"/>
  <c r="H735" i="1"/>
  <c r="L734" i="1"/>
  <c r="K734" i="1"/>
  <c r="H734" i="1"/>
  <c r="L733" i="1"/>
  <c r="K733" i="1"/>
  <c r="H733" i="1"/>
  <c r="L732" i="1"/>
  <c r="K732" i="1"/>
  <c r="H732" i="1"/>
  <c r="L726" i="1"/>
  <c r="K726" i="1"/>
  <c r="H726" i="1"/>
  <c r="L725" i="1"/>
  <c r="K725" i="1"/>
  <c r="H725" i="1"/>
  <c r="L724" i="1"/>
  <c r="K724" i="1"/>
  <c r="H724" i="1"/>
  <c r="L723" i="1"/>
  <c r="K723" i="1"/>
  <c r="H723" i="1"/>
  <c r="L722" i="1"/>
  <c r="K722" i="1"/>
  <c r="H722" i="1"/>
  <c r="L721" i="1"/>
  <c r="K721" i="1"/>
  <c r="H721" i="1"/>
  <c r="L720" i="1"/>
  <c r="K720" i="1"/>
  <c r="H720" i="1"/>
  <c r="L719" i="1"/>
  <c r="K719" i="1"/>
  <c r="H719" i="1"/>
  <c r="L713" i="1"/>
  <c r="K713" i="1"/>
  <c r="H713" i="1"/>
  <c r="L712" i="1"/>
  <c r="K712" i="1"/>
  <c r="H712" i="1"/>
  <c r="L711" i="1"/>
  <c r="K711" i="1"/>
  <c r="H711" i="1"/>
  <c r="L710" i="1"/>
  <c r="K710" i="1"/>
  <c r="H710" i="1"/>
  <c r="L709" i="1"/>
  <c r="K709" i="1"/>
  <c r="H709" i="1"/>
  <c r="L708" i="1"/>
  <c r="K708" i="1"/>
  <c r="H708" i="1"/>
  <c r="L707" i="1"/>
  <c r="K707" i="1"/>
  <c r="H707" i="1"/>
  <c r="L706" i="1"/>
  <c r="K706" i="1"/>
  <c r="H706" i="1"/>
  <c r="L705" i="1"/>
  <c r="K705" i="1"/>
  <c r="H705" i="1"/>
  <c r="L704" i="1"/>
  <c r="K704" i="1"/>
  <c r="H704" i="1"/>
  <c r="L703" i="1"/>
  <c r="K703" i="1"/>
  <c r="H703" i="1"/>
  <c r="L702" i="1"/>
  <c r="K702" i="1"/>
  <c r="H702" i="1"/>
  <c r="L701" i="1"/>
  <c r="K701" i="1"/>
  <c r="H701" i="1"/>
  <c r="L695" i="1"/>
  <c r="K695" i="1"/>
  <c r="H695" i="1"/>
  <c r="L694" i="1"/>
  <c r="K694" i="1"/>
  <c r="H694" i="1"/>
  <c r="L693" i="1"/>
  <c r="K693" i="1"/>
  <c r="H693" i="1"/>
  <c r="L692" i="1"/>
  <c r="K692" i="1"/>
  <c r="H692" i="1"/>
  <c r="L691" i="1"/>
  <c r="K691" i="1"/>
  <c r="H691" i="1"/>
  <c r="L690" i="1"/>
  <c r="K690" i="1"/>
  <c r="H690" i="1"/>
  <c r="L689" i="1"/>
  <c r="K689" i="1"/>
  <c r="H689" i="1"/>
  <c r="L688" i="1"/>
  <c r="K688" i="1"/>
  <c r="H688" i="1"/>
  <c r="L687" i="1"/>
  <c r="K687" i="1"/>
  <c r="H687" i="1"/>
  <c r="L686" i="1"/>
  <c r="K686" i="1"/>
  <c r="H686" i="1"/>
  <c r="L685" i="1"/>
  <c r="K685" i="1"/>
  <c r="H685" i="1"/>
  <c r="L684" i="1"/>
  <c r="K684" i="1"/>
  <c r="H684" i="1"/>
  <c r="L683" i="1"/>
  <c r="K683" i="1"/>
  <c r="H683" i="1"/>
  <c r="L677" i="1"/>
  <c r="K677" i="1"/>
  <c r="H677" i="1"/>
  <c r="L676" i="1"/>
  <c r="K676" i="1"/>
  <c r="H676" i="1"/>
  <c r="L675" i="1"/>
  <c r="K675" i="1"/>
  <c r="H675" i="1"/>
  <c r="L674" i="1"/>
  <c r="K674" i="1"/>
  <c r="H674" i="1"/>
  <c r="L673" i="1"/>
  <c r="K673" i="1"/>
  <c r="H673" i="1"/>
  <c r="L672" i="1"/>
  <c r="K672" i="1"/>
  <c r="H672" i="1"/>
  <c r="L671" i="1"/>
  <c r="K671" i="1"/>
  <c r="H671" i="1"/>
  <c r="L670" i="1"/>
  <c r="K670" i="1"/>
  <c r="H670" i="1"/>
  <c r="L669" i="1"/>
  <c r="K669" i="1"/>
  <c r="H669" i="1"/>
  <c r="L668" i="1"/>
  <c r="K668" i="1"/>
  <c r="H668" i="1"/>
  <c r="L667" i="1"/>
  <c r="K667" i="1"/>
  <c r="H667" i="1"/>
  <c r="L666" i="1"/>
  <c r="K666" i="1"/>
  <c r="H666" i="1"/>
  <c r="L665" i="1"/>
  <c r="K665" i="1"/>
  <c r="H665" i="1"/>
  <c r="L664" i="1"/>
  <c r="K664" i="1"/>
  <c r="H664" i="1"/>
  <c r="L663" i="1"/>
  <c r="K663" i="1"/>
  <c r="H663" i="1"/>
  <c r="L662" i="1"/>
  <c r="K662" i="1"/>
  <c r="H662" i="1"/>
  <c r="L661" i="1"/>
  <c r="K661" i="1"/>
  <c r="H661" i="1"/>
  <c r="L660" i="1"/>
  <c r="K660" i="1"/>
  <c r="H660" i="1"/>
  <c r="L654" i="1"/>
  <c r="K654" i="1"/>
  <c r="H654" i="1"/>
  <c r="L653" i="1"/>
  <c r="K653" i="1"/>
  <c r="H653" i="1"/>
  <c r="L652" i="1"/>
  <c r="K652" i="1"/>
  <c r="H652" i="1"/>
  <c r="L651" i="1"/>
  <c r="K651" i="1"/>
  <c r="H651" i="1"/>
  <c r="L645" i="1"/>
  <c r="K645" i="1"/>
  <c r="H645" i="1"/>
  <c r="L644" i="1"/>
  <c r="K644" i="1"/>
  <c r="H644" i="1"/>
  <c r="L643" i="1"/>
  <c r="K643" i="1"/>
  <c r="H643" i="1"/>
  <c r="L642" i="1"/>
  <c r="K642" i="1"/>
  <c r="H642" i="1"/>
  <c r="L641" i="1"/>
  <c r="K641" i="1"/>
  <c r="H641" i="1"/>
  <c r="L640" i="1"/>
  <c r="K640" i="1"/>
  <c r="H640" i="1"/>
  <c r="L639" i="1"/>
  <c r="K639" i="1"/>
  <c r="H639" i="1"/>
  <c r="L638" i="1"/>
  <c r="K638" i="1"/>
  <c r="H638" i="1"/>
  <c r="L637" i="1"/>
  <c r="K637" i="1"/>
  <c r="H637" i="1"/>
  <c r="L636" i="1"/>
  <c r="K636" i="1"/>
  <c r="H636" i="1"/>
  <c r="L635" i="1"/>
  <c r="K635" i="1"/>
  <c r="H635" i="1"/>
  <c r="L634" i="1"/>
  <c r="K634" i="1"/>
  <c r="H634" i="1"/>
  <c r="L633" i="1"/>
  <c r="K633" i="1"/>
  <c r="H633" i="1"/>
  <c r="L632" i="1"/>
  <c r="K632" i="1"/>
  <c r="H632" i="1"/>
  <c r="L631" i="1"/>
  <c r="K631" i="1"/>
  <c r="H631" i="1"/>
  <c r="L630" i="1"/>
  <c r="K630" i="1"/>
  <c r="H630" i="1"/>
  <c r="L629" i="1"/>
  <c r="K629" i="1"/>
  <c r="H629" i="1"/>
  <c r="L623" i="1"/>
  <c r="K623" i="1"/>
  <c r="H623" i="1"/>
  <c r="L622" i="1"/>
  <c r="K622" i="1"/>
  <c r="H622" i="1"/>
  <c r="L621" i="1"/>
  <c r="K621" i="1"/>
  <c r="H621" i="1"/>
  <c r="L620" i="1"/>
  <c r="K620" i="1"/>
  <c r="H620" i="1"/>
  <c r="L619" i="1"/>
  <c r="K619" i="1"/>
  <c r="H619" i="1"/>
  <c r="L618" i="1"/>
  <c r="K618" i="1"/>
  <c r="H618" i="1"/>
  <c r="L617" i="1"/>
  <c r="K617" i="1"/>
  <c r="H617" i="1"/>
  <c r="L616" i="1"/>
  <c r="K616" i="1"/>
  <c r="H616" i="1"/>
  <c r="L615" i="1"/>
  <c r="K615" i="1"/>
  <c r="H615" i="1"/>
  <c r="L614" i="1"/>
  <c r="K614" i="1"/>
  <c r="H614" i="1"/>
  <c r="L613" i="1"/>
  <c r="K613" i="1"/>
  <c r="H613" i="1"/>
  <c r="L612" i="1"/>
  <c r="K612" i="1"/>
  <c r="H612" i="1"/>
  <c r="L606" i="1"/>
  <c r="K606" i="1"/>
  <c r="H606" i="1"/>
  <c r="L605" i="1"/>
  <c r="K605" i="1"/>
  <c r="H605" i="1"/>
  <c r="L604" i="1"/>
  <c r="K604" i="1"/>
  <c r="H604" i="1"/>
  <c r="L603" i="1"/>
  <c r="K603" i="1"/>
  <c r="H603" i="1"/>
  <c r="L602" i="1"/>
  <c r="K602" i="1"/>
  <c r="H602" i="1"/>
  <c r="L601" i="1"/>
  <c r="K601" i="1"/>
  <c r="H601" i="1"/>
  <c r="L600" i="1"/>
  <c r="K600" i="1"/>
  <c r="H600" i="1"/>
  <c r="L599" i="1"/>
  <c r="K599" i="1"/>
  <c r="H599" i="1"/>
  <c r="L598" i="1"/>
  <c r="K598" i="1"/>
  <c r="H598" i="1"/>
  <c r="L597" i="1"/>
  <c r="K597" i="1"/>
  <c r="H597" i="1"/>
  <c r="L596" i="1"/>
  <c r="K596" i="1"/>
  <c r="H596" i="1"/>
  <c r="L595" i="1"/>
  <c r="K595" i="1"/>
  <c r="H595" i="1"/>
  <c r="L594" i="1"/>
  <c r="K594" i="1"/>
  <c r="H594" i="1"/>
  <c r="L593" i="1"/>
  <c r="K593" i="1"/>
  <c r="H593" i="1"/>
  <c r="L592" i="1"/>
  <c r="K592" i="1"/>
  <c r="H592" i="1"/>
  <c r="L591" i="1"/>
  <c r="K591" i="1"/>
  <c r="H591" i="1"/>
  <c r="L590" i="1"/>
  <c r="K590" i="1"/>
  <c r="H590" i="1"/>
  <c r="L589" i="1"/>
  <c r="K589" i="1"/>
  <c r="H589" i="1"/>
  <c r="L588" i="1"/>
  <c r="K588" i="1"/>
  <c r="H588" i="1"/>
  <c r="L587" i="1"/>
  <c r="K587" i="1"/>
  <c r="H587" i="1"/>
  <c r="L586" i="1"/>
  <c r="K586" i="1"/>
  <c r="H586" i="1"/>
  <c r="L585" i="1"/>
  <c r="K585" i="1"/>
  <c r="H585" i="1"/>
  <c r="L584" i="1"/>
  <c r="K584" i="1"/>
  <c r="H584" i="1"/>
  <c r="L583" i="1"/>
  <c r="K583" i="1"/>
  <c r="H583" i="1"/>
  <c r="L582" i="1"/>
  <c r="K582" i="1"/>
  <c r="H582" i="1"/>
  <c r="L581" i="1"/>
  <c r="K581" i="1"/>
  <c r="H581" i="1"/>
  <c r="L580" i="1"/>
  <c r="K580" i="1"/>
  <c r="H580" i="1"/>
  <c r="L579" i="1"/>
  <c r="K579" i="1"/>
  <c r="H579" i="1"/>
  <c r="L578" i="1"/>
  <c r="K578" i="1"/>
  <c r="H578" i="1"/>
  <c r="L577" i="1"/>
  <c r="K577" i="1"/>
  <c r="H577" i="1"/>
  <c r="L576" i="1"/>
  <c r="K576" i="1"/>
  <c r="H576" i="1"/>
  <c r="L575" i="1"/>
  <c r="K575" i="1"/>
  <c r="H575" i="1"/>
  <c r="L574" i="1"/>
  <c r="K574" i="1"/>
  <c r="H574" i="1"/>
  <c r="L573" i="1"/>
  <c r="K573" i="1"/>
  <c r="H573" i="1"/>
  <c r="L572" i="1"/>
  <c r="K572" i="1"/>
  <c r="H572" i="1"/>
  <c r="L571" i="1"/>
  <c r="K571" i="1"/>
  <c r="H571" i="1"/>
  <c r="L570" i="1"/>
  <c r="K570" i="1"/>
  <c r="H570" i="1"/>
  <c r="L569" i="1"/>
  <c r="K569" i="1"/>
  <c r="H569" i="1"/>
  <c r="L568" i="1"/>
  <c r="K568" i="1"/>
  <c r="H568" i="1"/>
  <c r="L567" i="1"/>
  <c r="K567" i="1"/>
  <c r="H567" i="1"/>
  <c r="L566" i="1"/>
  <c r="K566" i="1"/>
  <c r="H566" i="1"/>
  <c r="L565" i="1"/>
  <c r="K565" i="1"/>
  <c r="H565" i="1"/>
  <c r="L564" i="1"/>
  <c r="K564" i="1"/>
  <c r="H564" i="1"/>
  <c r="L563" i="1"/>
  <c r="K563" i="1"/>
  <c r="H563" i="1"/>
  <c r="L562" i="1"/>
  <c r="K562" i="1"/>
  <c r="H562" i="1"/>
  <c r="L561" i="1"/>
  <c r="K561" i="1"/>
  <c r="H561" i="1"/>
  <c r="L560" i="1"/>
  <c r="K560" i="1"/>
  <c r="H560" i="1"/>
  <c r="L559" i="1"/>
  <c r="K559" i="1"/>
  <c r="H559" i="1"/>
  <c r="L558" i="1"/>
  <c r="K558" i="1"/>
  <c r="H558" i="1"/>
  <c r="L557" i="1"/>
  <c r="K557" i="1"/>
  <c r="H557" i="1"/>
  <c r="L556" i="1"/>
  <c r="K556" i="1"/>
  <c r="H556" i="1"/>
  <c r="L555" i="1"/>
  <c r="K555" i="1"/>
  <c r="H555" i="1"/>
  <c r="L554" i="1"/>
  <c r="K554" i="1"/>
  <c r="H554" i="1"/>
  <c r="L553" i="1"/>
  <c r="K553" i="1"/>
  <c r="H553" i="1"/>
  <c r="L552" i="1"/>
  <c r="K552" i="1"/>
  <c r="H552" i="1"/>
  <c r="L551" i="1"/>
  <c r="K551" i="1"/>
  <c r="H551" i="1"/>
  <c r="L550" i="1"/>
  <c r="K550" i="1"/>
  <c r="H550" i="1"/>
  <c r="L549" i="1"/>
  <c r="K549" i="1"/>
  <c r="H549" i="1"/>
  <c r="L548" i="1"/>
  <c r="K548" i="1"/>
  <c r="H548" i="1"/>
  <c r="L547" i="1"/>
  <c r="K547" i="1"/>
  <c r="H547" i="1"/>
  <c r="L546" i="1"/>
  <c r="K546" i="1"/>
  <c r="H546" i="1"/>
  <c r="L545" i="1"/>
  <c r="K545" i="1"/>
  <c r="H545" i="1"/>
  <c r="L544" i="1"/>
  <c r="K544" i="1"/>
  <c r="H544" i="1"/>
  <c r="L543" i="1"/>
  <c r="K543" i="1"/>
  <c r="H543" i="1"/>
  <c r="L542" i="1"/>
  <c r="K542" i="1"/>
  <c r="H542" i="1"/>
  <c r="L541" i="1"/>
  <c r="K541" i="1"/>
  <c r="H541" i="1"/>
  <c r="L540" i="1"/>
  <c r="K540" i="1"/>
  <c r="H540" i="1"/>
  <c r="L539" i="1"/>
  <c r="K539" i="1"/>
  <c r="H539" i="1"/>
  <c r="L538" i="1"/>
  <c r="K538" i="1"/>
  <c r="H538" i="1"/>
  <c r="L537" i="1"/>
  <c r="K537" i="1"/>
  <c r="H537" i="1"/>
  <c r="L536" i="1"/>
  <c r="K536" i="1"/>
  <c r="H536" i="1"/>
  <c r="L535" i="1"/>
  <c r="K535" i="1"/>
  <c r="H535" i="1"/>
  <c r="L534" i="1"/>
  <c r="K534" i="1"/>
  <c r="H534" i="1"/>
  <c r="L533" i="1"/>
  <c r="K533" i="1"/>
  <c r="H533" i="1"/>
  <c r="L532" i="1"/>
  <c r="K532" i="1"/>
  <c r="H532" i="1"/>
  <c r="L531" i="1"/>
  <c r="K531" i="1"/>
  <c r="H531" i="1"/>
  <c r="L530" i="1"/>
  <c r="K530" i="1"/>
  <c r="H530" i="1"/>
  <c r="L529" i="1"/>
  <c r="K529" i="1"/>
  <c r="H529" i="1"/>
  <c r="L528" i="1"/>
  <c r="K528" i="1"/>
  <c r="H528" i="1"/>
  <c r="L527" i="1"/>
  <c r="K527" i="1"/>
  <c r="H527" i="1"/>
  <c r="L526" i="1"/>
  <c r="K526" i="1"/>
  <c r="H526" i="1"/>
  <c r="L525" i="1"/>
  <c r="K525" i="1"/>
  <c r="H525" i="1"/>
  <c r="L524" i="1"/>
  <c r="K524" i="1"/>
  <c r="H524" i="1"/>
  <c r="L523" i="1"/>
  <c r="K523" i="1"/>
  <c r="H523" i="1"/>
  <c r="L522" i="1"/>
  <c r="K522" i="1"/>
  <c r="H522" i="1"/>
  <c r="L521" i="1"/>
  <c r="K521" i="1"/>
  <c r="H521" i="1"/>
  <c r="L520" i="1"/>
  <c r="K520" i="1"/>
  <c r="H520" i="1"/>
  <c r="L519" i="1"/>
  <c r="K519" i="1"/>
  <c r="H519" i="1"/>
  <c r="L518" i="1"/>
  <c r="K518" i="1"/>
  <c r="H518" i="1"/>
  <c r="L517" i="1"/>
  <c r="K517" i="1"/>
  <c r="H517" i="1"/>
  <c r="L516" i="1"/>
  <c r="K516" i="1"/>
  <c r="H516" i="1"/>
  <c r="L515" i="1"/>
  <c r="K515" i="1"/>
  <c r="H515" i="1"/>
  <c r="L514" i="1"/>
  <c r="K514" i="1"/>
  <c r="H514" i="1"/>
  <c r="L513" i="1"/>
  <c r="K513" i="1"/>
  <c r="H513" i="1"/>
  <c r="L512" i="1"/>
  <c r="K512" i="1"/>
  <c r="H512" i="1"/>
  <c r="L511" i="1"/>
  <c r="K511" i="1"/>
  <c r="H511" i="1"/>
  <c r="L510" i="1"/>
  <c r="K510" i="1"/>
  <c r="H510" i="1"/>
  <c r="L509" i="1"/>
  <c r="K509" i="1"/>
  <c r="H509" i="1"/>
  <c r="L508" i="1"/>
  <c r="K508" i="1"/>
  <c r="H508" i="1"/>
  <c r="L507" i="1"/>
  <c r="K507" i="1"/>
  <c r="H507" i="1"/>
  <c r="L506" i="1"/>
  <c r="K506" i="1"/>
  <c r="H506" i="1"/>
  <c r="L505" i="1"/>
  <c r="K505" i="1"/>
  <c r="H505" i="1"/>
  <c r="L504" i="1"/>
  <c r="K504" i="1"/>
  <c r="H504" i="1"/>
  <c r="L503" i="1"/>
  <c r="K503" i="1"/>
  <c r="H503" i="1"/>
  <c r="L502" i="1"/>
  <c r="K502" i="1"/>
  <c r="H502" i="1"/>
  <c r="L501" i="1"/>
  <c r="K501" i="1"/>
  <c r="H501" i="1"/>
  <c r="L500" i="1"/>
  <c r="K500" i="1"/>
  <c r="H500" i="1"/>
  <c r="L499" i="1"/>
  <c r="K499" i="1"/>
  <c r="H499" i="1"/>
  <c r="L498" i="1"/>
  <c r="K498" i="1"/>
  <c r="H498" i="1"/>
  <c r="L497" i="1"/>
  <c r="K497" i="1"/>
  <c r="H497" i="1"/>
  <c r="L496" i="1"/>
  <c r="K496" i="1"/>
  <c r="H496" i="1"/>
  <c r="L495" i="1"/>
  <c r="K495" i="1"/>
  <c r="H495" i="1"/>
  <c r="L494" i="1"/>
  <c r="K494" i="1"/>
  <c r="H494" i="1"/>
  <c r="L493" i="1"/>
  <c r="K493" i="1"/>
  <c r="H493" i="1"/>
  <c r="L492" i="1"/>
  <c r="K492" i="1"/>
  <c r="H492" i="1"/>
  <c r="L491" i="1"/>
  <c r="K491" i="1"/>
  <c r="H491" i="1"/>
  <c r="L490" i="1"/>
  <c r="K490" i="1"/>
  <c r="H490" i="1"/>
  <c r="L489" i="1"/>
  <c r="K489" i="1"/>
  <c r="H489" i="1"/>
  <c r="L488" i="1"/>
  <c r="K488" i="1"/>
  <c r="H488" i="1"/>
  <c r="L487" i="1"/>
  <c r="K487" i="1"/>
  <c r="H487" i="1"/>
  <c r="L486" i="1"/>
  <c r="K486" i="1"/>
  <c r="H486" i="1"/>
  <c r="L485" i="1"/>
  <c r="K485" i="1"/>
  <c r="H485" i="1"/>
  <c r="L484" i="1"/>
  <c r="K484" i="1"/>
  <c r="H484" i="1"/>
  <c r="L483" i="1"/>
  <c r="K483" i="1"/>
  <c r="H483" i="1"/>
  <c r="L482" i="1"/>
  <c r="K482" i="1"/>
  <c r="H482" i="1"/>
  <c r="L481" i="1"/>
  <c r="K481" i="1"/>
  <c r="H481" i="1"/>
  <c r="L480" i="1"/>
  <c r="K480" i="1"/>
  <c r="H480" i="1"/>
  <c r="L479" i="1"/>
  <c r="K479" i="1"/>
  <c r="H479" i="1"/>
  <c r="L478" i="1"/>
  <c r="K478" i="1"/>
  <c r="H478" i="1"/>
  <c r="L477" i="1"/>
  <c r="K477" i="1"/>
  <c r="H477" i="1"/>
  <c r="L476" i="1"/>
  <c r="K476" i="1"/>
  <c r="H476" i="1"/>
  <c r="L475" i="1"/>
  <c r="K475" i="1"/>
  <c r="H475" i="1"/>
  <c r="L474" i="1"/>
  <c r="K474" i="1"/>
  <c r="H474" i="1"/>
  <c r="L473" i="1"/>
  <c r="K473" i="1"/>
  <c r="H473" i="1"/>
  <c r="L472" i="1"/>
  <c r="K472" i="1"/>
  <c r="H472" i="1"/>
  <c r="L471" i="1"/>
  <c r="K471" i="1"/>
  <c r="H471" i="1"/>
  <c r="L470" i="1"/>
  <c r="K470" i="1"/>
  <c r="H470" i="1"/>
  <c r="L469" i="1"/>
  <c r="K469" i="1"/>
  <c r="H469" i="1"/>
  <c r="L468" i="1"/>
  <c r="K468" i="1"/>
  <c r="H468" i="1"/>
  <c r="L467" i="1"/>
  <c r="K467" i="1"/>
  <c r="H467" i="1"/>
  <c r="L466" i="1"/>
  <c r="K466" i="1"/>
  <c r="H466" i="1"/>
  <c r="L465" i="1"/>
  <c r="K465" i="1"/>
  <c r="H465" i="1"/>
  <c r="L464" i="1"/>
  <c r="K464" i="1"/>
  <c r="H464" i="1"/>
  <c r="L463" i="1"/>
  <c r="K463" i="1"/>
  <c r="H463" i="1"/>
  <c r="L462" i="1"/>
  <c r="K462" i="1"/>
  <c r="H462" i="1"/>
  <c r="L461" i="1"/>
  <c r="K461" i="1"/>
  <c r="H461" i="1"/>
  <c r="L460" i="1"/>
  <c r="K460" i="1"/>
  <c r="H460" i="1"/>
  <c r="L459" i="1"/>
  <c r="K459" i="1"/>
  <c r="H459" i="1"/>
  <c r="L458" i="1"/>
  <c r="K458" i="1"/>
  <c r="H458" i="1"/>
  <c r="L457" i="1"/>
  <c r="K457" i="1"/>
  <c r="H457" i="1"/>
  <c r="L456" i="1"/>
  <c r="K456" i="1"/>
  <c r="H456" i="1"/>
  <c r="L455" i="1"/>
  <c r="K455" i="1"/>
  <c r="H455" i="1"/>
  <c r="L454" i="1"/>
  <c r="K454" i="1"/>
  <c r="H454" i="1"/>
  <c r="L453" i="1"/>
  <c r="K453" i="1"/>
  <c r="H453" i="1"/>
  <c r="L452" i="1"/>
  <c r="K452" i="1"/>
  <c r="H452" i="1"/>
  <c r="L451" i="1"/>
  <c r="K451" i="1"/>
  <c r="H451" i="1"/>
  <c r="L450" i="1"/>
  <c r="K450" i="1"/>
  <c r="H450" i="1"/>
  <c r="L449" i="1"/>
  <c r="K449" i="1"/>
  <c r="H449" i="1"/>
  <c r="L448" i="1"/>
  <c r="K448" i="1"/>
  <c r="H448" i="1"/>
  <c r="L447" i="1"/>
  <c r="K447" i="1"/>
  <c r="H447" i="1"/>
  <c r="L446" i="1"/>
  <c r="K446" i="1"/>
  <c r="H446" i="1"/>
  <c r="L445" i="1"/>
  <c r="K445" i="1"/>
  <c r="H445" i="1"/>
  <c r="L444" i="1"/>
  <c r="K444" i="1"/>
  <c r="H444" i="1"/>
  <c r="L443" i="1"/>
  <c r="K443" i="1"/>
  <c r="H443" i="1"/>
  <c r="L442" i="1"/>
  <c r="K442" i="1"/>
  <c r="H442" i="1"/>
  <c r="L441" i="1"/>
  <c r="K441" i="1"/>
  <c r="H441" i="1"/>
  <c r="L440" i="1"/>
  <c r="K440" i="1"/>
  <c r="H440" i="1"/>
  <c r="L439" i="1"/>
  <c r="K439" i="1"/>
  <c r="H439" i="1"/>
  <c r="L438" i="1"/>
  <c r="K438" i="1"/>
  <c r="H438" i="1"/>
  <c r="L437" i="1"/>
  <c r="K437" i="1"/>
  <c r="H437" i="1"/>
  <c r="L436" i="1"/>
  <c r="K436" i="1"/>
  <c r="H436" i="1"/>
  <c r="L435" i="1"/>
  <c r="K435" i="1"/>
  <c r="H435" i="1"/>
  <c r="L434" i="1"/>
  <c r="K434" i="1"/>
  <c r="H434" i="1"/>
  <c r="L433" i="1"/>
  <c r="K433" i="1"/>
  <c r="H433" i="1"/>
  <c r="L432" i="1"/>
  <c r="K432" i="1"/>
  <c r="H432" i="1"/>
  <c r="L431" i="1"/>
  <c r="K431" i="1"/>
  <c r="H431" i="1"/>
  <c r="L430" i="1"/>
  <c r="K430" i="1"/>
  <c r="H430" i="1"/>
  <c r="L429" i="1"/>
  <c r="K429" i="1"/>
  <c r="H429" i="1"/>
  <c r="L428" i="1"/>
  <c r="K428" i="1"/>
  <c r="H428" i="1"/>
  <c r="L427" i="1"/>
  <c r="K427" i="1"/>
  <c r="H427" i="1"/>
  <c r="L426" i="1"/>
  <c r="K426" i="1"/>
  <c r="H426" i="1"/>
  <c r="L425" i="1"/>
  <c r="K425" i="1"/>
  <c r="H425" i="1"/>
  <c r="L424" i="1"/>
  <c r="K424" i="1"/>
  <c r="H424" i="1"/>
  <c r="L423" i="1"/>
  <c r="K423" i="1"/>
  <c r="H423" i="1"/>
  <c r="L422" i="1"/>
  <c r="K422" i="1"/>
  <c r="H422" i="1"/>
  <c r="L421" i="1"/>
  <c r="K421" i="1"/>
  <c r="H421" i="1"/>
  <c r="L420" i="1"/>
  <c r="K420" i="1"/>
  <c r="H420" i="1"/>
  <c r="L419" i="1"/>
  <c r="K419" i="1"/>
  <c r="H419" i="1"/>
  <c r="L418" i="1"/>
  <c r="K418" i="1"/>
  <c r="H418" i="1"/>
  <c r="L417" i="1"/>
  <c r="K417" i="1"/>
  <c r="H417" i="1"/>
  <c r="L416" i="1"/>
  <c r="K416" i="1"/>
  <c r="H416" i="1"/>
  <c r="L415" i="1"/>
  <c r="K415" i="1"/>
  <c r="H415" i="1"/>
  <c r="L414" i="1"/>
  <c r="K414" i="1"/>
  <c r="H414" i="1"/>
  <c r="L413" i="1"/>
  <c r="K413" i="1"/>
  <c r="H413" i="1"/>
  <c r="L412" i="1"/>
  <c r="K412" i="1"/>
  <c r="H412" i="1"/>
  <c r="L411" i="1"/>
  <c r="K411" i="1"/>
  <c r="H411" i="1"/>
  <c r="L410" i="1"/>
  <c r="K410" i="1"/>
  <c r="H410" i="1"/>
  <c r="L409" i="1"/>
  <c r="K409" i="1"/>
  <c r="H409" i="1"/>
  <c r="L408" i="1"/>
  <c r="K408" i="1"/>
  <c r="H408" i="1"/>
  <c r="L407" i="1"/>
  <c r="K407" i="1"/>
  <c r="H407" i="1"/>
  <c r="L406" i="1"/>
  <c r="K406" i="1"/>
  <c r="H406" i="1"/>
  <c r="L405" i="1"/>
  <c r="K405" i="1"/>
  <c r="H405" i="1"/>
  <c r="L404" i="1"/>
  <c r="K404" i="1"/>
  <c r="H404" i="1"/>
  <c r="L403" i="1"/>
  <c r="K403" i="1"/>
  <c r="H403" i="1"/>
  <c r="L402" i="1"/>
  <c r="K402" i="1"/>
  <c r="H402" i="1"/>
  <c r="L401" i="1"/>
  <c r="K401" i="1"/>
  <c r="H401" i="1"/>
  <c r="L400" i="1"/>
  <c r="K400" i="1"/>
  <c r="H400" i="1"/>
  <c r="L399" i="1"/>
  <c r="K399" i="1"/>
  <c r="H399" i="1"/>
  <c r="L398" i="1"/>
  <c r="K398" i="1"/>
  <c r="H398" i="1"/>
  <c r="L397" i="1"/>
  <c r="K397" i="1"/>
  <c r="H397" i="1"/>
  <c r="L396" i="1"/>
  <c r="K396" i="1"/>
  <c r="H396" i="1"/>
  <c r="L395" i="1"/>
  <c r="K395" i="1"/>
  <c r="H395" i="1"/>
  <c r="L394" i="1"/>
  <c r="K394" i="1"/>
  <c r="H394" i="1"/>
  <c r="L393" i="1"/>
  <c r="K393" i="1"/>
  <c r="H393" i="1"/>
  <c r="L392" i="1"/>
  <c r="K392" i="1"/>
  <c r="H392" i="1"/>
  <c r="L391" i="1"/>
  <c r="K391" i="1"/>
  <c r="H391" i="1"/>
  <c r="L390" i="1"/>
  <c r="K390" i="1"/>
  <c r="H390" i="1"/>
  <c r="L389" i="1"/>
  <c r="K389" i="1"/>
  <c r="H389" i="1"/>
  <c r="L388" i="1"/>
  <c r="K388" i="1"/>
  <c r="H388" i="1"/>
  <c r="L387" i="1"/>
  <c r="K387" i="1"/>
  <c r="H387" i="1"/>
  <c r="L386" i="1"/>
  <c r="K386" i="1"/>
  <c r="H386" i="1"/>
  <c r="L385" i="1"/>
  <c r="K385" i="1"/>
  <c r="H385" i="1"/>
  <c r="L384" i="1"/>
  <c r="K384" i="1"/>
  <c r="H384" i="1"/>
  <c r="L383" i="1"/>
  <c r="K383" i="1"/>
  <c r="H383" i="1"/>
  <c r="L382" i="1"/>
  <c r="K382" i="1"/>
  <c r="H382" i="1"/>
  <c r="L381" i="1"/>
  <c r="K381" i="1"/>
  <c r="H381" i="1"/>
  <c r="L380" i="1"/>
  <c r="K380" i="1"/>
  <c r="H380" i="1"/>
  <c r="L379" i="1"/>
  <c r="K379" i="1"/>
  <c r="H379" i="1"/>
  <c r="L378" i="1"/>
  <c r="K378" i="1"/>
  <c r="H378" i="1"/>
  <c r="L377" i="1"/>
  <c r="K377" i="1"/>
  <c r="H377" i="1"/>
  <c r="L376" i="1"/>
  <c r="K376" i="1"/>
  <c r="H376" i="1"/>
  <c r="L375" i="1"/>
  <c r="K375" i="1"/>
  <c r="H375" i="1"/>
  <c r="L374" i="1"/>
  <c r="K374" i="1"/>
  <c r="H374" i="1"/>
  <c r="L373" i="1"/>
  <c r="K373" i="1"/>
  <c r="H373" i="1"/>
  <c r="L372" i="1"/>
  <c r="K372" i="1"/>
  <c r="H372" i="1"/>
  <c r="L371" i="1"/>
  <c r="K371" i="1"/>
  <c r="H371" i="1"/>
  <c r="L370" i="1"/>
  <c r="K370" i="1"/>
  <c r="H370" i="1"/>
  <c r="L369" i="1"/>
  <c r="K369" i="1"/>
  <c r="H369" i="1"/>
  <c r="L368" i="1"/>
  <c r="K368" i="1"/>
  <c r="H368" i="1"/>
  <c r="L367" i="1"/>
  <c r="K367" i="1"/>
  <c r="H367" i="1"/>
  <c r="L366" i="1"/>
  <c r="K366" i="1"/>
  <c r="H366" i="1"/>
  <c r="L365" i="1"/>
  <c r="K365" i="1"/>
  <c r="H365" i="1"/>
  <c r="L364" i="1"/>
  <c r="K364" i="1"/>
  <c r="H364" i="1"/>
  <c r="L363" i="1"/>
  <c r="K363" i="1"/>
  <c r="H363" i="1"/>
  <c r="L362" i="1"/>
  <c r="K362" i="1"/>
  <c r="H362" i="1"/>
  <c r="L361" i="1"/>
  <c r="K361" i="1"/>
  <c r="H361" i="1"/>
  <c r="L360" i="1"/>
  <c r="K360" i="1"/>
  <c r="H360" i="1"/>
  <c r="L359" i="1"/>
  <c r="K359" i="1"/>
  <c r="H359" i="1"/>
  <c r="L358" i="1"/>
  <c r="K358" i="1"/>
  <c r="H358" i="1"/>
  <c r="L357" i="1"/>
  <c r="K357" i="1"/>
  <c r="H357" i="1"/>
  <c r="L356" i="1"/>
  <c r="K356" i="1"/>
  <c r="H356" i="1"/>
  <c r="L355" i="1"/>
  <c r="K355" i="1"/>
  <c r="H355" i="1"/>
  <c r="L354" i="1"/>
  <c r="K354" i="1"/>
  <c r="H354" i="1"/>
  <c r="L353" i="1"/>
  <c r="K353" i="1"/>
  <c r="H353" i="1"/>
  <c r="L352" i="1"/>
  <c r="K352" i="1"/>
  <c r="H352" i="1"/>
  <c r="L351" i="1"/>
  <c r="K351" i="1"/>
  <c r="H351" i="1"/>
  <c r="L350" i="1"/>
  <c r="K350" i="1"/>
  <c r="H350" i="1"/>
  <c r="L349" i="1"/>
  <c r="K349" i="1"/>
  <c r="H349" i="1"/>
  <c r="L348" i="1"/>
  <c r="K348" i="1"/>
  <c r="H348" i="1"/>
  <c r="L347" i="1"/>
  <c r="K347" i="1"/>
  <c r="H347" i="1"/>
  <c r="L346" i="1"/>
  <c r="K346" i="1"/>
  <c r="H346" i="1"/>
  <c r="L345" i="1"/>
  <c r="K345" i="1"/>
  <c r="H345" i="1"/>
  <c r="L344" i="1"/>
  <c r="K344" i="1"/>
  <c r="H344" i="1"/>
  <c r="L343" i="1"/>
  <c r="K343" i="1"/>
  <c r="H343" i="1"/>
  <c r="L342" i="1"/>
  <c r="K342" i="1"/>
  <c r="H342" i="1"/>
  <c r="L341" i="1"/>
  <c r="K341" i="1"/>
  <c r="H341" i="1"/>
  <c r="L340" i="1"/>
  <c r="K340" i="1"/>
  <c r="H340" i="1"/>
  <c r="L339" i="1"/>
  <c r="K339" i="1"/>
  <c r="H339" i="1"/>
  <c r="L338" i="1"/>
  <c r="K338" i="1"/>
  <c r="H338" i="1"/>
  <c r="L337" i="1"/>
  <c r="K337" i="1"/>
  <c r="H337" i="1"/>
  <c r="L336" i="1"/>
  <c r="K336" i="1"/>
  <c r="H336" i="1"/>
  <c r="L335" i="1"/>
  <c r="K335" i="1"/>
  <c r="H335" i="1"/>
  <c r="L334" i="1"/>
  <c r="K334" i="1"/>
  <c r="H334" i="1"/>
  <c r="L333" i="1"/>
  <c r="K333" i="1"/>
  <c r="H333" i="1"/>
  <c r="L332" i="1"/>
  <c r="K332" i="1"/>
  <c r="H332" i="1"/>
  <c r="L331" i="1"/>
  <c r="K331" i="1"/>
  <c r="H331" i="1"/>
  <c r="L330" i="1"/>
  <c r="K330" i="1"/>
  <c r="H330" i="1"/>
  <c r="L329" i="1"/>
  <c r="K329" i="1"/>
  <c r="H329" i="1"/>
  <c r="L328" i="1"/>
  <c r="K328" i="1"/>
  <c r="H328" i="1"/>
  <c r="L327" i="1"/>
  <c r="K327" i="1"/>
  <c r="H327" i="1"/>
  <c r="L326" i="1"/>
  <c r="K326" i="1"/>
  <c r="H326" i="1"/>
  <c r="L325" i="1"/>
  <c r="K325" i="1"/>
  <c r="H325" i="1"/>
  <c r="L324" i="1"/>
  <c r="K324" i="1"/>
  <c r="H324" i="1"/>
  <c r="L323" i="1"/>
  <c r="K323" i="1"/>
  <c r="H323" i="1"/>
  <c r="L322" i="1"/>
  <c r="K322" i="1"/>
  <c r="H322" i="1"/>
  <c r="L321" i="1"/>
  <c r="K321" i="1"/>
  <c r="H321" i="1"/>
  <c r="L320" i="1"/>
  <c r="K320" i="1"/>
  <c r="H320" i="1"/>
  <c r="L319" i="1"/>
  <c r="K319" i="1"/>
  <c r="H319" i="1"/>
  <c r="L318" i="1"/>
  <c r="K318" i="1"/>
  <c r="H318" i="1"/>
  <c r="L317" i="1"/>
  <c r="K317" i="1"/>
  <c r="H317" i="1"/>
  <c r="L316" i="1"/>
  <c r="K316" i="1"/>
  <c r="H316" i="1"/>
  <c r="L315" i="1"/>
  <c r="K315" i="1"/>
  <c r="H315" i="1"/>
  <c r="L314" i="1"/>
  <c r="K314" i="1"/>
  <c r="H314" i="1"/>
  <c r="L313" i="1"/>
  <c r="K313" i="1"/>
  <c r="H313" i="1"/>
  <c r="L312" i="1"/>
  <c r="K312" i="1"/>
  <c r="H312" i="1"/>
  <c r="L311" i="1"/>
  <c r="K311" i="1"/>
  <c r="H311" i="1"/>
  <c r="L310" i="1"/>
  <c r="K310" i="1"/>
  <c r="H310" i="1"/>
  <c r="L309" i="1"/>
  <c r="K309" i="1"/>
  <c r="H309" i="1"/>
  <c r="L308" i="1"/>
  <c r="K308" i="1"/>
  <c r="H308" i="1"/>
  <c r="L307" i="1"/>
  <c r="K307" i="1"/>
  <c r="H307" i="1"/>
  <c r="L306" i="1"/>
  <c r="K306" i="1"/>
  <c r="H306" i="1"/>
  <c r="L305" i="1"/>
  <c r="K305" i="1"/>
  <c r="H305" i="1"/>
  <c r="L304" i="1"/>
  <c r="K304" i="1"/>
  <c r="H304" i="1"/>
  <c r="L303" i="1"/>
  <c r="K303" i="1"/>
  <c r="H303" i="1"/>
  <c r="L302" i="1"/>
  <c r="K302" i="1"/>
  <c r="H302" i="1"/>
  <c r="L301" i="1"/>
  <c r="K301" i="1"/>
  <c r="H301" i="1"/>
  <c r="L300" i="1"/>
  <c r="K300" i="1"/>
  <c r="H300" i="1"/>
  <c r="L299" i="1"/>
  <c r="K299" i="1"/>
  <c r="H299" i="1"/>
  <c r="L298" i="1"/>
  <c r="K298" i="1"/>
  <c r="H298" i="1"/>
  <c r="L297" i="1"/>
  <c r="K297" i="1"/>
  <c r="H297" i="1"/>
  <c r="L296" i="1"/>
  <c r="K296" i="1"/>
  <c r="H296" i="1"/>
  <c r="L295" i="1"/>
  <c r="K295" i="1"/>
  <c r="H295" i="1"/>
  <c r="L294" i="1"/>
  <c r="K294" i="1"/>
  <c r="H294" i="1"/>
  <c r="L293" i="1"/>
  <c r="K293" i="1"/>
  <c r="H293" i="1"/>
  <c r="L292" i="1"/>
  <c r="K292" i="1"/>
  <c r="H292" i="1"/>
  <c r="L291" i="1"/>
  <c r="K291" i="1"/>
  <c r="H291" i="1"/>
  <c r="L290" i="1"/>
  <c r="K290" i="1"/>
  <c r="H290" i="1"/>
  <c r="L289" i="1"/>
  <c r="K289" i="1"/>
  <c r="H289" i="1"/>
  <c r="L288" i="1"/>
  <c r="K288" i="1"/>
  <c r="H288" i="1"/>
  <c r="L287" i="1"/>
  <c r="K287" i="1"/>
  <c r="H287" i="1"/>
  <c r="L286" i="1"/>
  <c r="K286" i="1"/>
  <c r="H286" i="1"/>
  <c r="L285" i="1"/>
  <c r="K285" i="1"/>
  <c r="H285" i="1"/>
  <c r="L284" i="1"/>
  <c r="K284" i="1"/>
  <c r="H284" i="1"/>
  <c r="L283" i="1"/>
  <c r="K283" i="1"/>
  <c r="H283" i="1"/>
  <c r="L282" i="1"/>
  <c r="K282" i="1"/>
  <c r="H282" i="1"/>
  <c r="L281" i="1"/>
  <c r="K281" i="1"/>
  <c r="H281" i="1"/>
  <c r="L280" i="1"/>
  <c r="K280" i="1"/>
  <c r="H280" i="1"/>
  <c r="L279" i="1"/>
  <c r="K279" i="1"/>
  <c r="H279" i="1"/>
  <c r="L278" i="1"/>
  <c r="K278" i="1"/>
  <c r="H278" i="1"/>
  <c r="L277" i="1"/>
  <c r="K277" i="1"/>
  <c r="H277" i="1"/>
  <c r="L276" i="1"/>
  <c r="K276" i="1"/>
  <c r="H276" i="1"/>
  <c r="L275" i="1"/>
  <c r="K275" i="1"/>
  <c r="H275" i="1"/>
  <c r="L274" i="1"/>
  <c r="K274" i="1"/>
  <c r="H274" i="1"/>
  <c r="L273" i="1"/>
  <c r="K273" i="1"/>
  <c r="H273" i="1"/>
  <c r="L272" i="1"/>
  <c r="K272" i="1"/>
  <c r="H272" i="1"/>
  <c r="L271" i="1"/>
  <c r="K271" i="1"/>
  <c r="H271" i="1"/>
  <c r="L270" i="1"/>
  <c r="K270" i="1"/>
  <c r="H270" i="1"/>
  <c r="L269" i="1"/>
  <c r="K269" i="1"/>
  <c r="H269" i="1"/>
  <c r="L268" i="1"/>
  <c r="K268" i="1"/>
  <c r="H268" i="1"/>
  <c r="L267" i="1"/>
  <c r="K267" i="1"/>
  <c r="H267" i="1"/>
  <c r="L266" i="1"/>
  <c r="K266" i="1"/>
  <c r="H266" i="1"/>
  <c r="L265" i="1"/>
  <c r="K265" i="1"/>
  <c r="H265" i="1"/>
  <c r="L264" i="1"/>
  <c r="K264" i="1"/>
  <c r="H264" i="1"/>
  <c r="L263" i="1"/>
  <c r="K263" i="1"/>
  <c r="H263" i="1"/>
  <c r="L262" i="1"/>
  <c r="K262" i="1"/>
  <c r="H262" i="1"/>
  <c r="L261" i="1"/>
  <c r="K261" i="1"/>
  <c r="H261" i="1"/>
  <c r="L260" i="1"/>
  <c r="K260" i="1"/>
  <c r="H260" i="1"/>
  <c r="L259" i="1"/>
  <c r="K259" i="1"/>
  <c r="H259" i="1"/>
  <c r="L258" i="1"/>
  <c r="K258" i="1"/>
  <c r="H258" i="1"/>
  <c r="L257" i="1"/>
  <c r="K257" i="1"/>
  <c r="H257" i="1"/>
  <c r="L256" i="1"/>
  <c r="K256" i="1"/>
  <c r="H256" i="1"/>
  <c r="L255" i="1"/>
  <c r="K255" i="1"/>
  <c r="H255" i="1"/>
  <c r="L254" i="1"/>
  <c r="K254" i="1"/>
  <c r="H254" i="1"/>
  <c r="L253" i="1"/>
  <c r="K253" i="1"/>
  <c r="H253" i="1"/>
  <c r="L252" i="1"/>
  <c r="K252" i="1"/>
  <c r="H252" i="1"/>
  <c r="L251" i="1"/>
  <c r="K251" i="1"/>
  <c r="H251" i="1"/>
  <c r="L250" i="1"/>
  <c r="K250" i="1"/>
  <c r="H250" i="1"/>
  <c r="L249" i="1"/>
  <c r="K249" i="1"/>
  <c r="H249" i="1"/>
  <c r="L248" i="1"/>
  <c r="K248" i="1"/>
  <c r="H248" i="1"/>
  <c r="L247" i="1"/>
  <c r="K247" i="1"/>
  <c r="H247" i="1"/>
  <c r="L246" i="1"/>
  <c r="K246" i="1"/>
  <c r="H246" i="1"/>
  <c r="L245" i="1"/>
  <c r="K245" i="1"/>
  <c r="H245" i="1"/>
  <c r="L244" i="1"/>
  <c r="K244" i="1"/>
  <c r="H244" i="1"/>
  <c r="L243" i="1"/>
  <c r="K243" i="1"/>
  <c r="H243" i="1"/>
  <c r="L242" i="1"/>
  <c r="K242" i="1"/>
  <c r="H242" i="1"/>
  <c r="L241" i="1"/>
  <c r="K241" i="1"/>
  <c r="H241" i="1"/>
  <c r="L240" i="1"/>
  <c r="K240" i="1"/>
  <c r="H240" i="1"/>
  <c r="L239" i="1"/>
  <c r="K239" i="1"/>
  <c r="H239" i="1"/>
  <c r="L238" i="1"/>
  <c r="K238" i="1"/>
  <c r="H238" i="1"/>
  <c r="L237" i="1"/>
  <c r="K237" i="1"/>
  <c r="H237" i="1"/>
  <c r="L236" i="1"/>
  <c r="K236" i="1"/>
  <c r="H236" i="1"/>
  <c r="L235" i="1"/>
  <c r="K235" i="1"/>
  <c r="H235" i="1"/>
  <c r="L234" i="1"/>
  <c r="K234" i="1"/>
  <c r="H234" i="1"/>
  <c r="L233" i="1"/>
  <c r="K233" i="1"/>
  <c r="H233" i="1"/>
  <c r="L232" i="1"/>
  <c r="K232" i="1"/>
  <c r="H232" i="1"/>
  <c r="L231" i="1"/>
  <c r="K231" i="1"/>
  <c r="H231" i="1"/>
  <c r="L230" i="1"/>
  <c r="K230" i="1"/>
  <c r="H230" i="1"/>
  <c r="L229" i="1"/>
  <c r="K229" i="1"/>
  <c r="H229" i="1"/>
  <c r="L228" i="1"/>
  <c r="K228" i="1"/>
  <c r="H228" i="1"/>
  <c r="L227" i="1"/>
  <c r="K227" i="1"/>
  <c r="H227" i="1"/>
  <c r="L226" i="1"/>
  <c r="K226" i="1"/>
  <c r="H226" i="1"/>
  <c r="L225" i="1"/>
  <c r="K225" i="1"/>
  <c r="H225" i="1"/>
  <c r="L224" i="1"/>
  <c r="K224" i="1"/>
  <c r="H224" i="1"/>
  <c r="L223" i="1"/>
  <c r="K223" i="1"/>
  <c r="H223" i="1"/>
  <c r="L222" i="1"/>
  <c r="K222" i="1"/>
  <c r="H222" i="1"/>
  <c r="L221" i="1"/>
  <c r="K221" i="1"/>
  <c r="H221" i="1"/>
  <c r="L220" i="1"/>
  <c r="K220" i="1"/>
  <c r="H220" i="1"/>
  <c r="L219" i="1"/>
  <c r="K219" i="1"/>
  <c r="H219" i="1"/>
  <c r="L218" i="1"/>
  <c r="K218" i="1"/>
  <c r="H218" i="1"/>
  <c r="L217" i="1"/>
  <c r="K217" i="1"/>
  <c r="H217" i="1"/>
  <c r="L216" i="1"/>
  <c r="K216" i="1"/>
  <c r="H216" i="1"/>
  <c r="L215" i="1"/>
  <c r="K215" i="1"/>
  <c r="H215" i="1"/>
  <c r="L214" i="1"/>
  <c r="K214" i="1"/>
  <c r="H214" i="1"/>
  <c r="L213" i="1"/>
  <c r="K213" i="1"/>
  <c r="H213" i="1"/>
  <c r="L212" i="1"/>
  <c r="K212" i="1"/>
  <c r="H212" i="1"/>
  <c r="L211" i="1"/>
  <c r="K211" i="1"/>
  <c r="H211" i="1"/>
  <c r="L210" i="1"/>
  <c r="K210" i="1"/>
  <c r="H210" i="1"/>
  <c r="L209" i="1"/>
  <c r="K209" i="1"/>
  <c r="H209" i="1"/>
  <c r="L208" i="1"/>
  <c r="K208" i="1"/>
  <c r="H208" i="1"/>
  <c r="L207" i="1"/>
  <c r="K207" i="1"/>
  <c r="H207" i="1"/>
  <c r="L206" i="1"/>
  <c r="K206" i="1"/>
  <c r="H206" i="1"/>
  <c r="L205" i="1"/>
  <c r="K205" i="1"/>
  <c r="H205" i="1"/>
  <c r="L204" i="1"/>
  <c r="K204" i="1"/>
  <c r="H204" i="1"/>
  <c r="L203" i="1"/>
  <c r="K203" i="1"/>
  <c r="H203" i="1"/>
  <c r="L202" i="1"/>
  <c r="K202" i="1"/>
  <c r="H202" i="1"/>
  <c r="L201" i="1"/>
  <c r="K201" i="1"/>
  <c r="H201" i="1"/>
  <c r="L200" i="1"/>
  <c r="K200" i="1"/>
  <c r="H200" i="1"/>
  <c r="L199" i="1"/>
  <c r="K199" i="1"/>
  <c r="H199" i="1"/>
  <c r="L198" i="1"/>
  <c r="K198" i="1"/>
  <c r="H198" i="1"/>
  <c r="L197" i="1"/>
  <c r="K197" i="1"/>
  <c r="H197" i="1"/>
  <c r="L196" i="1"/>
  <c r="K196" i="1"/>
  <c r="H196" i="1"/>
  <c r="L195" i="1"/>
  <c r="K195" i="1"/>
  <c r="H195" i="1"/>
  <c r="L194" i="1"/>
  <c r="K194" i="1"/>
  <c r="H194" i="1"/>
  <c r="L193" i="1"/>
  <c r="K193" i="1"/>
  <c r="H193" i="1"/>
  <c r="L192" i="1"/>
  <c r="K192" i="1"/>
  <c r="H192" i="1"/>
  <c r="L191" i="1"/>
  <c r="K191" i="1"/>
  <c r="H191" i="1"/>
  <c r="L190" i="1"/>
  <c r="K190" i="1"/>
  <c r="H190" i="1"/>
  <c r="L189" i="1"/>
  <c r="K189" i="1"/>
  <c r="H189" i="1"/>
  <c r="L188" i="1"/>
  <c r="K188" i="1"/>
  <c r="H188" i="1"/>
  <c r="L182" i="1"/>
  <c r="K182" i="1"/>
  <c r="H182" i="1"/>
  <c r="L181" i="1"/>
  <c r="K181" i="1"/>
  <c r="H181" i="1"/>
  <c r="L180" i="1"/>
  <c r="K180" i="1"/>
  <c r="H180" i="1"/>
  <c r="L179" i="1"/>
  <c r="K179" i="1"/>
  <c r="H179" i="1"/>
  <c r="L178" i="1"/>
  <c r="K178" i="1"/>
  <c r="H178" i="1"/>
  <c r="L177" i="1"/>
  <c r="K177" i="1"/>
  <c r="H177" i="1"/>
  <c r="L171" i="1"/>
  <c r="K171" i="1"/>
  <c r="H171" i="1"/>
  <c r="L170" i="1"/>
  <c r="K170" i="1"/>
  <c r="H170" i="1"/>
  <c r="L169" i="1"/>
  <c r="K169" i="1"/>
  <c r="H169" i="1"/>
  <c r="L168" i="1"/>
  <c r="K168" i="1"/>
  <c r="H168" i="1"/>
  <c r="L162" i="1"/>
  <c r="K162" i="1"/>
  <c r="H162" i="1"/>
  <c r="L161" i="1"/>
  <c r="K161" i="1"/>
  <c r="H161" i="1"/>
  <c r="L160" i="1"/>
  <c r="K160" i="1"/>
  <c r="H160" i="1"/>
  <c r="L159" i="1"/>
  <c r="K159" i="1"/>
  <c r="H159" i="1"/>
  <c r="L158" i="1"/>
  <c r="K158" i="1"/>
  <c r="H158" i="1"/>
  <c r="L157" i="1"/>
  <c r="K157" i="1"/>
  <c r="H157" i="1"/>
  <c r="L156" i="1"/>
  <c r="K156" i="1"/>
  <c r="H156" i="1"/>
  <c r="L155" i="1"/>
  <c r="K155" i="1"/>
  <c r="H155" i="1"/>
  <c r="L154" i="1"/>
  <c r="K154" i="1"/>
  <c r="H154" i="1"/>
  <c r="L153" i="1"/>
  <c r="K153" i="1"/>
  <c r="H153" i="1"/>
  <c r="L152" i="1"/>
  <c r="K152" i="1"/>
  <c r="H152" i="1"/>
  <c r="L146" i="1"/>
  <c r="K146" i="1"/>
  <c r="H146" i="1"/>
  <c r="L145" i="1"/>
  <c r="K145" i="1"/>
  <c r="H145" i="1"/>
  <c r="L144" i="1"/>
  <c r="K144" i="1"/>
  <c r="H144" i="1"/>
  <c r="L143" i="1"/>
  <c r="K143" i="1"/>
  <c r="H143" i="1"/>
  <c r="L142" i="1"/>
  <c r="K142" i="1"/>
  <c r="H142" i="1"/>
  <c r="L141" i="1"/>
  <c r="K141" i="1"/>
  <c r="H141" i="1"/>
  <c r="L140" i="1"/>
  <c r="K140" i="1"/>
  <c r="H140" i="1"/>
  <c r="L139" i="1"/>
  <c r="K139" i="1"/>
  <c r="H139" i="1"/>
  <c r="L138" i="1"/>
  <c r="K138" i="1"/>
  <c r="H138" i="1"/>
  <c r="L137" i="1"/>
  <c r="K137" i="1"/>
  <c r="H137" i="1"/>
  <c r="L136" i="1"/>
  <c r="K136" i="1"/>
  <c r="H136" i="1"/>
  <c r="L135" i="1"/>
  <c r="K135" i="1"/>
  <c r="H135" i="1"/>
  <c r="L129" i="1"/>
  <c r="K129" i="1"/>
  <c r="H129" i="1"/>
  <c r="L128" i="1"/>
  <c r="K128" i="1"/>
  <c r="H128" i="1"/>
  <c r="L127" i="1"/>
  <c r="K127" i="1"/>
  <c r="H127" i="1"/>
  <c r="L126" i="1"/>
  <c r="K126" i="1"/>
  <c r="H126" i="1"/>
  <c r="L125" i="1"/>
  <c r="K125" i="1"/>
  <c r="H125" i="1"/>
  <c r="L124" i="1"/>
  <c r="K124" i="1"/>
  <c r="H124" i="1"/>
  <c r="L123" i="1"/>
  <c r="K123" i="1"/>
  <c r="H123" i="1"/>
  <c r="L122" i="1"/>
  <c r="K122" i="1"/>
  <c r="H122" i="1"/>
  <c r="L121" i="1"/>
  <c r="K121" i="1"/>
  <c r="H121" i="1"/>
  <c r="L120" i="1"/>
  <c r="K120" i="1"/>
  <c r="H120" i="1"/>
  <c r="L119" i="1"/>
  <c r="K119" i="1"/>
  <c r="H119" i="1"/>
  <c r="L118" i="1"/>
  <c r="K118" i="1"/>
  <c r="H118" i="1"/>
  <c r="L117" i="1"/>
  <c r="K117" i="1"/>
  <c r="H117" i="1"/>
  <c r="L116" i="1"/>
  <c r="K116" i="1"/>
  <c r="H116" i="1"/>
  <c r="L115" i="1"/>
  <c r="K115" i="1"/>
  <c r="H115" i="1"/>
  <c r="L114" i="1"/>
  <c r="K114" i="1"/>
  <c r="H114" i="1"/>
  <c r="L113" i="1"/>
  <c r="K113" i="1"/>
  <c r="H113" i="1"/>
  <c r="L112" i="1"/>
  <c r="K112" i="1"/>
  <c r="H112" i="1"/>
  <c r="L111" i="1"/>
  <c r="K111" i="1"/>
  <c r="H111" i="1"/>
  <c r="L110" i="1"/>
  <c r="K110" i="1"/>
  <c r="H110" i="1"/>
  <c r="L109" i="1"/>
  <c r="K109" i="1"/>
  <c r="H109" i="1"/>
  <c r="L108" i="1"/>
  <c r="K108" i="1"/>
  <c r="H108" i="1"/>
  <c r="L107" i="1"/>
  <c r="K107" i="1"/>
  <c r="H107" i="1"/>
  <c r="L101" i="1"/>
  <c r="K101" i="1"/>
  <c r="H101" i="1"/>
  <c r="L100" i="1"/>
  <c r="K100" i="1"/>
  <c r="H100" i="1"/>
  <c r="L99" i="1"/>
  <c r="K99" i="1"/>
  <c r="H99" i="1"/>
  <c r="L98" i="1"/>
  <c r="K98" i="1"/>
  <c r="H98" i="1"/>
  <c r="L97" i="1"/>
  <c r="K97" i="1"/>
  <c r="H97" i="1"/>
  <c r="L96" i="1"/>
  <c r="K96" i="1"/>
  <c r="H96" i="1"/>
  <c r="L90" i="1"/>
  <c r="K90" i="1"/>
  <c r="H90" i="1"/>
  <c r="L89" i="1"/>
  <c r="K89" i="1"/>
  <c r="H89" i="1"/>
  <c r="L88" i="1"/>
  <c r="K88" i="1"/>
  <c r="H88" i="1"/>
  <c r="L87" i="1"/>
  <c r="K87" i="1"/>
  <c r="H87" i="1"/>
  <c r="L86" i="1"/>
  <c r="K86" i="1"/>
  <c r="H86" i="1"/>
  <c r="L85" i="1"/>
  <c r="K85" i="1"/>
  <c r="H85" i="1"/>
  <c r="L84" i="1"/>
  <c r="K84" i="1"/>
  <c r="H84" i="1"/>
  <c r="L83" i="1"/>
  <c r="K83" i="1"/>
  <c r="H83" i="1"/>
  <c r="L82" i="1"/>
  <c r="K82" i="1"/>
  <c r="H82" i="1"/>
  <c r="L81" i="1"/>
  <c r="K81" i="1"/>
  <c r="H81" i="1"/>
  <c r="L80" i="1"/>
  <c r="K80" i="1"/>
  <c r="H80" i="1"/>
  <c r="L79" i="1"/>
  <c r="K79" i="1"/>
  <c r="H79" i="1"/>
  <c r="L78" i="1"/>
  <c r="K78" i="1"/>
  <c r="H78" i="1"/>
  <c r="L77" i="1"/>
  <c r="K77" i="1"/>
  <c r="H77" i="1"/>
  <c r="M69" i="1"/>
  <c r="L69" i="1"/>
  <c r="I69" i="1"/>
  <c r="M68" i="1"/>
  <c r="L68" i="1"/>
  <c r="I68" i="1"/>
  <c r="M67" i="1"/>
  <c r="L67" i="1"/>
  <c r="I67" i="1"/>
  <c r="M66" i="1"/>
  <c r="L66" i="1"/>
  <c r="I66" i="1"/>
  <c r="M65" i="1"/>
  <c r="L65" i="1"/>
  <c r="I65" i="1"/>
  <c r="M64" i="1"/>
  <c r="L64" i="1"/>
  <c r="I64" i="1"/>
  <c r="M63" i="1"/>
  <c r="L63" i="1"/>
  <c r="I63" i="1"/>
  <c r="M62" i="1"/>
  <c r="L62" i="1"/>
  <c r="I62" i="1"/>
  <c r="M61" i="1"/>
  <c r="L61" i="1"/>
  <c r="I61" i="1"/>
  <c r="M60" i="1"/>
  <c r="L60" i="1"/>
  <c r="I60" i="1"/>
  <c r="M59" i="1"/>
  <c r="L59" i="1"/>
  <c r="I59" i="1"/>
  <c r="M58" i="1"/>
  <c r="L58" i="1"/>
  <c r="I58" i="1"/>
  <c r="M57" i="1"/>
  <c r="L57" i="1"/>
  <c r="I57" i="1"/>
  <c r="M56" i="1"/>
  <c r="L56" i="1"/>
  <c r="I56" i="1"/>
  <c r="M55" i="1"/>
  <c r="L55" i="1"/>
  <c r="I55" i="1"/>
  <c r="M54" i="1"/>
  <c r="L54" i="1"/>
  <c r="I54" i="1"/>
  <c r="M53" i="1"/>
  <c r="L53" i="1"/>
  <c r="I53" i="1"/>
  <c r="M52" i="1"/>
  <c r="L52" i="1"/>
  <c r="I52" i="1"/>
  <c r="M51" i="1"/>
  <c r="L51" i="1"/>
  <c r="I51" i="1"/>
  <c r="M50" i="1"/>
  <c r="L50" i="1"/>
  <c r="I50" i="1"/>
  <c r="M49" i="1"/>
  <c r="L49" i="1"/>
  <c r="I49" i="1"/>
  <c r="M48" i="1"/>
  <c r="L48" i="1"/>
  <c r="I48" i="1"/>
  <c r="M47" i="1"/>
  <c r="L47" i="1"/>
  <c r="I47" i="1"/>
  <c r="M46" i="1"/>
  <c r="L46" i="1"/>
  <c r="I46" i="1"/>
  <c r="M45" i="1"/>
  <c r="L45" i="1"/>
  <c r="I45" i="1"/>
  <c r="M44" i="1"/>
  <c r="L44" i="1"/>
  <c r="I44" i="1"/>
  <c r="M43" i="1"/>
  <c r="L43" i="1"/>
  <c r="I43" i="1"/>
  <c r="M42" i="1"/>
  <c r="L42" i="1"/>
  <c r="I42" i="1"/>
  <c r="M41" i="1"/>
  <c r="L41" i="1"/>
  <c r="I41" i="1"/>
  <c r="M40" i="1"/>
  <c r="L40" i="1"/>
  <c r="I40" i="1"/>
  <c r="M39" i="1"/>
  <c r="L39" i="1"/>
  <c r="I39" i="1"/>
  <c r="M38" i="1"/>
  <c r="L38" i="1"/>
  <c r="I38" i="1"/>
  <c r="M37" i="1"/>
  <c r="L37" i="1"/>
  <c r="I37" i="1"/>
  <c r="M36" i="1"/>
  <c r="L36" i="1"/>
  <c r="I36" i="1"/>
  <c r="M35" i="1"/>
  <c r="L35" i="1"/>
  <c r="I35" i="1"/>
  <c r="M34" i="1"/>
  <c r="L34" i="1"/>
  <c r="I34" i="1"/>
  <c r="M33" i="1"/>
  <c r="L33" i="1"/>
  <c r="I33" i="1"/>
  <c r="M32" i="1"/>
  <c r="L32" i="1"/>
  <c r="I32" i="1"/>
  <c r="M31" i="1"/>
  <c r="L31" i="1"/>
  <c r="I31" i="1"/>
  <c r="M30" i="1"/>
  <c r="L30" i="1"/>
  <c r="I30" i="1"/>
  <c r="M29" i="1"/>
  <c r="L29" i="1"/>
  <c r="I29" i="1"/>
  <c r="M28" i="1"/>
  <c r="L28" i="1"/>
  <c r="I28" i="1"/>
  <c r="M27" i="1"/>
  <c r="L27" i="1"/>
  <c r="I27" i="1"/>
  <c r="M26" i="1"/>
  <c r="L26" i="1"/>
  <c r="I26" i="1"/>
  <c r="M25" i="1"/>
  <c r="L25" i="1"/>
  <c r="I25" i="1"/>
  <c r="M24" i="1"/>
  <c r="L24" i="1"/>
  <c r="I24" i="1"/>
  <c r="M23" i="1"/>
  <c r="L23" i="1"/>
  <c r="I23" i="1"/>
  <c r="M22" i="1"/>
  <c r="L22" i="1"/>
  <c r="I22" i="1"/>
  <c r="M21" i="1"/>
  <c r="L21" i="1"/>
  <c r="I21" i="1"/>
  <c r="M20" i="1"/>
  <c r="L20" i="1"/>
  <c r="I20" i="1"/>
  <c r="M19" i="1"/>
  <c r="L19" i="1"/>
  <c r="I19" i="1"/>
  <c r="M18" i="1"/>
  <c r="L18" i="1"/>
  <c r="I18" i="1"/>
  <c r="M17" i="1"/>
  <c r="L17" i="1"/>
  <c r="I17" i="1"/>
  <c r="M16" i="1"/>
  <c r="L16" i="1"/>
  <c r="I16" i="1"/>
  <c r="M15" i="1"/>
  <c r="L15" i="1"/>
  <c r="I15" i="1"/>
  <c r="M14" i="1"/>
  <c r="L14" i="1"/>
  <c r="I14" i="1"/>
  <c r="M13" i="1"/>
  <c r="L13" i="1"/>
  <c r="I13" i="1"/>
  <c r="M12" i="1"/>
  <c r="L12" i="1"/>
  <c r="I12" i="1"/>
  <c r="M11" i="1"/>
  <c r="L11" i="1"/>
  <c r="I11" i="1"/>
  <c r="M10" i="1"/>
  <c r="L10" i="1"/>
  <c r="I10" i="1"/>
  <c r="M9" i="1"/>
  <c r="L9" i="1"/>
  <c r="I9" i="1"/>
  <c r="M8" i="1"/>
  <c r="L8" i="1"/>
  <c r="I8" i="1"/>
</calcChain>
</file>

<file path=xl/sharedStrings.xml><?xml version="1.0" encoding="utf-8"?>
<sst xmlns="http://schemas.openxmlformats.org/spreadsheetml/2006/main" count="5511" uniqueCount="528">
  <si>
    <t>Informe de trayectos</t>
  </si>
  <si>
    <t>Periodo: 26 de febrero de 2025 0:00 - 26 de febrero de 2025 23:59</t>
  </si>
  <si>
    <t>Informe generado</t>
  </si>
  <si>
    <t>a: 22 de septiembre de 2025 14:44</t>
  </si>
  <si>
    <t>Resumen del informe</t>
  </si>
  <si>
    <t>Nombre de objeto</t>
  </si>
  <si>
    <t>Hora de inicio de trabajo</t>
  </si>
  <si>
    <t>Ubicación de inicio de trabajo</t>
  </si>
  <si>
    <t>Hora de fin de trabajo</t>
  </si>
  <si>
    <t>Ubicación de fin de trabajo</t>
  </si>
  <si>
    <t>Kilometraje recorrido</t>
  </si>
  <si>
    <t>Kilometraje al inicio</t>
  </si>
  <si>
    <t>Kilometraje al final</t>
  </si>
  <si>
    <t>Duración de inactividad</t>
  </si>
  <si>
    <t>Velocidad máxima</t>
  </si>
  <si>
    <t>Velocidad media</t>
  </si>
  <si>
    <t>Duración del trabajo</t>
  </si>
  <si>
    <t>Duración de parada</t>
  </si>
  <si>
    <t>Ate, Lima Metropolitana, Lima, 15498, Perú</t>
  </si>
  <si>
    <t>117 km/h</t>
  </si>
  <si>
    <t>18 km/h</t>
  </si>
  <si>
    <t>Avenida Lima Norte, Chosica, Lima Metropolitana, Lima, 15468, Perú, (Ruta4507nueva era 23-10-23)</t>
  </si>
  <si>
    <t>0 km/h</t>
  </si>
  <si>
    <t>Los Huancas, Ate, Lima Metropolitana, Lima, 15483, Perú</t>
  </si>
  <si>
    <t>76 km/h</t>
  </si>
  <si>
    <t>19 km/h</t>
  </si>
  <si>
    <t>Ate, Lima Metropolitana, Lima, 15483, Perú</t>
  </si>
  <si>
    <t>71 km/h</t>
  </si>
  <si>
    <t>16 km/h</t>
  </si>
  <si>
    <t>Calle Manantiales de Vida, Ate, Lima Metropolitana, Lima, 15487, Perú</t>
  </si>
  <si>
    <t>82 km/h</t>
  </si>
  <si>
    <t>11 km/h</t>
  </si>
  <si>
    <t>2 km/h</t>
  </si>
  <si>
    <t>77 km/h</t>
  </si>
  <si>
    <t>Calle 3, Ate, Lima Metropolitana, Lima, 15487, Perú</t>
  </si>
  <si>
    <t>Avenida José de la Riva Aguero, Lima, Lima Metropolitana, Lima, 15004, Perú</t>
  </si>
  <si>
    <t>88 km/h</t>
  </si>
  <si>
    <t>24 km/h</t>
  </si>
  <si>
    <t>Calle los Alamos, Chosica, Lima Metropolitana, Lima, 15468, Perú</t>
  </si>
  <si>
    <t>Avenida Las Retamas, Ricardo Palma, Huarochirí, Lima, 15468, Perú</t>
  </si>
  <si>
    <t>89 km/h</t>
  </si>
  <si>
    <t>Calle Las Gardenias, Ricardo Palma, Huarochirí, Lima, 15468, Perú</t>
  </si>
  <si>
    <t>13 km/h</t>
  </si>
  <si>
    <t>Capitan Gamarra, Ricardo Palma, Huarochirí, Lima, 15468, Perú, (Ruta4507nueva era 23-10-23)</t>
  </si>
  <si>
    <t>Calle A, Chosica, Lima Metropolitana, Lima, 15468, Perú</t>
  </si>
  <si>
    <t>92 km/h</t>
  </si>
  <si>
    <t>15 km/h</t>
  </si>
  <si>
    <t>Avenida José Carlos Mariátegui, Ricardo Palma, Huarochirí, Lima, 15468, Perú</t>
  </si>
  <si>
    <t>91 km/h</t>
  </si>
  <si>
    <t>Calle Junín, Lurigancho, Lima Metropolitana, Lima, 15487, Perú</t>
  </si>
  <si>
    <t>Carretera Central, 200, Chaclacayo, Lima Metropolitana, Lima, 15476, Perú</t>
  </si>
  <si>
    <t>80 km/h</t>
  </si>
  <si>
    <t>14 km/h</t>
  </si>
  <si>
    <t>Calle Nueva Los Alamos, Santa Eulalia, Huarochirí, Lima, 15468, Perú</t>
  </si>
  <si>
    <t>87 km/h</t>
  </si>
  <si>
    <t>Calle Cerro de Pasco, Ate, Lima Metropolitana, Lima, 15498, Perú</t>
  </si>
  <si>
    <t>75 km/h</t>
  </si>
  <si>
    <t>78 km/h</t>
  </si>
  <si>
    <t>Avenida Bernard de Balaguer, Lurigancho, Lima Metropolitana, Lima, 15464, Perú</t>
  </si>
  <si>
    <t>Carretera Central, Chaclacayo, Lima Metropolitana, Lima, 15476, Perú</t>
  </si>
  <si>
    <t>74 km/h</t>
  </si>
  <si>
    <t>17 km/h</t>
  </si>
  <si>
    <t>Calle 1, Ate, Lima Metropolitana, Lima, 15483, Perú</t>
  </si>
  <si>
    <t>90 km/h</t>
  </si>
  <si>
    <t>20 km/h</t>
  </si>
  <si>
    <t>Carretera Central, Ate, Lima Metropolitana, Lima, 15474, Perú, (Ruta4507nueva era 23-10-23)</t>
  </si>
  <si>
    <t>Chaclacayo, Lima Metropolitana, Lima, 15474, Perú, (Ruta4507nueva era 23-10-23)</t>
  </si>
  <si>
    <t>66 km/h</t>
  </si>
  <si>
    <t>Calle Leoncio Prado, Santa Eulalia, Huarochirí, Lima, 15468, Perú</t>
  </si>
  <si>
    <t>42 km/h</t>
  </si>
  <si>
    <t>9 km/h</t>
  </si>
  <si>
    <t>Calle Estocolmo, Ate, Lima Metropolitana, Lima, 15498, Perú</t>
  </si>
  <si>
    <t>Calle Las Tunas, Santa Anita, Lima Metropolitana, Lima, 15007, Perú</t>
  </si>
  <si>
    <t>Calle Los Topacios, Lurigancho, Lima Metropolitana, Lima, 15472, Perú</t>
  </si>
  <si>
    <t>Avenida Nicolás de Ayllón, Ate, Lima Metropolitana, Lima, 15002, Perú, (Ruta4507nueva era 23-10-23, RUTA DESVIO TEM.  4507)</t>
  </si>
  <si>
    <t>-4787 km/h</t>
  </si>
  <si>
    <t>Avenida Nicolás de Ayllón, Santa Anita, Lima Metropolitana, Lima, 15008, Perú, (Ruta4507nueva era 23-10-23, RUTA DESVIO TEM.  4507)</t>
  </si>
  <si>
    <t>5 km/h</t>
  </si>
  <si>
    <t>1 km/h</t>
  </si>
  <si>
    <t>Avenida Camino Real, Santa Anita, Lima Metropolitana, Lima, 15009, Perú</t>
  </si>
  <si>
    <t>Avenida Simón Bolívar, Santa Eulalia, Huarochirí, Lima, 15468, Perú</t>
  </si>
  <si>
    <t>Carretera Central, Ate, Lima Metropolitana, Lima, 15474, Perú</t>
  </si>
  <si>
    <t>Ate, Lima Metropolitana, Lima, 15474, Perú</t>
  </si>
  <si>
    <t>Calle Los Álamos, Ate, Lima Metropolitana, Lima, 15483, Perú</t>
  </si>
  <si>
    <t>72 km/h</t>
  </si>
  <si>
    <t>79 km/h</t>
  </si>
  <si>
    <t>Avenida Enrique Guzmán y Valle, Chosica, Lima Metropolitana, Lima, 15468, Perú</t>
  </si>
  <si>
    <t>94 km/h</t>
  </si>
  <si>
    <t>84 km/h</t>
  </si>
  <si>
    <t>Santa Eulalia, Huarochirí, Lima, 15468, Perú</t>
  </si>
  <si>
    <t>96 km/h</t>
  </si>
  <si>
    <t>33 km/h</t>
  </si>
  <si>
    <t>Avenida Nicolás de Ayllón, Ate, Lima Metropolitana, Lima, 15487, Perú, (Ruta4507nueva era 23-10-23)</t>
  </si>
  <si>
    <t>98 km/h</t>
  </si>
  <si>
    <t>Ate, Lima Metropolitana, Lima, 15487, Perú</t>
  </si>
  <si>
    <t>Carretera Central, Ricardo Palma, Huarochirí, Lima, 15500, Perú</t>
  </si>
  <si>
    <t>Calle 20 de Enero, Santa Eulalia, Huarochirí, Lima, 15468, Perú</t>
  </si>
  <si>
    <t>73 km/h</t>
  </si>
  <si>
    <t>12 km/h</t>
  </si>
  <si>
    <t>Lurigancho, Lima Metropolitana, Lima, 15468, Perú</t>
  </si>
  <si>
    <t>Avenida Lima Norte, Santa Eulalia, Lima Metropolitana, Lima, 15468, Perú</t>
  </si>
  <si>
    <t>40 km/h</t>
  </si>
  <si>
    <t>3 km/h</t>
  </si>
  <si>
    <t>Avenida 9 de Diciembre, 371, Lima, Lima Metropolitana, Lima, 15083, Perú, (Ruta4507nueva era 23-10-23)</t>
  </si>
  <si>
    <t>Carretera Central, Chaclacayo, Lima Metropolitana, Lima, 15476, Perú, (Ruta4507nueva era 23-10-23)</t>
  </si>
  <si>
    <t>101 km/h</t>
  </si>
  <si>
    <t>Calle 3, Chosica, Lima Metropolitana, Lima, 15468, Perú</t>
  </si>
  <si>
    <t>Avenida Colectora, Chosica, Lima Metropolitana, Lima, 15468, Perú</t>
  </si>
  <si>
    <t>Avenida Micaela Bastidas, 561, Santa Eulalia, Huarochirí, Lima, 15468, Perú</t>
  </si>
  <si>
    <t>Carretera Central, Ate, Lima Metropolitana, Lima, 15474, Perú, (Horacio Zeballos, Ruta4507nueva era 23-10-23)</t>
  </si>
  <si>
    <t>Alameda E, Chaclacayo, Lima Metropolitana, Lima, 15476, Perú</t>
  </si>
  <si>
    <t>Micaela Bastidas, Ate, Lima Metropolitana, Lima, 15498, Perú</t>
  </si>
  <si>
    <t>81 km/h</t>
  </si>
  <si>
    <t>Simón Bolívar, Ricardo Palma, Huarochirí, Lima, 15468, Perú</t>
  </si>
  <si>
    <t>Avenida Lima Norte, Chosica, Lima Metropolitana, Lima, 15468, Perú</t>
  </si>
  <si>
    <t>86 km/h</t>
  </si>
  <si>
    <t>67 km/h</t>
  </si>
  <si>
    <t>57 km/h</t>
  </si>
  <si>
    <t>Calle Jorge Chavez, Lurigancho, Lima Metropolitana, Lima, 15457, Perú</t>
  </si>
  <si>
    <t>Calle 2, Ate, Lima Metropolitana, Lima, 15487, Perú</t>
  </si>
  <si>
    <t>93 km/h</t>
  </si>
  <si>
    <t>Jirón Los Próceres, Santa Eulalia, Huarochirí, Lima, 15468, Perú</t>
  </si>
  <si>
    <t>Avenida José Carlos Mariátegui, Ate, Lima Metropolitana, Lima, 15474, Perú, (Horacio Zeballos)</t>
  </si>
  <si>
    <t>Calle Cesar Vallejo, Ricardo Palma, Huarochirí, Lima, 15468, Perú</t>
  </si>
  <si>
    <t>95 km/h</t>
  </si>
  <si>
    <t>Avenida José Santos Chocano, Ricardo Palma, Huarochirí, Lima, 15468, Perú</t>
  </si>
  <si>
    <t>Totales:</t>
  </si>
  <si>
    <t/>
  </si>
  <si>
    <t>* Los datos de combustible se calculan de acuerdo con el consumo medio de combustible del vehículo especificado en su configuración</t>
  </si>
  <si>
    <t>Ricardo Palma, Huarochirí, Lima, 15468, Perú, (Ruta4507nueva era 23-10-23)</t>
  </si>
  <si>
    <t>Jose Carlos Mariátegui, Chosica, Lima Metropolitana, Lima, 15468, Perú, (PARADERO RICARDO PALMA)</t>
  </si>
  <si>
    <t>25 km/h</t>
  </si>
  <si>
    <t>10 km/h</t>
  </si>
  <si>
    <t>Avenida José Carlos Mariátegui, Ricardo Palma, Huarochirí, Lima, 15468, Perú, (Ruta4507nueva era 23-10-23)</t>
  </si>
  <si>
    <t>23 km/h</t>
  </si>
  <si>
    <t>6 km/h</t>
  </si>
  <si>
    <t>28 km/h</t>
  </si>
  <si>
    <t>Avenida Lima Norte, 574, Santa Eulalia, Lima Metropolitana, Lima, 15468, Perú, (Ruta4507nueva era 23-10-23)</t>
  </si>
  <si>
    <t>38 km/h</t>
  </si>
  <si>
    <t>Víctor Raúl Haya de la Torre, Ate, Lima Metropolitana, Lima, 15498, Perú</t>
  </si>
  <si>
    <t>22 km/h</t>
  </si>
  <si>
    <t>Avenida Los Incas, Ate, Lima Metropolitana, Lima, 15483, Perú</t>
  </si>
  <si>
    <t>Carretera Central, Chaclacayo, Lima Metropolitana, Lima, 15474, Perú, (Ruta4507nueva era 23-10-23)</t>
  </si>
  <si>
    <t>63 km/h</t>
  </si>
  <si>
    <t>Carretera Central, Chaclacayo, Lima Metropolitana, Lima, 15474, Perú, (S07ÑAÑA, Ruta4507nueva era 23-10-23)</t>
  </si>
  <si>
    <t>Avenida De Las Torres, San Luis, Lima Metropolitana, Lima, 15022, Perú</t>
  </si>
  <si>
    <t>Avenida Alexander Fleming, Ate, Lima Metropolitana, Lima, 15002, Perú</t>
  </si>
  <si>
    <t>7 km/h</t>
  </si>
  <si>
    <t>44 km/h</t>
  </si>
  <si>
    <t>Avenida Palomar Sur, Santa Eulalia, Huarochirí, Lima, 15468, Perú</t>
  </si>
  <si>
    <t>68 km/h</t>
  </si>
  <si>
    <t>21 km/h</t>
  </si>
  <si>
    <t>4 km/h</t>
  </si>
  <si>
    <t>Avenida José Carlos Mariátegui, Ate, Lima Metropolitana, Lima, 15474, Perú</t>
  </si>
  <si>
    <t>37 km/h</t>
  </si>
  <si>
    <t>32 km/h</t>
  </si>
  <si>
    <t>Ricardo Palma, Huarochirí, Lima, 15468, Perú, (CURVA RICARDO PALMA, Ruta4507nueva era 23-10-23)</t>
  </si>
  <si>
    <t>8 km/h</t>
  </si>
  <si>
    <t>Avenida Andrés Avelino Cáceres, Ate, Lima Metropolitana, Lima, 15483, Perú</t>
  </si>
  <si>
    <t>Pasaje Gould, Lima, Lima Metropolitana, Lima, 15082, Perú</t>
  </si>
  <si>
    <t>Avenida Simón Bolívar, Santa Eulalia, Huarochirí, Lima, 15468, Perú, (Ruta4507nueva era 23-10-23)</t>
  </si>
  <si>
    <t>70 km/h</t>
  </si>
  <si>
    <t>Avenida 5 de Setiembre, Ricardo Palma, Huarochirí, Lima, 15468, Perú</t>
  </si>
  <si>
    <t>Jose Carlos Mariátegui, Ricardo Palma, Lima Metropolitana, Lima, 15468, Perú, (PARADERO RICARDO PALMA)</t>
  </si>
  <si>
    <t>Jirón Jorge Chávez, Breña, Lima Metropolitana, Lima, 15082, Perú</t>
  </si>
  <si>
    <t>Avenida Iquitos, Lima, Lima Metropolitana, Lima, 15001, Perú, (Ruta4507nueva era 23-10-23)</t>
  </si>
  <si>
    <t>Avenida Almirante Miguel Grau, 351, La Victoria, Lima Metropolitana, Lima, 15001, Perú, (Ruta4507nueva era 23-10-23)</t>
  </si>
  <si>
    <t>60 km/h</t>
  </si>
  <si>
    <t>Carretera Central, Ate, Lima Metropolitana, Lima, 15487, Perú, (Ruta4507nueva era 23-10-23)</t>
  </si>
  <si>
    <t>Calle Córdova, Ricardo Palma, Huarochirí, Lima, 15468, Perú, (Ruta4507nueva era 23-10-23)</t>
  </si>
  <si>
    <t>26 km/h</t>
  </si>
  <si>
    <t>Calle Berlín, Ate, Lima Metropolitana, Lima, 15498, Perú</t>
  </si>
  <si>
    <t>Avenida Nicolás Ayllón, 477, Chaclacayo, Lima Metropolitana, Lima, 15472, Perú, (Ruta4507nueva era 23-10-23)</t>
  </si>
  <si>
    <t>69 km/h</t>
  </si>
  <si>
    <t>41 km/h</t>
  </si>
  <si>
    <t>Avenida Malecón Manco Cápac, Chaclacayo, Lima Metropolitana, Lima, 15472, Perú, (Ruta4507nueva era 23-10-23)</t>
  </si>
  <si>
    <t>56 km/h</t>
  </si>
  <si>
    <t>Carretera Central, Chaclacayo, Lima Metropolitana, Lima, 15464, Perú</t>
  </si>
  <si>
    <t>52 km/h</t>
  </si>
  <si>
    <t>Avenida Unión, Chaclacayo, Lima Metropolitana, Lima, 15476, Perú, (Ruta4507nueva era 23-10-23)</t>
  </si>
  <si>
    <t>47 km/h</t>
  </si>
  <si>
    <t>29 km/h</t>
  </si>
  <si>
    <t>43 km/h</t>
  </si>
  <si>
    <t>64 km/h</t>
  </si>
  <si>
    <t>31 km/h</t>
  </si>
  <si>
    <t>65 km/h</t>
  </si>
  <si>
    <t>27 km/h</t>
  </si>
  <si>
    <t>Carretera Central, Ate, Lima Metropolitana, Lima, 15487, Perú, (S06 SANTA CLARA, Ruta4507nueva era 23-10-23)</t>
  </si>
  <si>
    <t>48 km/h</t>
  </si>
  <si>
    <t>Avenida Nicolás de Ayllón, Ate, Lima Metropolitana, Lima, 15498, Perú, (Ruta4507nueva era 23-10-23)</t>
  </si>
  <si>
    <t>Avenida Nicolás de Ayllón, 5818, Ate, Lima Metropolitana, Lima, 15498, Perú, (Ruta4507nueva era 23-10-23)</t>
  </si>
  <si>
    <t>Ate, Lima Metropolitana, Lima, 15498, Perú, (Ruta4507nueva era 23-10-23)</t>
  </si>
  <si>
    <t>Avenida Nicolás de Ayllón, 5880, Ate, Lima Metropolitana, Lima, 15498, Perú, (Ruta4507nueva era 23-10-23)</t>
  </si>
  <si>
    <t>Avenida Nicolás de Ayllón, 15498, Ate, Lima Metropolitana, Lima, 15498, Perú, (Ruta4507nueva era 23-10-23)</t>
  </si>
  <si>
    <t>Jirón San Martín de Porres, Ate, Lima Metropolitana, Lima, 15498, Perú, (Ruta4507nueva era 23-10-23, RUTA DESVIO TEM.  4507)</t>
  </si>
  <si>
    <t>59 km/h</t>
  </si>
  <si>
    <t>Víctor Raúl Haya de la Torre, Ate, Lima Metropolitana, Lima, 15498, Perú, (Ruta4507nueva era 23-10-23)</t>
  </si>
  <si>
    <t>30 km/h</t>
  </si>
  <si>
    <t>Avenida Nicolás de Ayllón, Santa Anita, Lima Metropolitana, Lima, 15498, Perú, (Ruta4507nueva era 23-10-23)</t>
  </si>
  <si>
    <t>Avenida Nicolás de Ayllón, Santa Anita, Lima Metropolitana, Lima, 15009, Perú, (Ruta4507nueva era 23-10-23)</t>
  </si>
  <si>
    <t>45 km/h</t>
  </si>
  <si>
    <t>Avenida Nicolás de Ayllón, 1113, Santa Anita, Lima Metropolitana, Lima, 15009, Perú, (Ruta4507nueva era 23-10-23)</t>
  </si>
  <si>
    <t>Las Alondras, Santa Anita, Lima Metropolitana, Lima, 15008, Perú, (Ruta4507nueva era 23-10-23)</t>
  </si>
  <si>
    <t>34 km/h</t>
  </si>
  <si>
    <t>Avenida Los Ruiseñores, Santa Anita, Lima Metropolitana, Lima, 15008, Perú, (Ruta4507nueva era 23-10-23)</t>
  </si>
  <si>
    <t>Avenida Nicolás de Ayllón, Santa Anita, Lima Metropolitana, Lima, 15008, Perú, (Ruta4507nueva era 23-10-23)</t>
  </si>
  <si>
    <t>39 km/h</t>
  </si>
  <si>
    <t>Avenida Nicolás de Ayllón, Santa Anita, Lima Metropolitana, Lima, 15008, Perú</t>
  </si>
  <si>
    <t>Avenida Nicolás de Ayllón, Santa Anita, Lima Metropolitana, Lima, 15008, Perú, (RUTA DESVIO TEM.  4507)</t>
  </si>
  <si>
    <t>Vía de Evitamiento, Santa Anita, Lima Metropolitana, Lima, 15008, Perú, (Ruta4507nueva era 23-10-23, RUTA DESVIO TEM.  4507)</t>
  </si>
  <si>
    <t>Avenida Nicolás de Ayllón, Ate, Lima Metropolitana, Lima, 15008, Perú, (Ruta4507nueva era 23-10-23, RUTA DESVIO TEM.  4507)</t>
  </si>
  <si>
    <t>Avenida Nicolás de Ayllón, 2941, El Agustino, Lima Metropolitana, Lima, 15002, Perú, (Ruta4507nueva era 23-10-23)</t>
  </si>
  <si>
    <t>Calle Ollanta, San Luis, Lima Metropolitana, Lima, 15019, Perú</t>
  </si>
  <si>
    <t>50 km/h</t>
  </si>
  <si>
    <t>Calle Ollanta, Lima, Lima Metropolitana, Lima, 15019, Perú</t>
  </si>
  <si>
    <t>Avenida Inca Garcilazo de la Vega, Lima, Lima Metropolitana, Lima, 15004, Perú</t>
  </si>
  <si>
    <t>Avenida Inca Garcilazo de la Vega, El Agustino, Lima Metropolitana, Lima, 15004, Perú</t>
  </si>
  <si>
    <t>Avenida Inca Garcilazo de la Vega, Lima, Lima Metropolitana, Lima, 15004, Perú, (Ruta4507nueva era 23-10-23)</t>
  </si>
  <si>
    <t>Avenida Nicolás Ayllón, 137, Lima, Lima Metropolitana, Lima, 15011, Perú, (Ruta4507nueva era 23-10-23)</t>
  </si>
  <si>
    <t>Avenida Almirante Miguel Grau, 1299, Lima, Lima Metropolitana, Lima, 15011, Perú, (Ruta4507nueva era 23-10-23)</t>
  </si>
  <si>
    <t>46 km/h</t>
  </si>
  <si>
    <t>Avenida Almirante Miguel Grau, 1294, Lima, Lima Metropolitana, Lima, 15011, Perú, (Ruta4507nueva era 23-10-23)</t>
  </si>
  <si>
    <t>Avenida Almirante Miguel Grau, 1200, Lima, Lima Metropolitana, Lima, 15011, Perú, (Ruta4507nueva era 23-10-23)</t>
  </si>
  <si>
    <t>Avenida Almirante Miguel Grau, 956, La Victoria, Lima Metropolitana, Lima, 15011, Perú, (Ruta4507nueva era 23-10-23)</t>
  </si>
  <si>
    <t>Avenida Almirante Miguel Grau, 354, Lima, Lima Metropolitana, Lima, 15001, Perú, (Ruta4507nueva era 23-10-23)</t>
  </si>
  <si>
    <t>Avenida Almirante Miguel Grau, Lima, Lima Metropolitana, Lima, 15001, Perú, (Ruta4507nueva era 23-10-23)</t>
  </si>
  <si>
    <t>Metropolitano, Lima, Lima Metropolitana, Lima, 15083, Perú, (Ruta4507nueva era 23-10-23)</t>
  </si>
  <si>
    <t>Avenida Paseo de la República, Lima, Lima Metropolitana, Lima, 15083, Perú</t>
  </si>
  <si>
    <t>Avenida Petit Thouars, 115, Lima, Lima Metropolitana, Lima, 15083, Perú</t>
  </si>
  <si>
    <t>Avenida 28 de Julio, Lima, Lima Metropolitana, Lima, 15083, Perú</t>
  </si>
  <si>
    <t>Avenida 28 de Julio, 715, Jesús María, Lima Metropolitana, Lima, 15083, Perú</t>
  </si>
  <si>
    <t>Avenida Guzmán Blanco, Lima, Lima Metropolitana, Lima, 15083, Perú</t>
  </si>
  <si>
    <t>Avenida Alfonso Ugarte, 1409, Lima, Lima Metropolitana, Lima, 15083, Perú, (Ruta4507nueva era 23-10-23)</t>
  </si>
  <si>
    <t>Avenida Alfonso Ugarte, 1409, Lima, Lima Metropolitana, Lima, 15083, Perú</t>
  </si>
  <si>
    <t>Avenida Alfonso Ugarte, 1235, Lima, Lima Metropolitana, Lima, 15083, Perú</t>
  </si>
  <si>
    <t>Avenida Alfonso Ugarte, 1227, Breña, Lima Metropolitana, Lima, 15083, Perú, (Ruta4507nueva era 23-10-23)</t>
  </si>
  <si>
    <t>Avenida Alfonso Ugarte, Lima, Lima Metropolitana, Lima, 15082, Perú, (S01Alfonso Ugarte/ Metro, Ruta4507nueva era 23-10-23)</t>
  </si>
  <si>
    <t>Avenida Alfonso Ugarte, Lima, Lima Metropolitana, Lima, 15082, Perú, (Ruta4507nueva era 23-10-23)</t>
  </si>
  <si>
    <t>Jirón Sánchez Pinillos, 189, Lima, Lima Metropolitana, Lima, 15082, Perú, (Ruta4507nueva era 23-10-23)</t>
  </si>
  <si>
    <t>Jirón Huarochirí, Lima, Lima Metropolitana, Lima, 15082, Perú, (Ruta4507nueva era 23-10-23)</t>
  </si>
  <si>
    <t>Jirón Huarochirí, 643, Lima, Lima Metropolitana, Lima, 15082, Perú</t>
  </si>
  <si>
    <t>Avenida Óscar Raimundo Benavides, 150, Lima, Lima Metropolitana, Lima, 15082, Perú, (Ruta4507nueva era 23-10-23)</t>
  </si>
  <si>
    <t>Avenida Óscar Raimundo Benavides, 150, Lima, Lima Metropolitana, Lima, 15082, Perú</t>
  </si>
  <si>
    <t>Avenida Óscar Raimundo Benavides, 100, Lima, Lima Metropolitana, Lima, 15082, Perú</t>
  </si>
  <si>
    <t>Avenida Alfonso Ugarte, 699, Lima, Lima Metropolitana, Lima, 15082, Perú</t>
  </si>
  <si>
    <t>Avenida Alfonso Ugarte, 900, Breña, Lima Metropolitana, Lima, 15082, Perú, (Ruta4507nueva era 23-10-23)</t>
  </si>
  <si>
    <t>Avenida Alfonso Ugarte, 1006, Lima, Lima Metropolitana, Lima, 15082, Perú</t>
  </si>
  <si>
    <t>Avenida Alfonso Ugarte, 1280, Breña, Lima Metropolitana, Lima, 15083, Perú, (Ruta4507nueva era 23-10-23)</t>
  </si>
  <si>
    <t>Avenida Alfonso Ugarte, 1280, Breña, Lima Metropolitana, Lima, 15083, Perú</t>
  </si>
  <si>
    <t>Avenida Alfonso Ugarte, 494, Breña, Lima Metropolitana, Lima, 15083, Perú, (Ruta4507nueva era 23-10-23)</t>
  </si>
  <si>
    <t>Avenida Guzmán Blanco, 171, Lima, Lima Metropolitana, Lima, 15046, Perú</t>
  </si>
  <si>
    <t>Avenida Guzmán Blanco, 321, Lima, Lima Metropolitana, Lima, 15046, Perú</t>
  </si>
  <si>
    <t>Avenida Guzmán Blanco, 481, Lima, Lima Metropolitana, Lima, 15046, Perú</t>
  </si>
  <si>
    <t>Avenida 28 de Julio, Jesús María, Lima Metropolitana, Lima, 15083, Perú</t>
  </si>
  <si>
    <t>Avenida República de Chile, Jesús María, Lima Metropolitana, Lima, 15083, Perú</t>
  </si>
  <si>
    <t>Avenida Garcilazo de la Vega, Lima, Lima Metropolitana, Lima, 15083, Perú</t>
  </si>
  <si>
    <t>Avenida Paseo de la República, La Victoria, Lima Metropolitana, Lima, 15083, Perú</t>
  </si>
  <si>
    <t>Vía Expresa Almirante Miguel Grau, La Victoria, Lima Metropolitana, Lima, 15001, Perú, (S02 AV.GRAU/ JR ANDAHUAYLAS, Ruta4507nueva era 23-10-23)</t>
  </si>
  <si>
    <t>Vía Expresa Almirante Miguel Grau, Lima, Lima Metropolitana, Lima, 15001, Perú, (Ruta4507nueva era 23-10-23)</t>
  </si>
  <si>
    <t>Avenida Almirante Miguel Grau, 813, Lima, Lima Metropolitana, Lima, 15001, Perú, (Ruta4507nueva era 23-10-23)</t>
  </si>
  <si>
    <t>Vía Expresa Almirante Miguel Grau, La Victoria, Lima Metropolitana, Lima, 15011, Perú, (Ruta4507nueva era 23-10-23)</t>
  </si>
  <si>
    <t>Avenida Almirante Miguel Grau, 1356, Lima, Lima Metropolitana, Lima, 15011, Perú, (Ruta4507nueva era 23-10-23)</t>
  </si>
  <si>
    <t>Vía Expresa Almirante Miguel Grau, Lima, Lima Metropolitana, Lima, 15011, Perú, (Ruta4507nueva era 23-10-23)</t>
  </si>
  <si>
    <t>Avenida Almirante Miguel Grau, Lima, Lima Metropolitana, Lima, 15011, Perú, (Ruta4507nueva era 23-10-23)</t>
  </si>
  <si>
    <t>Prolongación Avenida San Pablo, Lima, Lima Metropolitana, Lima, 15011, Perú, (Ruta4507nueva era 23-10-23)</t>
  </si>
  <si>
    <t>Avenida Nicolás Ayllón, Lima, Lima Metropolitana, Lima, 15011, Perú, (Ruta4507nueva era 23-10-23)</t>
  </si>
  <si>
    <t>53 km/h</t>
  </si>
  <si>
    <t>Avenida Nicolás de Ayllón, Lima, Lima Metropolitana, Lima, 15011, Perú, (Ruta4507nueva era 23-10-23)</t>
  </si>
  <si>
    <t>Avenida José de la Riva Aguero, Lima, Lima Metropolitana, Lima, 15004, Perú, (Ruta4507nueva era 23-10-23)</t>
  </si>
  <si>
    <t>Avenida Inca Garcilazo de la Vega, El Agustino, Lima Metropolitana, Lima, 15004, Perú, (Ruta4507nueva era 23-10-23)</t>
  </si>
  <si>
    <t>Avenida Nicolás de Ayllón, Lima, Lima Metropolitana, Lima, 15004, Perú, (Ruta4507nueva era 23-10-23)</t>
  </si>
  <si>
    <t>Auxiliar Avenida Circunvalación, La Victoria, Lima Metropolitana, Lima, 15019, Perú</t>
  </si>
  <si>
    <t>Avenida Circunvalación, La Victoria, Lima Metropolitana, Lima, 15019, Perú</t>
  </si>
  <si>
    <t>Auxiliar Avenida Nicolás Arriola, San Luis, Lima Metropolitana, Lima, 15019, Perú, (RUTA DESVIO TEM.  4507)</t>
  </si>
  <si>
    <t>Avenida Nicolás de Ayllón, San Luis, Lima Metropolitana, Lima, 15022, Perú, (Ruta4507nueva era 23-10-23, RUTA DESVIO TEM.  4507)</t>
  </si>
  <si>
    <t>35 km/h</t>
  </si>
  <si>
    <t>Avenida Nicolás de Ayllón, 2691, El Agustino, Lima Metropolitana, Lima, 15002, Perú, (Ruta4507nueva era 23-10-23, RUTA DESVIO TEM.  4507)</t>
  </si>
  <si>
    <t>Avenida Nicolás de Ayllón, El Agustino, Lima Metropolitana, Lima, 15008, Perú, (Ruta4507nueva era 23-10-23)</t>
  </si>
  <si>
    <t>Avenida Nicolás de Ayllón, Ate, Lima Metropolitana, Lima, 15008, Perú</t>
  </si>
  <si>
    <t>Vía de Evitamiento, Ate, Lima Metropolitana, Lima, 15008, Perú</t>
  </si>
  <si>
    <t>Vía de Evitamiento, Ate, Lima Metropolitana, Lima, 15008, Perú, (Ruta4507nueva era 23-10-23, RUTA DESVIO TEM.  4507)</t>
  </si>
  <si>
    <t>Avenida Nicolás de Ayllón, Ate, Lima Metropolitana, Lima, 15008, Perú, (Ruta4507nueva era 23-10-23)</t>
  </si>
  <si>
    <t>Avenida La Molina, Ate, Lima Metropolitana, Lima, 15008, Perú, (Ruta4507nueva era 23-10-23)</t>
  </si>
  <si>
    <t>Avenida Nicolás de Ayllón, Ate, Lima Metropolitana, Lima, 15009, Perú, (Ruta4507nueva era 23-10-23)</t>
  </si>
  <si>
    <t>Avenida Asturias, Ate, Lima Metropolitana, Lima, 00051, Perú, (Ruta4507nueva era 23-10-23)</t>
  </si>
  <si>
    <t>Avenida Nicolás de Ayllón, Santa Anita, Lima Metropolitana, Lima, 00051, Perú, (Ruta4507nueva era 23-10-23)</t>
  </si>
  <si>
    <t>Avenida Nicolás de Ayllón, 4770, Ate, Lima Metropolitana, Lima, 15498, Perú, (Ruta4507nueva era 23-10-23)</t>
  </si>
  <si>
    <t>Marcos Puente Llanos, Ate, Lima Metropolitana, Lima, 15498, Perú, (RUTA DESVIO TEM.  4507)</t>
  </si>
  <si>
    <t>36 km/h</t>
  </si>
  <si>
    <t>Avenida Nicolás de Ayllón, Ate, Lima Metropolitana, Lima, 15498, Perú</t>
  </si>
  <si>
    <t>Victor Raul Haya de la Torre, Ate, Lima Metropolitana, Lima, 15498, Perú, (Ruta4507nueva era 23-10-23, RUTA DESVIO TEM.  4507)</t>
  </si>
  <si>
    <t>Victor Raul Haya de la Torre, Ate, Lima Metropolitana, Lima, 15498, Perú</t>
  </si>
  <si>
    <t>Avenida José Carlos Mariátegui, Ate, Lima Metropolitana, Lima, 15498, Perú, (S05Vitarte/ ALT. Hospital, Ruta4507nueva era 23-10-23)</t>
  </si>
  <si>
    <t>Avenida Nicolás de Ayllón, Ate, Lima Metropolitana, Lima, 15498, Perú, (S05Vitarte/ ALT. Hospital, Ruta4507nueva era 23-10-23)</t>
  </si>
  <si>
    <t>Calle El Trabajo, Ate, Lima Metropolitana, Lima, 15498, Perú, (Ruta4507nueva era 23-10-23)</t>
  </si>
  <si>
    <t>Avenida Nicolás de Ayllón, 816-818, Ate, Lima Metropolitana, Lima, 15487, Perú, (Ruta4507nueva era 23-10-23)</t>
  </si>
  <si>
    <t>58 km/h</t>
  </si>
  <si>
    <t>Avenida Esperanza, Ate, Lima Metropolitana, Lima, 15487, Perú, (Ruta4507nueva era 23-10-23)</t>
  </si>
  <si>
    <t>51 km/h</t>
  </si>
  <si>
    <t>49 km/h</t>
  </si>
  <si>
    <t>Ate, Lima Metropolitana, Lima, 15487, Perú, (Ruta4507nueva era 23-10-23)</t>
  </si>
  <si>
    <t>Avenida Colectora Santa Marta, Ate, Lima Metropolitana, Lima, 15487, Perú, (Ruta4507nueva era 23-10-23)</t>
  </si>
  <si>
    <t>Avenida Gloria Grande, Ate, Lima Metropolitana, Lima, 15483, Perú, (Ruta4507nueva era 23-10-23)</t>
  </si>
  <si>
    <t>Carretera Central, Ate, Lima Metropolitana, Lima, 15483, Perú, (Ruta4507nueva era 23-10-23)</t>
  </si>
  <si>
    <t>54 km/h</t>
  </si>
  <si>
    <t>Avenida Jaime Zubieta Calderón, Ate, Lima Metropolitana, Lima, 15483, Perú, (Ruta4507nueva era 23-10-23)</t>
  </si>
  <si>
    <t>Avenida Nicolás Ayllón, Chaclacayo, Lima Metropolitana, Lima, 15472, Perú, (Ruta4507nueva era 23-10-23)</t>
  </si>
  <si>
    <t>Avenida Lima Sur, Chosica, Lima Metropolitana, Lima, 15468, Perú, (Ruta4507nueva era 23-10-23)</t>
  </si>
  <si>
    <t>Chosica, Lima Metropolitana, Lima, 15468, Perú, (Ruta4507nueva era 23-10-23)</t>
  </si>
  <si>
    <t>Avenida Lima Sur, 1471, Chosica, Lima Metropolitana, Lima, 15468, Perú, (Ruta4507nueva era 23-10-23)</t>
  </si>
  <si>
    <t>Avenida Lima Sur, Chosica, Lima Metropolitana, Lima, 15468, Perú, (S09 CHOSICA/ PEDREGAL, Ruta4507nueva era 23-10-23)</t>
  </si>
  <si>
    <t>Jirón Trujillo Sur, Chosica, Lima Metropolitana, Lima, 15468, Perú</t>
  </si>
  <si>
    <t>Jirón Trujillo Sur, 496, Chosica, Lima Metropolitana, Lima, 15468, Perú, (Ruta4507nueva era 23-10-23)</t>
  </si>
  <si>
    <t>Chosica, Lima Metropolitana, Lima, 15468, Perú</t>
  </si>
  <si>
    <t>55 km/h</t>
  </si>
  <si>
    <t>Avenida Lima Norte, Santa Eulalia, Lima Metropolitana, Lima, 15468, Perú, (Ruta4507nueva era 23-10-23)</t>
  </si>
  <si>
    <t>Calle 20 de Enero, Santa Eulalia, Huarochirí, Lima, 15468, Perú, (Ruta4507nueva era 23-10-23)</t>
  </si>
  <si>
    <t>Jirón Los Próceres, Santa Eulalia, Huarochirí, Lima, 15468, Perú, (Ruta4507nueva era 23-10-23)</t>
  </si>
  <si>
    <t>Simón Bolívar, Ricardo Palma, Huarochirí, Lima, 15468, Perú, (Ruta4507nueva era 23-10-23)</t>
  </si>
  <si>
    <t>Avenida José Carlos Mariátegui, Ricardo Palma, Huarochirí, Lima, 15468, Perú, (CURVA RICARDO PALMA, Ruta4507nueva era 23-10-23)</t>
  </si>
  <si>
    <t>Abraham Valdelomar, Ricardo Palma, Huarochirí, Lima, 15468, Perú</t>
  </si>
  <si>
    <t>Simón Bolívar, Ricardo Palma, Huarochirí, Lima, 15468, Perú, (CURVA RICARDO PALMA, Ruta4507nueva era 23-10-23)</t>
  </si>
  <si>
    <t>Avenida Lima Norte, Santa Eulalia, Huarochirí, Lima, 15468, Perú, (Ruta4507nueva era 23-10-23)</t>
  </si>
  <si>
    <t>Avenida Lima Norte, 246, Chosica, Lima Metropolitana, Lima, 15468, Perú, (Ruta4507nueva era 23-10-23)</t>
  </si>
  <si>
    <t>Jirón Trujillo Sur, Chosica, Lima Metropolitana, Lima, 15468, Perú, (Ruta4507nueva era 23-10-23)</t>
  </si>
  <si>
    <t>Avenida Las Flores, Chosica, Lima Metropolitana, Lima, 15468, Perú, (Ruta4507nueva era 23-10-23)</t>
  </si>
  <si>
    <t>61 km/h</t>
  </si>
  <si>
    <t>Carretera Central, Lurigancho, Lima Metropolitana, Lima, 15472, Perú, (Ruta4507nueva era 23-10-23)</t>
  </si>
  <si>
    <t>Avenida Unión, Chaclacayo, Lima Metropolitana, Lima, 15476, Perú</t>
  </si>
  <si>
    <t>Ate, Lima Metropolitana, Lima, 15474, Perú, (Ruta4507nueva era 23-10-23)</t>
  </si>
  <si>
    <t>Avenida Nicolás de Ayllón, 5880, Ate, Lima Metropolitana, Lima, 15498, Perú, (S05Vitarte/ ALT. Hospital, Ruta4507nueva era 23-10-23)</t>
  </si>
  <si>
    <t>Ate, Lima Metropolitana, Lima, 15009, Perú, (Ruta4507nueva era 23-10-23)</t>
  </si>
  <si>
    <t>Las Alondras, 175, Santa Anita, Lima Metropolitana, Lima, 15008, Perú, (Ruta4507nueva era 23-10-23)</t>
  </si>
  <si>
    <t>Avenida Nicolás de Ayllón, 111, Santa Anita, Lima Metropolitana, Lima, 15008, Perú, (Ruta4507nueva era 23-10-23)</t>
  </si>
  <si>
    <t>Pasaje Santa Rosa, Ate, Lima Metropolitana, Lima, 15008, Perú, (Ruta4507nueva era 23-10-23)</t>
  </si>
  <si>
    <t>Avenida Nicolás de Ayllón, 2950, Ate, Lima Metropolitana, Lima, 15008, Perú, (Ruta4507nueva era 23-10-23)</t>
  </si>
  <si>
    <t>Avenida Nicolás de Ayllón, El Agustino, Lima Metropolitana, Lima, 15008, Perú, (Ruta4507nueva era 23-10-23, RUTA DESVIO TEM.  4507)</t>
  </si>
  <si>
    <t>Avenida Nicolás de Ayllón, C 32, Ate, Lima Metropolitana, Lima, 15008, Perú, (Ruta4507nueva era 23-10-23)</t>
  </si>
  <si>
    <t>Avenida Nicolás de Ayllón, Ate, Lima Metropolitana, Lima, 15498, Perú, (Ruta4507nueva era 23-10-23, RUTA DESVIO TEM.  4507)</t>
  </si>
  <si>
    <t>Víctor Raúl Haya de la Torre, Ate, Lima Metropolitana, Lima, 15498, Perú, (Ruta4507nueva era 23-10-23, RUTA DESVIO TEM.  4507)</t>
  </si>
  <si>
    <t>Avenida Nicolás de Ayllón, 15498, Ate, Lima Metropolitana, Lima, 15498, Perú, (Ruta4507nueva era 23-10-23, RUTA DESVIO TEM.  4507)</t>
  </si>
  <si>
    <t>Avenida Nicolás de Ayllón, 500, Ate, Lima Metropolitana, Lima, 15498, Perú, (Ruta4507nueva era 23-10-23)</t>
  </si>
  <si>
    <t>Calle El Trabajo, Ate, Lima Metropolitana, Lima, 15498, Perú, (Ruta4507nueva era 23-10-23, RUTA DESVIO TEM.  4507)</t>
  </si>
  <si>
    <t>Avenida Nicolás de Ayllón, 6376, Ate, Lima Metropolitana, Lima, 15498, Perú, (Ruta4507nueva era 23-10-23)</t>
  </si>
  <si>
    <t>Carretera Central, Chaclacayo, Lima Metropolitana, Lima, 15464, Perú, (Ruta4507nueva era 23-10-23)</t>
  </si>
  <si>
    <t>Avenida Nicolás Ayllón, Chaclacayo, Lima Metropolitana, Lima, 15472, Perú</t>
  </si>
  <si>
    <t>62 km/h</t>
  </si>
  <si>
    <t>Avenida Nicolás Ayllón, 432, Chaclacayo, Lima Metropolitana, Lima, 15472, Perú, (Ruta4507nueva era 23-10-23)</t>
  </si>
  <si>
    <t>Avenida Las Flores, 29000, Lurigancho, Lima Metropolitana, Lima, 15472, Perú, (Ruta4507nueva era 23-10-23)</t>
  </si>
  <si>
    <t>Avenida Las Flores, Lurigancho, Lima Metropolitana, Lima, 15468, Perú, (Ruta4507nueva era 23-10-23)</t>
  </si>
  <si>
    <t>Avenida Lima Sur, 765, Chosica, Lima Metropolitana, Lima, 15468, Perú, (Ruta4507nueva era 23-10-23)</t>
  </si>
  <si>
    <t>Jirón Arequipa, 208, Chosica, Lima Metropolitana, Lima, 15468, Perú</t>
  </si>
  <si>
    <t>Avenida Lima Sur, 465, Chosica, Lima Metropolitana, Lima, 15468, Perú, (Ruta4507nueva era 23-10-23)</t>
  </si>
  <si>
    <t>Avenida Lima Sur, Chosica, Lima Metropolitana, Lima, 15468, Perú</t>
  </si>
  <si>
    <t>Jirón Chucuito, 187, Chosica, Lima Metropolitana, Lima, 15468, Perú, (Ruta4507nueva era 23-10-23)</t>
  </si>
  <si>
    <t>Jirón Iquitos, Chosica, Lima Metropolitana, Lima, 15468, Perú</t>
  </si>
  <si>
    <t>Jirón Iquitos, Chosica, Lima Metropolitana, Lima, 15468, Perú, (Ruta4507nueva era 23-10-23)</t>
  </si>
  <si>
    <t>Avenida Lima Sur, 824, Chosica, Lima Metropolitana, Lima, 15468, Perú, (Ruta4507nueva era 23-10-23)</t>
  </si>
  <si>
    <t>Avenida Lima Sur, 1205, Chosica, Lima Metropolitana, Lima, 15468, Perú, (Ruta4507nueva era 23-10-23)</t>
  </si>
  <si>
    <t>Calle Las Casuarinas, Chosica, Lima Metropolitana, Lima, 15468, Perú, (Ruta4507nueva era 23-10-23)</t>
  </si>
  <si>
    <t>Calle Los Geranios, Chosica, Lima Metropolitana, Lima, 15468, Perú, (Ruta4507nueva era 23-10-23)</t>
  </si>
  <si>
    <t>Avenida Nicolás Ayllón, 161 C, Chaclacayo, Lima Metropolitana, Lima, 15464, Perú, (Ruta4507nueva era 23-10-23)</t>
  </si>
  <si>
    <t>Jirón San Martín de Porres, Ate, Lima Metropolitana, Lima, 15498, Perú</t>
  </si>
  <si>
    <t>Avenida Bernardino Rivadavia, Ate, Lima Metropolitana, Lima, 15498, Perú, (RUTA DESVIO TEM.  4507)</t>
  </si>
  <si>
    <t>Avenida Bernardino Rivadavia, Ate, Lima Metropolitana, Lima, 15498, Perú</t>
  </si>
  <si>
    <t>Avenida Metropolitana, Santa Anita, Lima Metropolitana, Lima, 15009, Perú, (RUTA DESVIO TEM.  4507)</t>
  </si>
  <si>
    <t>Avenida Huancaray, Santa Anita, Lima Metropolitana, Lima, 15009, Perú, (RUTA DESVIO TEM.  4507)</t>
  </si>
  <si>
    <t>Santa Anita, Lima Metropolitana, Lima, 15009, Perú, (RUTA DESVIO TEM.  4507)</t>
  </si>
  <si>
    <t>Avenida Huancaray, Santa Anita, Lima Metropolitana, Lima, 15009, Perú</t>
  </si>
  <si>
    <t>Avenida Huancaray, Santa Anita, Lima Metropolitana, Lima, 15007, Perú, (RUTA DESVIO TEM.  4507)</t>
  </si>
  <si>
    <t>Avenida Los Eucaliptos, Santa Anita, Lima Metropolitana, Lima, 15008, Perú, (RUTA DESVIO TEM.  4507)</t>
  </si>
  <si>
    <t>Avenida Minería, Santa Anita, Lima Metropolitana, Lima, 15008, Perú, (RUTA DESVIO TEM.  4507)</t>
  </si>
  <si>
    <t>Avenida Nicolás de Ayllón, Ate, Lima Metropolitana, Lima, 15022, Perú, (Ruta4507nueva era 23-10-23, RUTA DESVIO TEM.  4507)</t>
  </si>
  <si>
    <t>Avenida Nicolás de Ayllón, 1912, Ate, Lima Metropolitana, Lima, 15002, Perú, (Ruta4507nueva era 23-10-23, RUTA DESVIO TEM.  4507)</t>
  </si>
  <si>
    <t>Ate, Lima Metropolitana, Lima, 15008, Perú</t>
  </si>
  <si>
    <t>Calle Santa Inés, Ate, Lima Metropolitana, Lima, 15008, Perú, (Ruta4507nueva era 23-10-23, RUTA DESVIO TEM.  4507)</t>
  </si>
  <si>
    <t>Avenida Los Cipreses, Santa Anita, Lima Metropolitana, Lima, 15002, Perú, (RUTA DESVIO TEM.  4507)</t>
  </si>
  <si>
    <t>Avenida Los Cipreses, Santa Anita, Lima Metropolitana, Lima, 15002, Perú</t>
  </si>
  <si>
    <t>Avenida Los Ruiseñores, Santa Anita, Lima Metropolitana, Lima, 15008, Perú, (RUTA DESVIO TEM.  4507)</t>
  </si>
  <si>
    <t>Avenida Santa Rosa, Santa Anita, Lima Metropolitana, Lima, 15007, Perú, (RUTA DESVIO TEM.  4507)</t>
  </si>
  <si>
    <t>Avenida Huancaray, Santa Anita, Lima Metropolitana, Lima, 15007, Perú, (S04 AV. Metropolitana / Colectora Industrial, RUTA DESVIO TEM.  4507)</t>
  </si>
  <si>
    <t>Avenida Metropolitana, Ate, Lima Metropolitana, Lima, 15498, Perú, (RUTA DESVIO TEM.  4507)</t>
  </si>
  <si>
    <t>Calle San Martín, Ate, Lima Metropolitana, Lima, 15498, Perú, (RUTA DESVIO TEM.  4507)</t>
  </si>
  <si>
    <t>Prolongación Javier Prado Este, Ate, Lima Metropolitana, Lima, 15498, Perú, (RUTA DESVIO TEM.  4507)</t>
  </si>
  <si>
    <t>Avenida Bernardino Rivadavia, F1, Ate, Lima Metropolitana, Lima, 15498, Perú</t>
  </si>
  <si>
    <t>Avenida Bernardino Rivadavia, F1, Ate, Lima Metropolitana, Lima, 15498, Perú, (RUTA DESVIO TEM.  4507)</t>
  </si>
  <si>
    <t>Calle 4, Ate, Lima Metropolitana, Lima, 15498, Perú</t>
  </si>
  <si>
    <t>Avenida José Carlos Mariátegui, Ate, Lima Metropolitana, Lima, 15498, Perú, (S05Vitarte/ ALT. Hospital, RUTA DESVIO TEM.  4507)</t>
  </si>
  <si>
    <t>Carretera Central, Ate, Lima Metropolitana, Lima, 15483, Perú</t>
  </si>
  <si>
    <t>Avenida El Pozo, Ate, Lima Metropolitana, Lima, 15474, Perú</t>
  </si>
  <si>
    <t>Carretera Central, Ate, Lima Metropolitana, Lima, 15474, Perú, (Horacio Zeballos)</t>
  </si>
  <si>
    <t>Avenida Nicolás Ayllón, Chaclacayo, Lima Metropolitana, Lima, 15472, Perú, (S08 CHACLACAYO/PARQUE, Ruta4507nueva era 23-10-23)</t>
  </si>
  <si>
    <t>Avenida Nicolás Ayllón, 1159, Chaclacayo, Lima Metropolitana, Lima, 15472, Perú, (Ruta4507nueva era 23-10-23)</t>
  </si>
  <si>
    <t>Jirón Tacna, Chosica, Lima Metropolitana, Lima, 15468, Perú, (Ruta4507nueva era 23-10-23)</t>
  </si>
  <si>
    <t>Jirón Tacna, Chosica, Lima Metropolitana, Lima, 15468, Perú</t>
  </si>
  <si>
    <t>Avenida Unión, Chaclacayo, Lima Metropolitana, Lima, 15474, Perú, (S07ÑAÑA, Ruta4507nueva era 23-10-23)</t>
  </si>
  <si>
    <t>Ate, Lima Metropolitana, Lima, 15487, Perú, (S06 SANTA CLARA, Ruta4507nueva era 23-10-23)</t>
  </si>
  <si>
    <t>Calle Progreso, Ate, Lima Metropolitana, Lima, 15498, Perú</t>
  </si>
  <si>
    <t>Avenida Santa María, Ate, Lima Metropolitana, Lima, 15498, Perú, (RUTA DESVIO TEM.  4507)</t>
  </si>
  <si>
    <t>Avenida Huancaray, Santa Anita, Lima Metropolitana, Lima, 15009, Perú, (S04 AV. Metropolitana / Colectora Industrial)</t>
  </si>
  <si>
    <t>Avenida Francisco Bolognesi, 1082, Santa Anita, Lima Metropolitana, Lima, 15008, Perú, (RUTA DESVIO TEM.  4507)</t>
  </si>
  <si>
    <t>Avenida Francisco Bolognesi, Santa Anita, Lima Metropolitana, Lima, 15008, Perú, (RUTA DESVIO TEM.  4507)</t>
  </si>
  <si>
    <t>Avenida 7 de Junio, Santa Anita, Lima Metropolitana, Lima, 15008, Perú, (RUTA DESVIO TEM.  4507)</t>
  </si>
  <si>
    <t>Avenida Nicolás de Ayllón, Ate, Lima Metropolitana, Lima, 15022, Perú, (Ruta4507nueva era 23-10-23)</t>
  </si>
  <si>
    <t>Avenida Andrés Avelino Cáceres, Ate, Lima Metropolitana, Lima, 15019, Perú</t>
  </si>
  <si>
    <t>Jirón Cornelio Borda, Breña, Lima Metropolitana, Lima, 15082, Perú, (Ruta4507nueva era 23-10-23)</t>
  </si>
  <si>
    <t>Calle Digoberto Ojeda, Ricardo Palma, Huarochirí, Lima, 15468, Perú</t>
  </si>
  <si>
    <t>Calle Córdova, 103, Ricardo Palma, Huarochirí, Lima, 15468, Perú, (Ruta4507nueva era 23-10-23)</t>
  </si>
  <si>
    <t>Pasaje Gould, Lima, Lima Metropolitana, Lima, 15082, Perú, (PARADERO DESTINO ASCOPE)</t>
  </si>
  <si>
    <t>Calle Salaverry, 280, Chosica, Lima Metropolitana, Lima, 15468, Perú, (Ruta4507nueva era 23-10-23)</t>
  </si>
  <si>
    <t>Avenida Lima Sur, 930-970, Chosica, Lima Metropolitana, Lima, 15468, Perú, (Ruta4507nueva era 23-10-23)</t>
  </si>
  <si>
    <t>Avenida Lima Sur, 275, Chosica, Lima Metropolitana, Lima, 15468, Perú, (Ruta4507nueva era 23-10-23)</t>
  </si>
  <si>
    <t>Avenida Lima Norte, 599, Chosica, Lima Metropolitana, Lima, 15468, Perú, (Ruta4507nueva era 23-10-23)</t>
  </si>
  <si>
    <t>Avenida 5 de Setiembre, Ricardo Palma, Huarochirí, Lima, 15468, Perú, (Ruta4507nueva era 23-10-23)</t>
  </si>
  <si>
    <t>Jirón Sánchez Pinillos, Lima, Lima Metropolitana, Lima, 15082, Perú</t>
  </si>
  <si>
    <t>Avenida Almirante Miguel Grau, 1005, Lima, Lima Metropolitana, Lima, 15011, Perú, (Ruta4507nueva era 23-10-23)</t>
  </si>
  <si>
    <t>Jirón Tacna, 430, Chosica, Lima Metropolitana, Lima, 15468, Perú</t>
  </si>
  <si>
    <t>Vía Expresa Almirante Miguel Grau, La Victoria, Lima Metropolitana, Lima, 15001, Perú, (Ruta4507nueva era 23-10-23)</t>
  </si>
  <si>
    <t>85 km/h</t>
  </si>
  <si>
    <t>Avenida Río Perene, Ate, Lima Metropolitana, Lima, 15498, Perú</t>
  </si>
  <si>
    <t>Jirón Zorritos, 612, Lima, Lima Metropolitana, Lima, 15082, Perú</t>
  </si>
  <si>
    <t>Calle Arequipa, Ate, Lima Metropolitana, Lima, 15498, Perú</t>
  </si>
  <si>
    <t>Carretera Central, Ricardo Palma, Huarochirí, Lima, 15468, Perú</t>
  </si>
  <si>
    <t>Avenida Óscar Raimundo Benavides, 153, Lima, Lima Metropolitana, Lima, 15082, Perú</t>
  </si>
  <si>
    <t>Avenida Almirante Miguel Grau, 171, Lima, Lima Metropolitana, Lima, 15001, Perú, (Ruta4507nueva era 23-10-23)</t>
  </si>
  <si>
    <t>Avenida Alfonso Cobián, Chaclacayo, Lima Metropolitana, Lima, 15476, Perú</t>
  </si>
  <si>
    <t>Calle Alhelíes, Chaclacayo, Lima Metropolitana, Lima, 15476, Perú</t>
  </si>
  <si>
    <t>Avenida Los Incas, 205, Ate, Lima Metropolitana, Lima, 15483, Perú</t>
  </si>
  <si>
    <t>Carretera Central, Chaclacayo, Lima Metropolitana, Lima, 15474, Perú</t>
  </si>
  <si>
    <t>Avenida Jaime Zubieta Calderón, Ate, Lima Metropolitana, Lima, 15483, Perú</t>
  </si>
  <si>
    <t>Avenida La Paz, G2, Santa Eulalia, Huarochirí, Lima, 15500, Perú</t>
  </si>
  <si>
    <t>Calle Córdova, Ricardo Palma, Huarochirí, Lima, 15468, Perú, (Exceso de Velocidad)</t>
  </si>
  <si>
    <t>Vista Alegre, Ate, Lima Metropolitana, Lima, 15498, Perú</t>
  </si>
  <si>
    <t>-81245 km/h</t>
  </si>
  <si>
    <t>Simón Bolívar, Ricardo Palma, Huarochirí, Lima, 15468, Perú, (TALLER TRASANDINO)</t>
  </si>
  <si>
    <t>Avenida 15 de Julio, Nº 512 UVC 3, Ate, Lima Metropolitana, Lima, 15483, Perú</t>
  </si>
  <si>
    <t>Avenida José Carlos Mariátegui, Ate, Lima Metropolitana, Lima, 15483, Perú</t>
  </si>
  <si>
    <t>Avenida Metropolitana, Santa Anita, Lima Metropolitana, Lima, 15009, Perú</t>
  </si>
  <si>
    <t>Avenida de La Cultura, Santa Anita, Lima Metropolitana, Lima, 15009, Perú</t>
  </si>
  <si>
    <t>Avenida Nicolás de Ayllón, Ate, Lima Metropolitana, Lima, 15498, Perú, (RUTA DESVIO TEM.  4507)</t>
  </si>
  <si>
    <t>Avenida Alfonso Ugarte, 1006, Lima, Lima Metropolitana, Lima, 15082, Perú, (Ruta4507nueva era 23-10-23)</t>
  </si>
  <si>
    <t>Avenida Alfonso Ugarte, Breña, Lima Metropolitana, Lima, 15082, Perú, (S01Alfonso Ugarte/ Metro, Ruta4507nueva era 23-10-23)</t>
  </si>
  <si>
    <t>Avenida Guzmán Blanco, 199, Lima, Lima Metropolitana, Lima, 15083, Perú</t>
  </si>
  <si>
    <t>Avenida Paseo de la República, 385, La Victoria, Lima Metropolitana, Lima, 15001, Perú</t>
  </si>
  <si>
    <t>Calle Angel Cepollini, San Luis, Lima Metropolitana, Lima, 15019, Perú</t>
  </si>
  <si>
    <t>Avenida Circunvalación, San Luis, Lima Metropolitana, Lima, 15019, Perú</t>
  </si>
  <si>
    <t>Avenida Paseo de la República, Lima, Lima Metropolitana, Lima, 15083, Perú, (Ruta4507nueva era 23-10-23)</t>
  </si>
  <si>
    <t>Avenida Almirante Miguel Grau, 300, La Victoria, Lima Metropolitana, Lima, 15001, Perú, (Ruta4507nueva era 23-10-23)</t>
  </si>
  <si>
    <t>Jirón Ascope, Lima, Lima Metropolitana, Lima, 15082, Perú, (PARADERO DESTINO ASCOPE, Ruta4507nueva era 23-10-23)</t>
  </si>
  <si>
    <t>Avenida San Martín, Santa Eulalia, Huarochirí, Lima, 15468, Perú</t>
  </si>
  <si>
    <t>Avenida Lima Norte, Santa Eulalia, Huarochirí, Lima, 15468, Perú</t>
  </si>
  <si>
    <t>Calle Abraham Valdelomar, 108, Ricardo Palma, Huarochirí, Lima, 15468, Perú</t>
  </si>
  <si>
    <t>Jirón Cornelio Borda, Lima, Lima Metropolitana, Lima, 15082, Perú</t>
  </si>
  <si>
    <t>Corcona, Huarochirí, Lima, Perú</t>
  </si>
  <si>
    <t>Jirón Coronel Miguel Baquero, 190, Lima, Lima Metropolitana, Lima, 15082, Perú</t>
  </si>
  <si>
    <t>Chaclacayo, Lima Metropolitana, Lima, 15476, Perú</t>
  </si>
  <si>
    <t>Jirón Cornelio Borda, Lima, Lima Metropolitana, Lima, 15082, Perú, (PARADERO DESTINO ASCOPE)</t>
  </si>
  <si>
    <t>Calle Berlín, Ate, Lima Metropolitana, Lima, 15498, Perú, (RUTA DESVIO TEM.  4507)</t>
  </si>
  <si>
    <t>Avenida Isabel La Católica, 1271, La Victoria, Lima Metropolitana, Lima, 15018, Perú</t>
  </si>
  <si>
    <t>Calle Andrés Avelino Cáceres, 200, Chaclacayo, Lima Metropolitana, Lima, 15474, Perú</t>
  </si>
  <si>
    <t>Avenida Unión, Chaclacayo, Lima Metropolitana, Lima, 15474, Perú</t>
  </si>
  <si>
    <t>Avenida Las Cumbres, Chaclacayo, Lima Metropolitana, Lima, 15472, Perú</t>
  </si>
  <si>
    <t>Jirón Huarochirí, Lima, Lima Metropolitana, Lima, 15082, Perú</t>
  </si>
  <si>
    <t>97 km/h</t>
  </si>
  <si>
    <t>Avenida Santa María, Ate, Lima Metropolitana, Lima, 15498, Perú</t>
  </si>
  <si>
    <t>Carretera Central, Lurigancho, Lima Metropolitana, Lima, 15483, Perú</t>
  </si>
  <si>
    <t>83 km/h</t>
  </si>
  <si>
    <t>Objeto 1</t>
  </si>
  <si>
    <t>Objeto 2</t>
  </si>
  <si>
    <t>Objeto 3</t>
  </si>
  <si>
    <t>Objeto 4</t>
  </si>
  <si>
    <t>Objeto 5</t>
  </si>
  <si>
    <t>Objeto 6</t>
  </si>
  <si>
    <t>Objeto 7</t>
  </si>
  <si>
    <t>Objeto 8</t>
  </si>
  <si>
    <t>Objeto 9</t>
  </si>
  <si>
    <t>Objeto 10</t>
  </si>
  <si>
    <t>Objeto 11</t>
  </si>
  <si>
    <t>Objeto 12</t>
  </si>
  <si>
    <t>Objeto 13</t>
  </si>
  <si>
    <t>Objeto 14</t>
  </si>
  <si>
    <t>Objeto 15</t>
  </si>
  <si>
    <t>Objeto 16</t>
  </si>
  <si>
    <t>Objeto 17</t>
  </si>
  <si>
    <t>Objeto 18</t>
  </si>
  <si>
    <t>Objeto 19</t>
  </si>
  <si>
    <t>Objeto 20</t>
  </si>
  <si>
    <t>Objeto 21</t>
  </si>
  <si>
    <t>Objeto 22</t>
  </si>
  <si>
    <t>Objeto 23</t>
  </si>
  <si>
    <t>Objeto 24</t>
  </si>
  <si>
    <t>Objeto 25</t>
  </si>
  <si>
    <t>Objeto 26</t>
  </si>
  <si>
    <t>Objeto 27</t>
  </si>
  <si>
    <t>Objeto 28</t>
  </si>
  <si>
    <t>Objeto 29</t>
  </si>
  <si>
    <t>Objeto 30</t>
  </si>
  <si>
    <t>Objeto 31</t>
  </si>
  <si>
    <t>Objeto 32</t>
  </si>
  <si>
    <t>Objeto 33</t>
  </si>
  <si>
    <t>Objeto 34</t>
  </si>
  <si>
    <t>Objeto 35</t>
  </si>
  <si>
    <t>Objeto 36</t>
  </si>
  <si>
    <t>Objeto 37</t>
  </si>
  <si>
    <t>Objeto 38</t>
  </si>
  <si>
    <t>Objeto 39</t>
  </si>
  <si>
    <t>Objeto 40</t>
  </si>
  <si>
    <t>Objeto 41</t>
  </si>
  <si>
    <t>Objeto 42</t>
  </si>
  <si>
    <t>Objeto 43</t>
  </si>
  <si>
    <t>Objeto 44</t>
  </si>
  <si>
    <t>Objeto 45</t>
  </si>
  <si>
    <t>Objeto 46</t>
  </si>
  <si>
    <t>Objeto 47</t>
  </si>
  <si>
    <t>Objeto 48</t>
  </si>
  <si>
    <t>Objeto 49</t>
  </si>
  <si>
    <t>Objeto 50</t>
  </si>
  <si>
    <t>Objeto 51</t>
  </si>
  <si>
    <t>Objeto 52</t>
  </si>
  <si>
    <t>Objeto 53</t>
  </si>
  <si>
    <t>Objeto 54</t>
  </si>
  <si>
    <t>Objeto 55</t>
  </si>
  <si>
    <t>Objeto 56</t>
  </si>
  <si>
    <t>Objeto 57</t>
  </si>
  <si>
    <t>Objeto 58</t>
  </si>
  <si>
    <t>Objeto 59</t>
  </si>
  <si>
    <t>Objeto 60</t>
  </si>
  <si>
    <t>Objeto 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</si>
</sst>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:mm:ss"/>
    <numFmt numFmtId="165" formatCode="&quot;&quot;#,##0.0##&quot; km&quot;"/>
  </numFmts>
  <fonts count="5" x14ac:knownFonts="1">
    <font>
      <sz val="11"/>
      <color theme="1"/>
      <name val="Calibri"/>
      <family val="2"/>
      <scheme val="minor"/>
    </font>
    <font>
      <b/>
      <sz val="18"/>
      <name val="Calibri"/>
    </font>
    <font>
      <b/>
      <sz val="11"/>
      <name val="Calibri"/>
    </font>
    <font>
      <i/>
      <sz val="11"/>
      <name val="Calibri"/>
    </font>
    <font>
      <b/>
      <sz val="16"/>
      <name val="Calibri"/>
    </font>
  </fonts>
  <fills count="3">
    <fill>
      <patternFill patternType="none"/>
    </fill>
    <fill>
      <patternFill patternType="gray125"/>
    </fill>
    <fill>
      <patternFill patternType="darkTrellis">
        <fgColor rgb="FFD9D9D9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wrapText="1"/>
    </xf>
    <xf numFmtId="164" fontId="0" fillId="0" borderId="0" xfId="0" applyNumberFormat="1"/>
    <xf numFmtId="165" fontId="0" fillId="0" borderId="0" xfId="0" applyNumberFormat="1"/>
    <xf numFmtId="46" fontId="0" fillId="0" borderId="0" xfId="0" applyNumberFormat="1"/>
    <xf numFmtId="0" fontId="0" fillId="2" borderId="2" xfId="0" applyFill="1" applyBorder="1"/>
    <xf numFmtId="165" fontId="0" fillId="2" borderId="2" xfId="0" applyNumberFormat="1" applyFill="1" applyBorder="1"/>
    <xf numFmtId="46" fontId="0" fillId="2" borderId="2" xfId="0" applyNumberFormat="1" applyFill="1" applyBorder="1"/>
    <xf numFmtId="0" fontId="3" fillId="0" borderId="0" xfId="0" applyFont="1"/>
    <xf numFmtId="0" fontId="4" fillId="0" borderId="0" xfId="0" applyFont="1"/>
    <xf numFmtId="0" fontId="1" fillId="0" borderId="0" xfId="0" applyFont="1"/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M1474"/>
  <sheetViews>
    <sheetView tabSelected="1" workbookViewId="0">
      <selection sqref="A1:J1"/>
    </sheetView>
  </sheetViews>
  <sheetFormatPr baseColWidth="10" defaultColWidth="9.140625" defaultRowHeight="15" x14ac:dyDescent="0.25"/>
  <cols>
    <col min="1" max="30" width="19" customWidth="1"/>
  </cols>
  <sheetData>
    <row r="1" spans="1:13" ht="24" customHeight="1" x14ac:dyDescent="0.3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</row>
    <row r="2" spans="1:13" x14ac:dyDescent="0.25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</row>
    <row r="3" spans="1:13" x14ac:dyDescent="0.25">
      <c r="A3" s="12" t="s">
        <v>2</v>
      </c>
      <c r="B3" s="12"/>
      <c r="C3" s="12"/>
      <c r="D3" s="12"/>
      <c r="E3" s="12"/>
      <c r="F3" s="12"/>
      <c r="G3" s="12"/>
      <c r="H3" s="12"/>
      <c r="I3" s="12"/>
      <c r="J3" s="12"/>
    </row>
    <row r="4" spans="1:13" x14ac:dyDescent="0.25">
      <c r="A4" s="12" t="s">
        <v>3</v>
      </c>
      <c r="B4" s="12"/>
      <c r="C4" s="12"/>
      <c r="D4" s="12"/>
      <c r="E4" s="12"/>
      <c r="F4" s="12"/>
      <c r="G4" s="12"/>
      <c r="H4" s="12"/>
      <c r="I4" s="12"/>
      <c r="J4" s="12"/>
    </row>
    <row r="5" spans="1:13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</row>
    <row r="6" spans="1:13" s="1" customFormat="1" x14ac:dyDescent="0.25">
      <c r="A6" s="13" t="s">
        <v>4</v>
      </c>
      <c r="B6" s="13"/>
      <c r="C6" s="13"/>
      <c r="D6" s="13"/>
      <c r="E6" s="13"/>
      <c r="F6" s="13"/>
      <c r="G6" s="13"/>
      <c r="H6" s="13"/>
      <c r="I6" s="13"/>
      <c r="J6" s="13"/>
    </row>
    <row r="7" spans="1:13" ht="30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  <c r="K7" s="2" t="s">
        <v>15</v>
      </c>
      <c r="L7" s="2" t="s">
        <v>16</v>
      </c>
      <c r="M7" s="2" t="s">
        <v>17</v>
      </c>
    </row>
    <row r="8" spans="1:13" x14ac:dyDescent="0.25">
      <c r="A8" t="s">
        <v>467</v>
      </c>
      <c r="B8" s="3">
        <v>45714.18476851852</v>
      </c>
      <c r="C8" t="s">
        <v>18</v>
      </c>
      <c r="D8" s="3">
        <v>45714.998796296291</v>
      </c>
      <c r="E8" t="s">
        <v>18</v>
      </c>
      <c r="F8" s="4">
        <v>257.101</v>
      </c>
      <c r="G8" s="4">
        <v>516562.37</v>
      </c>
      <c r="H8" s="4">
        <v>516819.47100000002</v>
      </c>
      <c r="I8" s="5">
        <f>15632 / 86400</f>
        <v>0.18092592592592593</v>
      </c>
      <c r="J8" t="s">
        <v>19</v>
      </c>
      <c r="K8" t="s">
        <v>20</v>
      </c>
      <c r="L8" s="5">
        <f>51007 / 86400</f>
        <v>0.59035879629629628</v>
      </c>
      <c r="M8" s="5">
        <f>35385 / 86400</f>
        <v>0.40954861111111113</v>
      </c>
    </row>
    <row r="9" spans="1:13" x14ac:dyDescent="0.25">
      <c r="A9" t="s">
        <v>468</v>
      </c>
      <c r="B9" s="3">
        <v>45714.098217592589</v>
      </c>
      <c r="C9" t="s">
        <v>21</v>
      </c>
      <c r="D9" s="3">
        <v>45714.574571759258</v>
      </c>
      <c r="E9" t="s">
        <v>21</v>
      </c>
      <c r="F9" s="4">
        <v>0</v>
      </c>
      <c r="G9" s="4">
        <v>20850.677</v>
      </c>
      <c r="H9" s="4">
        <v>20850.677</v>
      </c>
      <c r="I9" s="5">
        <f>37954 / 86400</f>
        <v>0.43928240740740743</v>
      </c>
      <c r="J9" t="s">
        <v>22</v>
      </c>
      <c r="K9" t="s">
        <v>22</v>
      </c>
      <c r="L9" s="5">
        <f>38007 / 86400</f>
        <v>0.43989583333333332</v>
      </c>
      <c r="M9" s="5">
        <f>48388 / 86400</f>
        <v>0.56004629629629632</v>
      </c>
    </row>
    <row r="10" spans="1:13" x14ac:dyDescent="0.25">
      <c r="A10" t="s">
        <v>469</v>
      </c>
      <c r="B10" s="3">
        <v>45714.189953703702</v>
      </c>
      <c r="C10" t="s">
        <v>23</v>
      </c>
      <c r="D10" s="3">
        <v>45714.916979166665</v>
      </c>
      <c r="E10" t="s">
        <v>23</v>
      </c>
      <c r="F10" s="4">
        <v>168.74299999999999</v>
      </c>
      <c r="G10" s="4">
        <v>330593.8</v>
      </c>
      <c r="H10" s="4">
        <v>330762.54300000001</v>
      </c>
      <c r="I10" s="5">
        <f>10265 / 86400</f>
        <v>0.11880787037037037</v>
      </c>
      <c r="J10" t="s">
        <v>24</v>
      </c>
      <c r="K10" t="s">
        <v>25</v>
      </c>
      <c r="L10" s="5">
        <f>32208 / 86400</f>
        <v>0.37277777777777776</v>
      </c>
      <c r="M10" s="5">
        <f>54181 / 86400</f>
        <v>0.62709490740740736</v>
      </c>
    </row>
    <row r="11" spans="1:13" x14ac:dyDescent="0.25">
      <c r="A11" t="s">
        <v>470</v>
      </c>
      <c r="B11" s="3">
        <v>45714.290972222225</v>
      </c>
      <c r="C11" t="s">
        <v>26</v>
      </c>
      <c r="D11" s="3">
        <v>45714.943657407406</v>
      </c>
      <c r="E11" t="s">
        <v>26</v>
      </c>
      <c r="F11" s="4">
        <v>203.76</v>
      </c>
      <c r="G11" s="4">
        <v>22127.379000000001</v>
      </c>
      <c r="H11" s="4">
        <v>22331.138999999999</v>
      </c>
      <c r="I11" s="5">
        <f>13670 / 86400</f>
        <v>0.1582175925925926</v>
      </c>
      <c r="J11" t="s">
        <v>27</v>
      </c>
      <c r="K11" t="s">
        <v>28</v>
      </c>
      <c r="L11" s="5">
        <f>44829 / 86400</f>
        <v>0.51885416666666662</v>
      </c>
      <c r="M11" s="5">
        <f>41567 / 86400</f>
        <v>0.48109953703703706</v>
      </c>
    </row>
    <row r="12" spans="1:13" x14ac:dyDescent="0.25">
      <c r="A12" t="s">
        <v>471</v>
      </c>
      <c r="B12" s="3">
        <v>45714.243518518517</v>
      </c>
      <c r="C12" t="s">
        <v>29</v>
      </c>
      <c r="D12" s="3">
        <v>45714.929189814815</v>
      </c>
      <c r="E12" t="s">
        <v>29</v>
      </c>
      <c r="F12" s="4">
        <v>218.995</v>
      </c>
      <c r="G12" s="4">
        <v>515779.60200000001</v>
      </c>
      <c r="H12" s="4">
        <v>515998.59700000001</v>
      </c>
      <c r="I12" s="5">
        <f>15656 / 86400</f>
        <v>0.1812037037037037</v>
      </c>
      <c r="J12" t="s">
        <v>30</v>
      </c>
      <c r="K12" t="s">
        <v>28</v>
      </c>
      <c r="L12" s="5">
        <f>48149 / 86400</f>
        <v>0.55728009259259259</v>
      </c>
      <c r="M12" s="5">
        <f>38246 / 86400</f>
        <v>0.44266203703703705</v>
      </c>
    </row>
    <row r="13" spans="1:13" x14ac:dyDescent="0.25">
      <c r="A13" t="s">
        <v>472</v>
      </c>
      <c r="B13" s="3">
        <v>45714.406192129631</v>
      </c>
      <c r="C13" t="s">
        <v>26</v>
      </c>
      <c r="D13" s="3">
        <v>45714.656817129631</v>
      </c>
      <c r="E13" t="s">
        <v>26</v>
      </c>
      <c r="F13" s="4">
        <v>0.32800000000000001</v>
      </c>
      <c r="G13" s="4">
        <v>93384.952000000005</v>
      </c>
      <c r="H13" s="4">
        <v>93385.279999999999</v>
      </c>
      <c r="I13" s="5">
        <f>377 / 86400</f>
        <v>4.363425925925926E-3</v>
      </c>
      <c r="J13" t="s">
        <v>31</v>
      </c>
      <c r="K13" t="s">
        <v>32</v>
      </c>
      <c r="L13" s="5">
        <f>642 / 86400</f>
        <v>7.4305555555555557E-3</v>
      </c>
      <c r="M13" s="5">
        <f>85756 / 86400</f>
        <v>0.99254629629629632</v>
      </c>
    </row>
    <row r="14" spans="1:13" x14ac:dyDescent="0.25">
      <c r="A14" t="s">
        <v>473</v>
      </c>
      <c r="B14" s="3">
        <v>45714.179872685185</v>
      </c>
      <c r="C14" t="s">
        <v>18</v>
      </c>
      <c r="D14" s="3">
        <v>45714.808206018519</v>
      </c>
      <c r="E14" t="s">
        <v>18</v>
      </c>
      <c r="F14" s="4">
        <v>232.523</v>
      </c>
      <c r="G14" s="4">
        <v>140759.50399999999</v>
      </c>
      <c r="H14" s="4">
        <v>140992.027</v>
      </c>
      <c r="I14" s="5">
        <f>13073 / 86400</f>
        <v>0.15130787037037038</v>
      </c>
      <c r="J14" t="s">
        <v>33</v>
      </c>
      <c r="K14" t="s">
        <v>25</v>
      </c>
      <c r="L14" s="5">
        <f>44315 / 86400</f>
        <v>0.51290509259259254</v>
      </c>
      <c r="M14" s="5">
        <f>42080 / 86400</f>
        <v>0.48703703703703705</v>
      </c>
    </row>
    <row r="15" spans="1:13" x14ac:dyDescent="0.25">
      <c r="A15" t="s">
        <v>474</v>
      </c>
      <c r="B15" s="3">
        <v>45714.248530092591</v>
      </c>
      <c r="C15" t="s">
        <v>34</v>
      </c>
      <c r="D15" s="3">
        <v>45714.99998842593</v>
      </c>
      <c r="E15" t="s">
        <v>35</v>
      </c>
      <c r="F15" s="4">
        <v>283.37579107040165</v>
      </c>
      <c r="G15" s="4">
        <v>350707.18941485637</v>
      </c>
      <c r="H15" s="4">
        <v>351010.02262369834</v>
      </c>
      <c r="I15" s="5">
        <f>0 / 86400</f>
        <v>0</v>
      </c>
      <c r="J15" t="s">
        <v>36</v>
      </c>
      <c r="K15" t="s">
        <v>37</v>
      </c>
      <c r="L15" s="5">
        <f>43401 / 86400</f>
        <v>0.50232638888888892</v>
      </c>
      <c r="M15" s="5">
        <f>42998 / 86400</f>
        <v>0.49766203703703704</v>
      </c>
    </row>
    <row r="16" spans="1:13" x14ac:dyDescent="0.25">
      <c r="A16" t="s">
        <v>475</v>
      </c>
      <c r="B16" s="3">
        <v>45714.286435185189</v>
      </c>
      <c r="C16" t="s">
        <v>38</v>
      </c>
      <c r="D16" s="3">
        <v>45714.898043981477</v>
      </c>
      <c r="E16" t="s">
        <v>39</v>
      </c>
      <c r="F16" s="4">
        <v>200.82</v>
      </c>
      <c r="G16" s="4">
        <v>510481.565</v>
      </c>
      <c r="H16" s="4">
        <v>510682.38500000001</v>
      </c>
      <c r="I16" s="5">
        <f>14820 / 86400</f>
        <v>0.17152777777777778</v>
      </c>
      <c r="J16" t="s">
        <v>40</v>
      </c>
      <c r="K16" t="s">
        <v>28</v>
      </c>
      <c r="L16" s="5">
        <f>46632 / 86400</f>
        <v>0.53972222222222221</v>
      </c>
      <c r="M16" s="5">
        <f>39760 / 86400</f>
        <v>0.4601851851851852</v>
      </c>
    </row>
    <row r="17" spans="1:13" x14ac:dyDescent="0.25">
      <c r="A17" t="s">
        <v>476</v>
      </c>
      <c r="B17" s="3">
        <v>45714.239560185189</v>
      </c>
      <c r="C17" t="s">
        <v>41</v>
      </c>
      <c r="D17" s="3">
        <v>45714.946435185186</v>
      </c>
      <c r="E17" t="s">
        <v>41</v>
      </c>
      <c r="F17" s="4">
        <v>195.65099999999998</v>
      </c>
      <c r="G17" s="4">
        <v>409381.29599999997</v>
      </c>
      <c r="H17" s="4">
        <v>409576.97399999999</v>
      </c>
      <c r="I17" s="5">
        <f>20795 / 86400</f>
        <v>0.24068287037037037</v>
      </c>
      <c r="J17" t="s">
        <v>27</v>
      </c>
      <c r="K17" t="s">
        <v>42</v>
      </c>
      <c r="L17" s="5">
        <f>53269 / 86400</f>
        <v>0.61653935185185182</v>
      </c>
      <c r="M17" s="5">
        <f>33126 / 86400</f>
        <v>0.38340277777777776</v>
      </c>
    </row>
    <row r="18" spans="1:13" x14ac:dyDescent="0.25">
      <c r="A18" t="s">
        <v>477</v>
      </c>
      <c r="B18" s="3">
        <v>45714.266168981485</v>
      </c>
      <c r="C18" t="s">
        <v>43</v>
      </c>
      <c r="D18" s="3">
        <v>45714.639641203699</v>
      </c>
      <c r="E18" t="s">
        <v>43</v>
      </c>
      <c r="F18" s="4">
        <v>103.54300000000001</v>
      </c>
      <c r="G18" s="4">
        <v>439309.51500000001</v>
      </c>
      <c r="H18" s="4">
        <v>439413.05800000002</v>
      </c>
      <c r="I18" s="5">
        <f>8075 / 86400</f>
        <v>9.3460648148148154E-2</v>
      </c>
      <c r="J18" t="s">
        <v>24</v>
      </c>
      <c r="K18" t="s">
        <v>28</v>
      </c>
      <c r="L18" s="5">
        <f>23359 / 86400</f>
        <v>0.27035879629629628</v>
      </c>
      <c r="M18" s="5">
        <f>63038 / 86400</f>
        <v>0.72960648148148144</v>
      </c>
    </row>
    <row r="19" spans="1:13" x14ac:dyDescent="0.25">
      <c r="A19" t="s">
        <v>478</v>
      </c>
      <c r="B19" s="3">
        <v>45714.223773148144</v>
      </c>
      <c r="C19" t="s">
        <v>44</v>
      </c>
      <c r="D19" s="3">
        <v>45714.878935185188</v>
      </c>
      <c r="E19" t="s">
        <v>44</v>
      </c>
      <c r="F19" s="4">
        <v>199.251</v>
      </c>
      <c r="G19" s="4">
        <v>56849.118999999999</v>
      </c>
      <c r="H19" s="4">
        <v>57048.37</v>
      </c>
      <c r="I19" s="5">
        <f>16605 / 86400</f>
        <v>0.19218750000000001</v>
      </c>
      <c r="J19" t="s">
        <v>45</v>
      </c>
      <c r="K19" t="s">
        <v>46</v>
      </c>
      <c r="L19" s="5">
        <f>46330 / 86400</f>
        <v>0.53622685185185182</v>
      </c>
      <c r="M19" s="5">
        <f>40064 / 86400</f>
        <v>0.46370370370370373</v>
      </c>
    </row>
    <row r="20" spans="1:13" x14ac:dyDescent="0.25">
      <c r="A20" t="s">
        <v>479</v>
      </c>
      <c r="B20" s="3">
        <v>45714.206250000003</v>
      </c>
      <c r="C20" t="s">
        <v>47</v>
      </c>
      <c r="D20" s="3">
        <v>45714.990277777775</v>
      </c>
      <c r="E20" t="s">
        <v>47</v>
      </c>
      <c r="F20" s="4">
        <v>276.541</v>
      </c>
      <c r="G20" s="4">
        <v>217451.56599999999</v>
      </c>
      <c r="H20" s="4">
        <v>217728.10699999999</v>
      </c>
      <c r="I20" s="5">
        <f>19694 / 86400</f>
        <v>0.22793981481481482</v>
      </c>
      <c r="J20" t="s">
        <v>48</v>
      </c>
      <c r="K20" t="s">
        <v>20</v>
      </c>
      <c r="L20" s="5">
        <f>54998 / 86400</f>
        <v>0.63655092592592588</v>
      </c>
      <c r="M20" s="5">
        <f>31397 / 86400</f>
        <v>0.3633912037037037</v>
      </c>
    </row>
    <row r="21" spans="1:13" x14ac:dyDescent="0.25">
      <c r="A21" t="s">
        <v>480</v>
      </c>
      <c r="B21" s="3">
        <v>45714.23436342593</v>
      </c>
      <c r="C21" t="s">
        <v>49</v>
      </c>
      <c r="D21" s="3">
        <v>45714.903831018513</v>
      </c>
      <c r="E21" t="s">
        <v>50</v>
      </c>
      <c r="F21" s="4">
        <v>187.17700000005959</v>
      </c>
      <c r="G21" s="4">
        <v>527420.34699999995</v>
      </c>
      <c r="H21" s="4">
        <v>527607.52399999998</v>
      </c>
      <c r="I21" s="5">
        <f>18175 / 86400</f>
        <v>0.21035879629629631</v>
      </c>
      <c r="J21" t="s">
        <v>51</v>
      </c>
      <c r="K21" t="s">
        <v>52</v>
      </c>
      <c r="L21" s="5">
        <f>48790 / 86400</f>
        <v>0.56469907407407405</v>
      </c>
      <c r="M21" s="5">
        <f>37604 / 86400</f>
        <v>0.4352314814814815</v>
      </c>
    </row>
    <row r="22" spans="1:13" x14ac:dyDescent="0.25">
      <c r="A22" t="s">
        <v>481</v>
      </c>
      <c r="B22" s="3">
        <v>45714.250289351854</v>
      </c>
      <c r="C22" t="s">
        <v>53</v>
      </c>
      <c r="D22" s="3">
        <v>45714.869513888887</v>
      </c>
      <c r="E22" t="s">
        <v>53</v>
      </c>
      <c r="F22" s="4">
        <v>99.831999999999994</v>
      </c>
      <c r="G22" s="4">
        <v>346858.35499999998</v>
      </c>
      <c r="H22" s="4">
        <v>346958.18699999998</v>
      </c>
      <c r="I22" s="5">
        <f>8960 / 86400</f>
        <v>0.1037037037037037</v>
      </c>
      <c r="J22" t="s">
        <v>54</v>
      </c>
      <c r="K22" t="s">
        <v>46</v>
      </c>
      <c r="L22" s="5">
        <f>23645 / 86400</f>
        <v>0.2736689814814815</v>
      </c>
      <c r="M22" s="5">
        <f>62751 / 86400</f>
        <v>0.72628472222222218</v>
      </c>
    </row>
    <row r="23" spans="1:13" x14ac:dyDescent="0.25">
      <c r="A23" t="s">
        <v>482</v>
      </c>
      <c r="B23" s="3">
        <v>45714.245937500003</v>
      </c>
      <c r="C23" t="s">
        <v>55</v>
      </c>
      <c r="D23" s="3">
        <v>45714.812835648147</v>
      </c>
      <c r="E23" t="s">
        <v>55</v>
      </c>
      <c r="F23" s="4">
        <v>188.42200000000003</v>
      </c>
      <c r="G23" s="4">
        <v>427515.33799999999</v>
      </c>
      <c r="H23" s="4">
        <v>427703.76</v>
      </c>
      <c r="I23" s="5">
        <f>10257 / 86400</f>
        <v>0.11871527777777778</v>
      </c>
      <c r="J23" t="s">
        <v>56</v>
      </c>
      <c r="K23" t="s">
        <v>20</v>
      </c>
      <c r="L23" s="5">
        <f>37351 / 86400</f>
        <v>0.43230324074074072</v>
      </c>
      <c r="M23" s="5">
        <f>49041 / 86400</f>
        <v>0.56760416666666669</v>
      </c>
    </row>
    <row r="24" spans="1:13" x14ac:dyDescent="0.25">
      <c r="A24" t="s">
        <v>483</v>
      </c>
      <c r="B24" s="3">
        <v>45714.234398148154</v>
      </c>
      <c r="C24" t="s">
        <v>26</v>
      </c>
      <c r="D24" s="3">
        <v>45714.775347222225</v>
      </c>
      <c r="E24" t="s">
        <v>26</v>
      </c>
      <c r="F24" s="4">
        <v>180.62800000000001</v>
      </c>
      <c r="G24" s="4">
        <v>14848.36</v>
      </c>
      <c r="H24" s="4">
        <v>15028.987999999999</v>
      </c>
      <c r="I24" s="5">
        <f>17450 / 86400</f>
        <v>0.20196759259259259</v>
      </c>
      <c r="J24" t="s">
        <v>57</v>
      </c>
      <c r="K24" t="s">
        <v>46</v>
      </c>
      <c r="L24" s="5">
        <f>42825 / 86400</f>
        <v>0.49565972222222221</v>
      </c>
      <c r="M24" s="5">
        <f>43568 / 86400</f>
        <v>0.5042592592592593</v>
      </c>
    </row>
    <row r="25" spans="1:13" x14ac:dyDescent="0.25">
      <c r="A25" t="s">
        <v>484</v>
      </c>
      <c r="B25" s="3">
        <v>45714.266793981486</v>
      </c>
      <c r="C25" t="s">
        <v>58</v>
      </c>
      <c r="D25" s="3">
        <v>45714.841493055559</v>
      </c>
      <c r="E25" t="s">
        <v>58</v>
      </c>
      <c r="F25" s="4">
        <v>159.63300000000001</v>
      </c>
      <c r="G25" s="4">
        <v>140054.962</v>
      </c>
      <c r="H25" s="4">
        <v>140214.595</v>
      </c>
      <c r="I25" s="5">
        <f>11714 / 86400</f>
        <v>0.1355787037037037</v>
      </c>
      <c r="J25" t="s">
        <v>40</v>
      </c>
      <c r="K25" t="s">
        <v>28</v>
      </c>
      <c r="L25" s="5">
        <f>35559 / 86400</f>
        <v>0.4115625</v>
      </c>
      <c r="M25" s="5">
        <f>50834 / 86400</f>
        <v>0.58835648148148145</v>
      </c>
    </row>
    <row r="26" spans="1:13" x14ac:dyDescent="0.25">
      <c r="A26" t="s">
        <v>485</v>
      </c>
      <c r="B26" s="3">
        <v>45714.212280092594</v>
      </c>
      <c r="C26" t="s">
        <v>59</v>
      </c>
      <c r="D26" s="3">
        <v>45714.761215277773</v>
      </c>
      <c r="E26" t="s">
        <v>59</v>
      </c>
      <c r="F26" s="4">
        <v>188.41299999999998</v>
      </c>
      <c r="G26" s="4">
        <v>388936.52600000001</v>
      </c>
      <c r="H26" s="4">
        <v>389124.93900000001</v>
      </c>
      <c r="I26" s="5">
        <f>13640 / 86400</f>
        <v>0.15787037037037038</v>
      </c>
      <c r="J26" t="s">
        <v>60</v>
      </c>
      <c r="K26" t="s">
        <v>61</v>
      </c>
      <c r="L26" s="5">
        <f>40248 / 86400</f>
        <v>0.46583333333333332</v>
      </c>
      <c r="M26" s="5">
        <f>46148 / 86400</f>
        <v>0.53412037037037041</v>
      </c>
    </row>
    <row r="27" spans="1:13" x14ac:dyDescent="0.25">
      <c r="A27" t="s">
        <v>486</v>
      </c>
      <c r="B27" s="3">
        <v>45714.23819444445</v>
      </c>
      <c r="C27" t="s">
        <v>59</v>
      </c>
      <c r="D27" s="3">
        <v>45714.861678240741</v>
      </c>
      <c r="E27" t="s">
        <v>59</v>
      </c>
      <c r="F27" s="4">
        <v>230.21400000000003</v>
      </c>
      <c r="G27" s="4">
        <v>392732.11</v>
      </c>
      <c r="H27" s="4">
        <v>392962.32400000002</v>
      </c>
      <c r="I27" s="5">
        <f>16194 / 86400</f>
        <v>0.18743055555555554</v>
      </c>
      <c r="J27" t="s">
        <v>51</v>
      </c>
      <c r="K27" t="s">
        <v>61</v>
      </c>
      <c r="L27" s="5">
        <f>49504 / 86400</f>
        <v>0.57296296296296301</v>
      </c>
      <c r="M27" s="5">
        <f>36893 / 86400</f>
        <v>0.42700231481481482</v>
      </c>
    </row>
    <row r="28" spans="1:13" x14ac:dyDescent="0.25">
      <c r="A28" t="s">
        <v>487</v>
      </c>
      <c r="B28" s="3">
        <v>45714.146967592591</v>
      </c>
      <c r="C28" t="s">
        <v>62</v>
      </c>
      <c r="D28" s="3">
        <v>45714.813333333332</v>
      </c>
      <c r="E28" t="s">
        <v>62</v>
      </c>
      <c r="F28" s="4">
        <v>254.9820000001192</v>
      </c>
      <c r="G28" s="4">
        <v>526080.53599999996</v>
      </c>
      <c r="H28" s="4">
        <v>526335.51800000004</v>
      </c>
      <c r="I28" s="5">
        <f>11819 / 86400</f>
        <v>0.13679398148148147</v>
      </c>
      <c r="J28" t="s">
        <v>63</v>
      </c>
      <c r="K28" t="s">
        <v>64</v>
      </c>
      <c r="L28" s="5">
        <f>45849 / 86400</f>
        <v>0.53065972222222224</v>
      </c>
      <c r="M28" s="5">
        <f>40542 / 86400</f>
        <v>0.46923611111111113</v>
      </c>
    </row>
    <row r="29" spans="1:13" x14ac:dyDescent="0.25">
      <c r="A29" t="s">
        <v>488</v>
      </c>
      <c r="B29" s="3">
        <v>45714</v>
      </c>
      <c r="C29" t="s">
        <v>65</v>
      </c>
      <c r="D29" s="3">
        <v>45714.980891203704</v>
      </c>
      <c r="E29" t="s">
        <v>66</v>
      </c>
      <c r="F29" s="4">
        <v>154.279</v>
      </c>
      <c r="G29" s="4">
        <v>413685.163</v>
      </c>
      <c r="H29" s="4">
        <v>413839.44199999998</v>
      </c>
      <c r="I29" s="5">
        <f>11679 / 86400</f>
        <v>0.13517361111111112</v>
      </c>
      <c r="J29" t="s">
        <v>67</v>
      </c>
      <c r="K29" t="s">
        <v>46</v>
      </c>
      <c r="L29" s="5">
        <f>35874 / 86400</f>
        <v>0.41520833333333335</v>
      </c>
      <c r="M29" s="5">
        <f>50522 / 86400</f>
        <v>0.58474537037037033</v>
      </c>
    </row>
    <row r="30" spans="1:13" x14ac:dyDescent="0.25">
      <c r="A30" t="s">
        <v>489</v>
      </c>
      <c r="B30" s="3">
        <v>45714.28628472222</v>
      </c>
      <c r="C30" t="s">
        <v>68</v>
      </c>
      <c r="D30" s="3">
        <v>45714.345451388886</v>
      </c>
      <c r="E30" t="s">
        <v>53</v>
      </c>
      <c r="F30" s="4">
        <v>3.4809999999999999</v>
      </c>
      <c r="G30" s="4">
        <v>404858.73300000001</v>
      </c>
      <c r="H30" s="4">
        <v>404862.21399999998</v>
      </c>
      <c r="I30" s="5">
        <f>618 / 86400</f>
        <v>7.1527777777777779E-3</v>
      </c>
      <c r="J30" t="s">
        <v>69</v>
      </c>
      <c r="K30" t="s">
        <v>70</v>
      </c>
      <c r="L30" s="5">
        <f>1436 / 86400</f>
        <v>1.6620370370370369E-2</v>
      </c>
      <c r="M30" s="5">
        <f>84959 / 86400</f>
        <v>0.98332175925925924</v>
      </c>
    </row>
    <row r="31" spans="1:13" x14ac:dyDescent="0.25">
      <c r="A31" t="s">
        <v>490</v>
      </c>
      <c r="B31" s="3">
        <v>45714.264039351852</v>
      </c>
      <c r="C31" t="s">
        <v>71</v>
      </c>
      <c r="D31" s="3">
        <v>45714.784050925926</v>
      </c>
      <c r="E31" t="s">
        <v>71</v>
      </c>
      <c r="F31" s="4">
        <v>173.15400000000002</v>
      </c>
      <c r="G31" s="4">
        <v>408672.40500000003</v>
      </c>
      <c r="H31" s="4">
        <v>408845.55900000001</v>
      </c>
      <c r="I31" s="5">
        <f>12230 / 86400</f>
        <v>0.14155092592592591</v>
      </c>
      <c r="J31" t="s">
        <v>57</v>
      </c>
      <c r="K31" t="s">
        <v>61</v>
      </c>
      <c r="L31" s="5">
        <f>37064 / 86400</f>
        <v>0.42898148148148146</v>
      </c>
      <c r="M31" s="5">
        <f>49328 / 86400</f>
        <v>0.57092592592592595</v>
      </c>
    </row>
    <row r="32" spans="1:13" x14ac:dyDescent="0.25">
      <c r="A32" t="s">
        <v>491</v>
      </c>
      <c r="B32" s="3">
        <v>45714.294120370367</v>
      </c>
      <c r="C32" t="s">
        <v>72</v>
      </c>
      <c r="D32" s="3">
        <v>45714.729027777779</v>
      </c>
      <c r="E32" t="s">
        <v>72</v>
      </c>
      <c r="F32" s="4">
        <v>124.666</v>
      </c>
      <c r="G32" s="4">
        <v>349193.69199999998</v>
      </c>
      <c r="H32" s="4">
        <v>349318.359</v>
      </c>
      <c r="I32" s="5">
        <f>13979 / 86400</f>
        <v>0.16179398148148147</v>
      </c>
      <c r="J32" t="s">
        <v>27</v>
      </c>
      <c r="K32" t="s">
        <v>52</v>
      </c>
      <c r="L32" s="5">
        <f>33200 / 86400</f>
        <v>0.38425925925925924</v>
      </c>
      <c r="M32" s="5">
        <f>53199 / 86400</f>
        <v>0.61572916666666666</v>
      </c>
    </row>
    <row r="33" spans="1:13" x14ac:dyDescent="0.25">
      <c r="A33" t="s">
        <v>492</v>
      </c>
      <c r="B33" s="3">
        <v>45714.174282407403</v>
      </c>
      <c r="C33" t="s">
        <v>73</v>
      </c>
      <c r="D33" s="3">
        <v>45714.676261574074</v>
      </c>
      <c r="E33" t="s">
        <v>73</v>
      </c>
      <c r="F33" s="4">
        <v>206.38200000000001</v>
      </c>
      <c r="G33" s="4">
        <v>43388.212</v>
      </c>
      <c r="H33" s="4">
        <v>43594.593999999997</v>
      </c>
      <c r="I33" s="5">
        <f>12539 / 86400</f>
        <v>0.14512731481481481</v>
      </c>
      <c r="J33" t="s">
        <v>40</v>
      </c>
      <c r="K33" t="s">
        <v>20</v>
      </c>
      <c r="L33" s="5">
        <f>40802 / 86400</f>
        <v>0.47224537037037034</v>
      </c>
      <c r="M33" s="5">
        <f>45597 / 86400</f>
        <v>0.52774305555555556</v>
      </c>
    </row>
    <row r="34" spans="1:13" x14ac:dyDescent="0.25">
      <c r="A34" t="s">
        <v>493</v>
      </c>
      <c r="B34" s="3">
        <v>45714.284074074079</v>
      </c>
      <c r="C34" t="s">
        <v>59</v>
      </c>
      <c r="D34" s="3">
        <v>45714.99998842593</v>
      </c>
      <c r="E34" t="s">
        <v>74</v>
      </c>
      <c r="F34" s="4">
        <v>-49304.336000000003</v>
      </c>
      <c r="G34" s="4">
        <v>49488.061000000002</v>
      </c>
      <c r="H34" s="4">
        <v>183.72499999999999</v>
      </c>
      <c r="I34" s="5">
        <f>12062 / 86400</f>
        <v>0.13960648148148147</v>
      </c>
      <c r="J34" t="s">
        <v>45</v>
      </c>
      <c r="K34" t="s">
        <v>75</v>
      </c>
      <c r="L34" s="5">
        <f>37077 / 86400</f>
        <v>0.42913194444444447</v>
      </c>
      <c r="M34" s="5">
        <f>49314 / 86400</f>
        <v>0.57076388888888885</v>
      </c>
    </row>
    <row r="35" spans="1:13" x14ac:dyDescent="0.25">
      <c r="A35" t="s">
        <v>494</v>
      </c>
      <c r="B35" s="3">
        <v>45714</v>
      </c>
      <c r="C35" t="s">
        <v>76</v>
      </c>
      <c r="D35" s="3">
        <v>45714.995937500003</v>
      </c>
      <c r="E35" t="s">
        <v>59</v>
      </c>
      <c r="F35" s="4">
        <v>334.76100000000002</v>
      </c>
      <c r="G35" s="4">
        <v>531463.47</v>
      </c>
      <c r="H35" s="4">
        <v>531798.23100000003</v>
      </c>
      <c r="I35" s="5">
        <f>23763 / 86400</f>
        <v>0.27503472222222225</v>
      </c>
      <c r="J35" t="s">
        <v>63</v>
      </c>
      <c r="K35" t="s">
        <v>20</v>
      </c>
      <c r="L35" s="5">
        <f>65851 / 86400</f>
        <v>0.76216435185185183</v>
      </c>
      <c r="M35" s="5">
        <f>20540 / 86400</f>
        <v>0.23773148148148149</v>
      </c>
    </row>
    <row r="36" spans="1:13" x14ac:dyDescent="0.25">
      <c r="A36" t="s">
        <v>495</v>
      </c>
      <c r="B36" s="3">
        <v>45714.287962962961</v>
      </c>
      <c r="C36" t="s">
        <v>26</v>
      </c>
      <c r="D36" s="3">
        <v>45714.782534722224</v>
      </c>
      <c r="E36" t="s">
        <v>26</v>
      </c>
      <c r="F36" s="4">
        <v>5.7000000000000002E-2</v>
      </c>
      <c r="G36" s="4">
        <v>570317.87399999995</v>
      </c>
      <c r="H36" s="4">
        <v>570317.93099999998</v>
      </c>
      <c r="I36" s="5">
        <f>137 / 86400</f>
        <v>1.5856481481481481E-3</v>
      </c>
      <c r="J36" t="s">
        <v>77</v>
      </c>
      <c r="K36" t="s">
        <v>78</v>
      </c>
      <c r="L36" s="5">
        <f>233 / 86400</f>
        <v>2.6967592592592594E-3</v>
      </c>
      <c r="M36" s="5">
        <f>86165 / 86400</f>
        <v>0.99728009259259254</v>
      </c>
    </row>
    <row r="37" spans="1:13" x14ac:dyDescent="0.25">
      <c r="A37" t="s">
        <v>496</v>
      </c>
      <c r="B37" s="3">
        <v>45714.22555555556</v>
      </c>
      <c r="C37" t="s">
        <v>79</v>
      </c>
      <c r="D37" s="3">
        <v>45714.950208333335</v>
      </c>
      <c r="E37" t="s">
        <v>79</v>
      </c>
      <c r="F37" s="4">
        <v>216.17599999999999</v>
      </c>
      <c r="G37" s="4">
        <v>437030.24300000002</v>
      </c>
      <c r="H37" s="4">
        <v>437246.41899999999</v>
      </c>
      <c r="I37" s="5">
        <f>13612 / 86400</f>
        <v>0.1575462962962963</v>
      </c>
      <c r="J37" t="s">
        <v>57</v>
      </c>
      <c r="K37" t="s">
        <v>61</v>
      </c>
      <c r="L37" s="5">
        <f>46282 / 86400</f>
        <v>0.53567129629629628</v>
      </c>
      <c r="M37" s="5">
        <f>40106 / 86400</f>
        <v>0.46418981481481481</v>
      </c>
    </row>
    <row r="38" spans="1:13" x14ac:dyDescent="0.25">
      <c r="A38" t="s">
        <v>497</v>
      </c>
      <c r="B38" s="3">
        <v>45714.23846064815</v>
      </c>
      <c r="C38" t="s">
        <v>47</v>
      </c>
      <c r="D38" s="3">
        <v>45714.914722222224</v>
      </c>
      <c r="E38" t="s">
        <v>80</v>
      </c>
      <c r="F38" s="4">
        <v>200.994</v>
      </c>
      <c r="G38" s="4">
        <v>518070.56699999998</v>
      </c>
      <c r="H38" s="4">
        <v>518272.92700000003</v>
      </c>
      <c r="I38" s="5">
        <f>17573 / 86400</f>
        <v>0.2033912037037037</v>
      </c>
      <c r="J38" t="s">
        <v>45</v>
      </c>
      <c r="K38" t="s">
        <v>46</v>
      </c>
      <c r="L38" s="5">
        <f>49361 / 86400</f>
        <v>0.57130787037037034</v>
      </c>
      <c r="M38" s="5">
        <f>37038 / 86400</f>
        <v>0.42868055555555556</v>
      </c>
    </row>
    <row r="39" spans="1:13" x14ac:dyDescent="0.25">
      <c r="A39" t="s">
        <v>498</v>
      </c>
      <c r="B39" s="3">
        <v>45714.227523148147</v>
      </c>
      <c r="C39" t="s">
        <v>81</v>
      </c>
      <c r="D39" s="3">
        <v>45714.828530092593</v>
      </c>
      <c r="E39" t="s">
        <v>82</v>
      </c>
      <c r="F39" s="4">
        <v>206.64500000000001</v>
      </c>
      <c r="G39" s="4">
        <v>507298.09600000002</v>
      </c>
      <c r="H39" s="4">
        <v>507504.74099999998</v>
      </c>
      <c r="I39" s="5">
        <f>21300 / 86400</f>
        <v>0.24652777777777779</v>
      </c>
      <c r="J39" t="s">
        <v>57</v>
      </c>
      <c r="K39" t="s">
        <v>52</v>
      </c>
      <c r="L39" s="5">
        <f>51927 / 86400</f>
        <v>0.60100694444444447</v>
      </c>
      <c r="M39" s="5">
        <f>34472 / 86400</f>
        <v>0.39898148148148149</v>
      </c>
    </row>
    <row r="40" spans="1:13" x14ac:dyDescent="0.25">
      <c r="A40" t="s">
        <v>499</v>
      </c>
      <c r="B40" s="3">
        <v>45714.216238425928</v>
      </c>
      <c r="C40" t="s">
        <v>83</v>
      </c>
      <c r="D40" s="3">
        <v>45714.64508101852</v>
      </c>
      <c r="E40" t="s">
        <v>83</v>
      </c>
      <c r="F40" s="4">
        <v>124.93600000000001</v>
      </c>
      <c r="G40" s="4">
        <v>412925.37</v>
      </c>
      <c r="H40" s="4">
        <v>413050.30599999998</v>
      </c>
      <c r="I40" s="5">
        <f>6979 / 86400</f>
        <v>8.0775462962962966E-2</v>
      </c>
      <c r="J40" t="s">
        <v>84</v>
      </c>
      <c r="K40" t="s">
        <v>20</v>
      </c>
      <c r="L40" s="5">
        <f>24997 / 86400</f>
        <v>0.28931712962962963</v>
      </c>
      <c r="M40" s="5">
        <f>61398 / 86400</f>
        <v>0.71062499999999995</v>
      </c>
    </row>
    <row r="41" spans="1:13" x14ac:dyDescent="0.25">
      <c r="A41" t="s">
        <v>500</v>
      </c>
      <c r="B41" s="3">
        <v>45714.15</v>
      </c>
      <c r="C41" t="s">
        <v>26</v>
      </c>
      <c r="D41" s="3">
        <v>45714.792893518519</v>
      </c>
      <c r="E41" t="s">
        <v>26</v>
      </c>
      <c r="F41" s="4">
        <v>213.14000000000001</v>
      </c>
      <c r="G41" s="4">
        <v>443735.20799999998</v>
      </c>
      <c r="H41" s="4">
        <v>443948.348</v>
      </c>
      <c r="I41" s="5">
        <f>11078 / 86400</f>
        <v>0.12821759259259261</v>
      </c>
      <c r="J41" t="s">
        <v>85</v>
      </c>
      <c r="K41" t="s">
        <v>20</v>
      </c>
      <c r="L41" s="5">
        <f>42251 / 86400</f>
        <v>0.48901620370370369</v>
      </c>
      <c r="M41" s="5">
        <f>44145 / 86400</f>
        <v>0.51093750000000004</v>
      </c>
    </row>
    <row r="42" spans="1:13" x14ac:dyDescent="0.25">
      <c r="A42" t="s">
        <v>501</v>
      </c>
      <c r="B42" s="3">
        <v>45714.233657407407</v>
      </c>
      <c r="C42" t="s">
        <v>86</v>
      </c>
      <c r="D42" s="3">
        <v>45714.82748842593</v>
      </c>
      <c r="E42" t="s">
        <v>86</v>
      </c>
      <c r="F42" s="4">
        <v>192.233</v>
      </c>
      <c r="G42" s="4">
        <v>476057.48100000003</v>
      </c>
      <c r="H42" s="4">
        <v>476249.71399999998</v>
      </c>
      <c r="I42" s="5">
        <f>16629 / 86400</f>
        <v>0.19246527777777778</v>
      </c>
      <c r="J42" t="s">
        <v>87</v>
      </c>
      <c r="K42" t="s">
        <v>46</v>
      </c>
      <c r="L42" s="5">
        <f>46102 / 86400</f>
        <v>0.53358796296296296</v>
      </c>
      <c r="M42" s="5">
        <f>40294 / 86400</f>
        <v>0.46636574074074072</v>
      </c>
    </row>
    <row r="43" spans="1:13" x14ac:dyDescent="0.25">
      <c r="A43" t="s">
        <v>502</v>
      </c>
      <c r="B43" s="3">
        <v>45714</v>
      </c>
      <c r="C43" t="s">
        <v>65</v>
      </c>
      <c r="D43" s="3">
        <v>45714.990879629629</v>
      </c>
      <c r="E43" t="s">
        <v>82</v>
      </c>
      <c r="F43" s="4">
        <v>156.03</v>
      </c>
      <c r="G43" s="4">
        <v>416469.35200000001</v>
      </c>
      <c r="H43" s="4">
        <v>416625.38199999998</v>
      </c>
      <c r="I43" s="5">
        <f>10279 / 86400</f>
        <v>0.11896990740740741</v>
      </c>
      <c r="J43" t="s">
        <v>88</v>
      </c>
      <c r="K43" t="s">
        <v>25</v>
      </c>
      <c r="L43" s="5">
        <f>29801 / 86400</f>
        <v>0.34491898148148148</v>
      </c>
      <c r="M43" s="5">
        <f>56596 / 86400</f>
        <v>0.65504629629629629</v>
      </c>
    </row>
    <row r="44" spans="1:13" x14ac:dyDescent="0.25">
      <c r="A44" t="s">
        <v>503</v>
      </c>
      <c r="B44" s="3">
        <v>45714</v>
      </c>
      <c r="C44" t="s">
        <v>26</v>
      </c>
      <c r="D44" s="3">
        <v>45714.99998842593</v>
      </c>
      <c r="E44" t="s">
        <v>26</v>
      </c>
      <c r="F44" s="4">
        <v>304.58600000000001</v>
      </c>
      <c r="G44" s="4">
        <v>331218.61</v>
      </c>
      <c r="H44" s="4">
        <v>331523.196</v>
      </c>
      <c r="I44" s="5">
        <f>18528 / 86400</f>
        <v>0.21444444444444444</v>
      </c>
      <c r="J44" t="s">
        <v>87</v>
      </c>
      <c r="K44" t="s">
        <v>20</v>
      </c>
      <c r="L44" s="5">
        <f>62178 / 86400</f>
        <v>0.71965277777777781</v>
      </c>
      <c r="M44" s="5">
        <f>24214 / 86400</f>
        <v>0.2802546296296296</v>
      </c>
    </row>
    <row r="45" spans="1:13" x14ac:dyDescent="0.25">
      <c r="A45" t="s">
        <v>504</v>
      </c>
      <c r="B45" s="3">
        <v>45714.30972222222</v>
      </c>
      <c r="C45" t="s">
        <v>26</v>
      </c>
      <c r="D45" s="3">
        <v>45714.918634259258</v>
      </c>
      <c r="E45" t="s">
        <v>26</v>
      </c>
      <c r="F45" s="4">
        <v>163.17500000000001</v>
      </c>
      <c r="G45" s="4">
        <v>361911.73599999998</v>
      </c>
      <c r="H45" s="4">
        <v>362074.91100000002</v>
      </c>
      <c r="I45" s="5">
        <f>14620 / 86400</f>
        <v>0.16921296296296295</v>
      </c>
      <c r="J45" t="s">
        <v>30</v>
      </c>
      <c r="K45" t="s">
        <v>52</v>
      </c>
      <c r="L45" s="5">
        <f>40942 / 86400</f>
        <v>0.47386574074074073</v>
      </c>
      <c r="M45" s="5">
        <f>45453 / 86400</f>
        <v>0.52607638888888886</v>
      </c>
    </row>
    <row r="46" spans="1:13" x14ac:dyDescent="0.25">
      <c r="A46" t="s">
        <v>505</v>
      </c>
      <c r="B46" s="3">
        <v>45714.278842592597</v>
      </c>
      <c r="C46" t="s">
        <v>89</v>
      </c>
      <c r="D46" s="3">
        <v>45714.866400462968</v>
      </c>
      <c r="E46" t="s">
        <v>89</v>
      </c>
      <c r="F46" s="4">
        <v>189.18200000000002</v>
      </c>
      <c r="G46" s="4">
        <v>82893.115000000005</v>
      </c>
      <c r="H46" s="4">
        <v>83082.3</v>
      </c>
      <c r="I46" s="5">
        <f>16793 / 86400</f>
        <v>0.19436342592592593</v>
      </c>
      <c r="J46" t="s">
        <v>90</v>
      </c>
      <c r="K46" t="s">
        <v>28</v>
      </c>
      <c r="L46" s="5">
        <f>43168 / 86400</f>
        <v>0.49962962962962965</v>
      </c>
      <c r="M46" s="5">
        <f>43229 / 86400</f>
        <v>0.50033564814814813</v>
      </c>
    </row>
    <row r="47" spans="1:13" x14ac:dyDescent="0.25">
      <c r="A47" t="s">
        <v>506</v>
      </c>
      <c r="B47" s="3">
        <v>45714.361018518517</v>
      </c>
      <c r="C47" t="s">
        <v>39</v>
      </c>
      <c r="D47" s="3">
        <v>45714.931921296295</v>
      </c>
      <c r="E47" t="s">
        <v>39</v>
      </c>
      <c r="F47" s="4">
        <v>3.8620000000000001</v>
      </c>
      <c r="G47" s="4">
        <v>472377.62099999998</v>
      </c>
      <c r="H47" s="4">
        <v>472381.48300000001</v>
      </c>
      <c r="I47" s="5">
        <f>1713 / 86400</f>
        <v>1.982638888888889E-2</v>
      </c>
      <c r="J47" t="s">
        <v>91</v>
      </c>
      <c r="K47" t="s">
        <v>77</v>
      </c>
      <c r="L47" s="5">
        <f>2854 / 86400</f>
        <v>3.3032407407407406E-2</v>
      </c>
      <c r="M47" s="5">
        <f>83540 / 86400</f>
        <v>0.96689814814814812</v>
      </c>
    </row>
    <row r="48" spans="1:13" x14ac:dyDescent="0.25">
      <c r="A48" t="s">
        <v>507</v>
      </c>
      <c r="B48" s="3">
        <v>45714</v>
      </c>
      <c r="C48" t="s">
        <v>92</v>
      </c>
      <c r="D48" s="3">
        <v>45714.99287037037</v>
      </c>
      <c r="E48" t="s">
        <v>92</v>
      </c>
      <c r="F48" s="4">
        <v>0</v>
      </c>
      <c r="G48" s="4">
        <v>428213.33600000001</v>
      </c>
      <c r="H48" s="4">
        <v>428213.33600000001</v>
      </c>
      <c r="I48" s="5">
        <f>53467 / 86400</f>
        <v>0.61883101851851852</v>
      </c>
      <c r="J48" t="s">
        <v>22</v>
      </c>
      <c r="K48" t="s">
        <v>22</v>
      </c>
      <c r="L48" s="5">
        <f>53650 / 86400</f>
        <v>0.62094907407407407</v>
      </c>
      <c r="M48" s="5">
        <f>32741 / 86400</f>
        <v>0.37894675925925925</v>
      </c>
    </row>
    <row r="49" spans="1:13" x14ac:dyDescent="0.25">
      <c r="A49" t="s">
        <v>508</v>
      </c>
      <c r="B49" s="3">
        <v>45714.006585648152</v>
      </c>
      <c r="C49" t="s">
        <v>26</v>
      </c>
      <c r="D49" s="3">
        <v>45714.926782407405</v>
      </c>
      <c r="E49" t="s">
        <v>26</v>
      </c>
      <c r="F49" s="4">
        <v>188.75700000000001</v>
      </c>
      <c r="G49" s="4">
        <v>577741.277</v>
      </c>
      <c r="H49" s="4">
        <v>577930.03399999999</v>
      </c>
      <c r="I49" s="5">
        <f>21689 / 86400</f>
        <v>0.25103009259259257</v>
      </c>
      <c r="J49" t="s">
        <v>93</v>
      </c>
      <c r="K49" t="s">
        <v>42</v>
      </c>
      <c r="L49" s="5">
        <f>52234 / 86400</f>
        <v>0.60456018518518517</v>
      </c>
      <c r="M49" s="5">
        <f>34165 / 86400</f>
        <v>0.39542824074074073</v>
      </c>
    </row>
    <row r="50" spans="1:13" x14ac:dyDescent="0.25">
      <c r="A50" t="s">
        <v>509</v>
      </c>
      <c r="B50" s="3">
        <v>45714.203831018516</v>
      </c>
      <c r="C50" t="s">
        <v>94</v>
      </c>
      <c r="D50" s="3">
        <v>45714.867141203707</v>
      </c>
      <c r="E50" t="s">
        <v>94</v>
      </c>
      <c r="F50" s="4">
        <v>209.54</v>
      </c>
      <c r="G50" s="4">
        <v>418378.41600000003</v>
      </c>
      <c r="H50" s="4">
        <v>418587.95600000001</v>
      </c>
      <c r="I50" s="5">
        <f>20896 / 86400</f>
        <v>0.24185185185185185</v>
      </c>
      <c r="J50" t="s">
        <v>85</v>
      </c>
      <c r="K50" t="s">
        <v>52</v>
      </c>
      <c r="L50" s="5">
        <f>53184 / 86400</f>
        <v>0.61555555555555552</v>
      </c>
      <c r="M50" s="5">
        <f>33211 / 86400</f>
        <v>0.38438657407407406</v>
      </c>
    </row>
    <row r="51" spans="1:13" x14ac:dyDescent="0.25">
      <c r="A51" t="s">
        <v>510</v>
      </c>
      <c r="B51" s="3">
        <v>45714</v>
      </c>
      <c r="C51" t="s">
        <v>95</v>
      </c>
      <c r="D51" s="3">
        <v>45714.971180555556</v>
      </c>
      <c r="E51" t="s">
        <v>96</v>
      </c>
      <c r="F51" s="4">
        <v>141.095</v>
      </c>
      <c r="G51" s="4">
        <v>401981.59899999999</v>
      </c>
      <c r="H51" s="4">
        <v>402122.69400000002</v>
      </c>
      <c r="I51" s="5">
        <f>15923 / 86400</f>
        <v>0.18429398148148149</v>
      </c>
      <c r="J51" t="s">
        <v>97</v>
      </c>
      <c r="K51" t="s">
        <v>42</v>
      </c>
      <c r="L51" s="5">
        <f>39492 / 86400</f>
        <v>0.45708333333333334</v>
      </c>
      <c r="M51" s="5">
        <f>46903 / 86400</f>
        <v>0.5428587962962963</v>
      </c>
    </row>
    <row r="52" spans="1:13" x14ac:dyDescent="0.25">
      <c r="A52" t="s">
        <v>511</v>
      </c>
      <c r="B52" s="3">
        <v>45714.277025462958</v>
      </c>
      <c r="C52" t="s">
        <v>26</v>
      </c>
      <c r="D52" s="3">
        <v>45714.776817129634</v>
      </c>
      <c r="E52" t="s">
        <v>26</v>
      </c>
      <c r="F52" s="4">
        <v>50.167999999999999</v>
      </c>
      <c r="G52" s="4">
        <v>384286.679</v>
      </c>
      <c r="H52" s="4">
        <v>384336.84700000001</v>
      </c>
      <c r="I52" s="5">
        <f>8477 / 86400</f>
        <v>9.8113425925925923E-2</v>
      </c>
      <c r="J52" t="s">
        <v>30</v>
      </c>
      <c r="K52" t="s">
        <v>98</v>
      </c>
      <c r="L52" s="5">
        <f>15531 / 86400</f>
        <v>0.17975694444444446</v>
      </c>
      <c r="M52" s="5">
        <f>70856 / 86400</f>
        <v>0.8200925925925926</v>
      </c>
    </row>
    <row r="53" spans="1:13" x14ac:dyDescent="0.25">
      <c r="A53" t="s">
        <v>512</v>
      </c>
      <c r="B53" s="3">
        <v>45714.276608796295</v>
      </c>
      <c r="C53" t="s">
        <v>99</v>
      </c>
      <c r="D53" s="3">
        <v>45714.864155092597</v>
      </c>
      <c r="E53" t="s">
        <v>100</v>
      </c>
      <c r="F53" s="4">
        <v>2.0840000000000001</v>
      </c>
      <c r="G53" s="4">
        <v>548382.495</v>
      </c>
      <c r="H53" s="4">
        <v>548384.57900000003</v>
      </c>
      <c r="I53" s="5">
        <f>1135 / 86400</f>
        <v>1.3136574074074075E-2</v>
      </c>
      <c r="J53" t="s">
        <v>101</v>
      </c>
      <c r="K53" t="s">
        <v>102</v>
      </c>
      <c r="L53" s="5">
        <f>2163 / 86400</f>
        <v>2.5034722222222222E-2</v>
      </c>
      <c r="M53" s="5">
        <f>84230 / 86400</f>
        <v>0.97488425925925926</v>
      </c>
    </row>
    <row r="54" spans="1:13" x14ac:dyDescent="0.25">
      <c r="A54" t="s">
        <v>513</v>
      </c>
      <c r="B54" s="3">
        <v>45714.005972222221</v>
      </c>
      <c r="C54" t="s">
        <v>103</v>
      </c>
      <c r="D54" s="3">
        <v>45714.99998842593</v>
      </c>
      <c r="E54" t="s">
        <v>104</v>
      </c>
      <c r="F54" s="4">
        <v>319.416</v>
      </c>
      <c r="G54" s="4">
        <v>107077.205</v>
      </c>
      <c r="H54" s="4">
        <v>107396.621</v>
      </c>
      <c r="I54" s="5">
        <f>19880 / 86400</f>
        <v>0.2300925925925926</v>
      </c>
      <c r="J54" t="s">
        <v>105</v>
      </c>
      <c r="K54" t="s">
        <v>25</v>
      </c>
      <c r="L54" s="5">
        <f>59823 / 86400</f>
        <v>0.69239583333333332</v>
      </c>
      <c r="M54" s="5">
        <f>26576 / 86400</f>
        <v>0.30759259259259258</v>
      </c>
    </row>
    <row r="55" spans="1:13" x14ac:dyDescent="0.25">
      <c r="A55" t="s">
        <v>514</v>
      </c>
      <c r="B55" s="3">
        <v>45714.229328703703</v>
      </c>
      <c r="C55" t="s">
        <v>106</v>
      </c>
      <c r="D55" s="3">
        <v>45714.730509259258</v>
      </c>
      <c r="E55" t="s">
        <v>107</v>
      </c>
      <c r="F55" s="4">
        <v>173.28100000000001</v>
      </c>
      <c r="G55" s="4">
        <v>47763.425000000003</v>
      </c>
      <c r="H55" s="4">
        <v>47936.762000000002</v>
      </c>
      <c r="I55" s="5">
        <f>10523 / 86400</f>
        <v>0.12179398148148148</v>
      </c>
      <c r="J55" t="s">
        <v>48</v>
      </c>
      <c r="K55" t="s">
        <v>25</v>
      </c>
      <c r="L55" s="5">
        <f>33151 / 86400</f>
        <v>0.38369212962962962</v>
      </c>
      <c r="M55" s="5">
        <f>53248 / 86400</f>
        <v>0.61629629629629634</v>
      </c>
    </row>
    <row r="56" spans="1:13" x14ac:dyDescent="0.25">
      <c r="A56" t="s">
        <v>515</v>
      </c>
      <c r="B56" s="3">
        <v>45714.157766203702</v>
      </c>
      <c r="C56" t="s">
        <v>108</v>
      </c>
      <c r="D56" s="3">
        <v>45714.879525462966</v>
      </c>
      <c r="E56" t="s">
        <v>100</v>
      </c>
      <c r="F56" s="4">
        <v>299.447</v>
      </c>
      <c r="G56" s="4">
        <v>81199.554000000004</v>
      </c>
      <c r="H56" s="4">
        <v>81499.001000000004</v>
      </c>
      <c r="I56" s="5">
        <f>18577 / 86400</f>
        <v>0.21501157407407406</v>
      </c>
      <c r="J56" t="s">
        <v>51</v>
      </c>
      <c r="K56" t="s">
        <v>20</v>
      </c>
      <c r="L56" s="5">
        <f>58294 / 86400</f>
        <v>0.67469907407407403</v>
      </c>
      <c r="M56" s="5">
        <f>28105 / 86400</f>
        <v>0.32528935185185187</v>
      </c>
    </row>
    <row r="57" spans="1:13" x14ac:dyDescent="0.25">
      <c r="A57" t="s">
        <v>516</v>
      </c>
      <c r="B57" s="3">
        <v>45714</v>
      </c>
      <c r="C57" t="s">
        <v>109</v>
      </c>
      <c r="D57" s="3">
        <v>45714.819525462968</v>
      </c>
      <c r="E57" t="s">
        <v>110</v>
      </c>
      <c r="F57" s="4">
        <v>10.360999999999999</v>
      </c>
      <c r="G57" s="4">
        <v>44205.608</v>
      </c>
      <c r="H57" s="4">
        <v>44215.968999999997</v>
      </c>
      <c r="I57" s="5">
        <f>899 / 86400</f>
        <v>1.0405092592592593E-2</v>
      </c>
      <c r="J57" t="s">
        <v>33</v>
      </c>
      <c r="K57" t="s">
        <v>46</v>
      </c>
      <c r="L57" s="5">
        <f>2533 / 86400</f>
        <v>2.931712962962963E-2</v>
      </c>
      <c r="M57" s="5">
        <f>83866 / 86400</f>
        <v>0.97067129629629634</v>
      </c>
    </row>
    <row r="58" spans="1:13" x14ac:dyDescent="0.25">
      <c r="A58" t="s">
        <v>517</v>
      </c>
      <c r="B58" s="3">
        <v>45714.27615740741</v>
      </c>
      <c r="C58" t="s">
        <v>111</v>
      </c>
      <c r="D58" s="3">
        <v>45714.828055555554</v>
      </c>
      <c r="E58" t="s">
        <v>111</v>
      </c>
      <c r="F58" s="4">
        <v>173.25299999999999</v>
      </c>
      <c r="G58" s="4">
        <v>193890.84599999999</v>
      </c>
      <c r="H58" s="4">
        <v>194064.09899999999</v>
      </c>
      <c r="I58" s="5">
        <f>10255 / 86400</f>
        <v>0.11869212962962963</v>
      </c>
      <c r="J58" t="s">
        <v>112</v>
      </c>
      <c r="K58" t="s">
        <v>61</v>
      </c>
      <c r="L58" s="5">
        <f>36434 / 86400</f>
        <v>0.42168981481481482</v>
      </c>
      <c r="M58" s="5">
        <f>49958 / 86400</f>
        <v>0.57821759259259264</v>
      </c>
    </row>
    <row r="59" spans="1:13" x14ac:dyDescent="0.25">
      <c r="A59" t="s">
        <v>518</v>
      </c>
      <c r="B59" s="3">
        <v>45714</v>
      </c>
      <c r="C59" t="s">
        <v>113</v>
      </c>
      <c r="D59" s="3">
        <v>45714.827638888892</v>
      </c>
      <c r="E59" t="s">
        <v>89</v>
      </c>
      <c r="F59" s="4">
        <v>197.21799999999999</v>
      </c>
      <c r="G59" s="4">
        <v>525750.62899999996</v>
      </c>
      <c r="H59" s="4">
        <v>525947.84699999995</v>
      </c>
      <c r="I59" s="5">
        <f>17592 / 86400</f>
        <v>0.2036111111111111</v>
      </c>
      <c r="J59" t="s">
        <v>87</v>
      </c>
      <c r="K59" t="s">
        <v>28</v>
      </c>
      <c r="L59" s="5">
        <f>44410 / 86400</f>
        <v>0.51400462962962967</v>
      </c>
      <c r="M59" s="5">
        <f>41982 / 86400</f>
        <v>0.48590277777777779</v>
      </c>
    </row>
    <row r="60" spans="1:13" x14ac:dyDescent="0.25">
      <c r="A60" t="s">
        <v>519</v>
      </c>
      <c r="B60" s="3">
        <v>45714.148472222223</v>
      </c>
      <c r="C60" t="s">
        <v>114</v>
      </c>
      <c r="D60" s="3">
        <v>45714.723726851851</v>
      </c>
      <c r="E60" t="s">
        <v>114</v>
      </c>
      <c r="F60" s="4">
        <v>191.95099999999999</v>
      </c>
      <c r="G60" s="4">
        <v>25342.528999999999</v>
      </c>
      <c r="H60" s="4">
        <v>25534.48</v>
      </c>
      <c r="I60" s="5">
        <f>8633 / 86400</f>
        <v>9.9918981481481484E-2</v>
      </c>
      <c r="J60" t="s">
        <v>115</v>
      </c>
      <c r="K60" t="s">
        <v>64</v>
      </c>
      <c r="L60" s="5">
        <f>34358 / 86400</f>
        <v>0.39766203703703706</v>
      </c>
      <c r="M60" s="5">
        <f>52037 / 86400</f>
        <v>0.60228009259259263</v>
      </c>
    </row>
    <row r="61" spans="1:13" x14ac:dyDescent="0.25">
      <c r="A61" t="s">
        <v>520</v>
      </c>
      <c r="B61" s="3">
        <v>45714.213449074072</v>
      </c>
      <c r="C61" t="s">
        <v>59</v>
      </c>
      <c r="D61" s="3">
        <v>45714.790868055556</v>
      </c>
      <c r="E61" t="s">
        <v>59</v>
      </c>
      <c r="F61" s="4">
        <v>218.12300000000744</v>
      </c>
      <c r="G61" s="4">
        <v>66428.626999999993</v>
      </c>
      <c r="H61" s="4">
        <v>66646.75</v>
      </c>
      <c r="I61" s="5">
        <f>15196 / 86400</f>
        <v>0.17587962962962964</v>
      </c>
      <c r="J61" t="s">
        <v>33</v>
      </c>
      <c r="K61" t="s">
        <v>61</v>
      </c>
      <c r="L61" s="5">
        <f>45098 / 86400</f>
        <v>0.52196759259259262</v>
      </c>
      <c r="M61" s="5">
        <f>41297 / 86400</f>
        <v>0.47797453703703702</v>
      </c>
    </row>
    <row r="62" spans="1:13" x14ac:dyDescent="0.25">
      <c r="A62" t="s">
        <v>521</v>
      </c>
      <c r="B62" s="3">
        <v>45714.262731481482</v>
      </c>
      <c r="C62" t="s">
        <v>18</v>
      </c>
      <c r="D62" s="3">
        <v>45714.724456018521</v>
      </c>
      <c r="E62" t="s">
        <v>71</v>
      </c>
      <c r="F62" s="4">
        <v>174.44399999999999</v>
      </c>
      <c r="G62" s="4">
        <v>6325.2209999999995</v>
      </c>
      <c r="H62" s="4">
        <v>6499.665</v>
      </c>
      <c r="I62" s="5">
        <f>11096 / 86400</f>
        <v>0.12842592592592592</v>
      </c>
      <c r="J62" t="s">
        <v>116</v>
      </c>
      <c r="K62" t="s">
        <v>61</v>
      </c>
      <c r="L62" s="5">
        <f>36185 / 86400</f>
        <v>0.41880787037037037</v>
      </c>
      <c r="M62" s="5">
        <f>50211 / 86400</f>
        <v>0.58114583333333336</v>
      </c>
    </row>
    <row r="63" spans="1:13" x14ac:dyDescent="0.25">
      <c r="A63" t="s">
        <v>522</v>
      </c>
      <c r="B63" s="3">
        <v>45714.311574074076</v>
      </c>
      <c r="C63" t="s">
        <v>26</v>
      </c>
      <c r="D63" s="3">
        <v>45714.750914351855</v>
      </c>
      <c r="E63" t="s">
        <v>26</v>
      </c>
      <c r="F63" s="4">
        <v>6.7309999999999999</v>
      </c>
      <c r="G63" s="4">
        <v>410581.495</v>
      </c>
      <c r="H63" s="4">
        <v>410588.22600000002</v>
      </c>
      <c r="I63" s="5">
        <f>1336 / 86400</f>
        <v>1.5462962962962963E-2</v>
      </c>
      <c r="J63" t="s">
        <v>117</v>
      </c>
      <c r="K63" t="s">
        <v>70</v>
      </c>
      <c r="L63" s="5">
        <f>2809 / 86400</f>
        <v>3.2511574074074075E-2</v>
      </c>
      <c r="M63" s="5">
        <f>83587 / 86400</f>
        <v>0.96744212962962961</v>
      </c>
    </row>
    <row r="64" spans="1:13" x14ac:dyDescent="0.25">
      <c r="A64" t="s">
        <v>523</v>
      </c>
      <c r="B64" s="3">
        <v>45714.016840277778</v>
      </c>
      <c r="C64" t="s">
        <v>118</v>
      </c>
      <c r="D64" s="3">
        <v>45714.99998842593</v>
      </c>
      <c r="E64" t="s">
        <v>92</v>
      </c>
      <c r="F64" s="4">
        <v>241.81900000000002</v>
      </c>
      <c r="G64" s="4">
        <v>553219.73699999996</v>
      </c>
      <c r="H64" s="4">
        <v>553461.55599999998</v>
      </c>
      <c r="I64" s="5">
        <f>19315 / 86400</f>
        <v>0.22355324074074073</v>
      </c>
      <c r="J64" t="s">
        <v>88</v>
      </c>
      <c r="K64" t="s">
        <v>28</v>
      </c>
      <c r="L64" s="5">
        <f>54492 / 86400</f>
        <v>0.63069444444444445</v>
      </c>
      <c r="M64" s="5">
        <f>31904 / 86400</f>
        <v>0.36925925925925923</v>
      </c>
    </row>
    <row r="65" spans="1:13" x14ac:dyDescent="0.25">
      <c r="A65" t="s">
        <v>524</v>
      </c>
      <c r="B65" s="3">
        <v>45714.217291666668</v>
      </c>
      <c r="C65" t="s">
        <v>119</v>
      </c>
      <c r="D65" s="3">
        <v>45714.983773148153</v>
      </c>
      <c r="E65" t="s">
        <v>119</v>
      </c>
      <c r="F65" s="4">
        <v>1107.375</v>
      </c>
      <c r="G65" s="4">
        <v>4873.33</v>
      </c>
      <c r="H65" s="4">
        <v>5980.7049999999999</v>
      </c>
      <c r="I65" s="5">
        <f>15493 / 86400</f>
        <v>0.17931712962962962</v>
      </c>
      <c r="J65" t="s">
        <v>120</v>
      </c>
      <c r="K65" t="s">
        <v>54</v>
      </c>
      <c r="L65" s="5">
        <f>46037 / 86400</f>
        <v>0.5328356481481481</v>
      </c>
      <c r="M65" s="5">
        <f>40358 / 86400</f>
        <v>0.46710648148148148</v>
      </c>
    </row>
    <row r="66" spans="1:13" x14ac:dyDescent="0.25">
      <c r="A66" t="s">
        <v>525</v>
      </c>
      <c r="B66" s="3">
        <v>45714.181400462963</v>
      </c>
      <c r="C66" t="s">
        <v>121</v>
      </c>
      <c r="D66" s="3">
        <v>45714.99998842593</v>
      </c>
      <c r="E66" t="s">
        <v>122</v>
      </c>
      <c r="F66" s="4">
        <v>333.62200000000001</v>
      </c>
      <c r="G66" s="4">
        <v>62977.845999999998</v>
      </c>
      <c r="H66" s="4">
        <v>63311.468000000001</v>
      </c>
      <c r="I66" s="5">
        <f>19347 / 86400</f>
        <v>0.22392361111111111</v>
      </c>
      <c r="J66" t="s">
        <v>40</v>
      </c>
      <c r="K66" t="s">
        <v>25</v>
      </c>
      <c r="L66" s="5">
        <f>62865 / 86400</f>
        <v>0.72760416666666672</v>
      </c>
      <c r="M66" s="5">
        <f>23523 / 86400</f>
        <v>0.27225694444444443</v>
      </c>
    </row>
    <row r="67" spans="1:13" x14ac:dyDescent="0.25">
      <c r="A67" t="s">
        <v>526</v>
      </c>
      <c r="B67" s="3">
        <v>45714</v>
      </c>
      <c r="C67" t="s">
        <v>123</v>
      </c>
      <c r="D67" s="3">
        <v>45714.995995370366</v>
      </c>
      <c r="E67" t="s">
        <v>99</v>
      </c>
      <c r="F67" s="4">
        <v>343.79900000001487</v>
      </c>
      <c r="G67" s="4">
        <v>66686.876999999993</v>
      </c>
      <c r="H67" s="4">
        <v>67030.676000000007</v>
      </c>
      <c r="I67" s="5">
        <f>20139 / 86400</f>
        <v>0.23309027777777777</v>
      </c>
      <c r="J67" t="s">
        <v>124</v>
      </c>
      <c r="K67" t="s">
        <v>64</v>
      </c>
      <c r="L67" s="5">
        <f>61643 / 86400</f>
        <v>0.71346064814814814</v>
      </c>
      <c r="M67" s="5">
        <f>24752 / 86400</f>
        <v>0.2864814814814815</v>
      </c>
    </row>
    <row r="68" spans="1:13" x14ac:dyDescent="0.25">
      <c r="A68" t="s">
        <v>527</v>
      </c>
      <c r="B68" s="3">
        <v>45714.25445601852</v>
      </c>
      <c r="C68" t="s">
        <v>125</v>
      </c>
      <c r="D68" s="3">
        <v>45714.90121527778</v>
      </c>
      <c r="E68" t="s">
        <v>125</v>
      </c>
      <c r="F68" s="4">
        <v>204.392</v>
      </c>
      <c r="G68" s="4">
        <v>294115.99699999997</v>
      </c>
      <c r="H68" s="4">
        <v>294320.38900000002</v>
      </c>
      <c r="I68" s="5">
        <f>22038 / 86400</f>
        <v>0.25506944444444446</v>
      </c>
      <c r="J68" t="s">
        <v>90</v>
      </c>
      <c r="K68" t="s">
        <v>52</v>
      </c>
      <c r="L68" s="5">
        <f>52115 / 86400</f>
        <v>0.60318287037037033</v>
      </c>
      <c r="M68" s="5">
        <f>34284 / 86400</f>
        <v>0.39680555555555558</v>
      </c>
    </row>
    <row r="69" spans="1:13" x14ac:dyDescent="0.25">
      <c r="A69" s="6" t="s">
        <v>126</v>
      </c>
      <c r="B69" s="6" t="s">
        <v>127</v>
      </c>
      <c r="C69" s="6" t="s">
        <v>127</v>
      </c>
      <c r="D69" s="6" t="s">
        <v>127</v>
      </c>
      <c r="E69" s="6" t="s">
        <v>127</v>
      </c>
      <c r="F69" s="7">
        <v>-37919.7882089294</v>
      </c>
      <c r="G69" s="6" t="s">
        <v>127</v>
      </c>
      <c r="H69" s="6" t="s">
        <v>127</v>
      </c>
      <c r="I69" s="8">
        <f>862842 / 86400</f>
        <v>9.9865972222222226</v>
      </c>
      <c r="J69" s="6" t="s">
        <v>127</v>
      </c>
      <c r="K69" s="6" t="s">
        <v>127</v>
      </c>
      <c r="L69" s="8">
        <f>2388818 / 86400</f>
        <v>27.648356481481482</v>
      </c>
      <c r="M69" s="8">
        <f>2881270 / 86400</f>
        <v>33.348032407407409</v>
      </c>
    </row>
    <row r="70" spans="1:13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</row>
    <row r="71" spans="1:13" s="9" customFormat="1" x14ac:dyDescent="0.25">
      <c r="A71" s="14" t="s">
        <v>128</v>
      </c>
      <c r="B71" s="14"/>
      <c r="C71" s="14"/>
      <c r="D71" s="14"/>
      <c r="E71" s="14"/>
      <c r="F71" s="14"/>
      <c r="G71" s="14"/>
      <c r="H71" s="14"/>
      <c r="I71" s="14"/>
      <c r="J71" s="14"/>
    </row>
    <row r="72" spans="1:13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</row>
    <row r="73" spans="1:13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</row>
    <row r="74" spans="1:13" s="10" customFormat="1" ht="20.100000000000001" customHeight="1" x14ac:dyDescent="0.35">
      <c r="A74" s="15" t="s">
        <v>467</v>
      </c>
      <c r="B74" s="15"/>
      <c r="C74" s="15"/>
      <c r="D74" s="15"/>
      <c r="E74" s="15"/>
      <c r="F74" s="15"/>
      <c r="G74" s="15"/>
      <c r="H74" s="15"/>
      <c r="I74" s="15"/>
      <c r="J74" s="15"/>
    </row>
    <row r="75" spans="1:13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</row>
    <row r="76" spans="1:13" ht="30" x14ac:dyDescent="0.25">
      <c r="A76" s="2" t="s">
        <v>6</v>
      </c>
      <c r="B76" s="2" t="s">
        <v>7</v>
      </c>
      <c r="C76" s="2" t="s">
        <v>8</v>
      </c>
      <c r="D76" s="2" t="s">
        <v>9</v>
      </c>
      <c r="E76" s="2" t="s">
        <v>10</v>
      </c>
      <c r="F76" s="2" t="s">
        <v>11</v>
      </c>
      <c r="G76" s="2" t="s">
        <v>12</v>
      </c>
      <c r="H76" s="2" t="s">
        <v>13</v>
      </c>
      <c r="I76" s="2" t="s">
        <v>14</v>
      </c>
      <c r="J76" s="2" t="s">
        <v>15</v>
      </c>
      <c r="K76" s="2" t="s">
        <v>16</v>
      </c>
      <c r="L76" s="2" t="s">
        <v>17</v>
      </c>
    </row>
    <row r="77" spans="1:13" x14ac:dyDescent="0.25">
      <c r="A77" s="3">
        <v>45714.18476851852</v>
      </c>
      <c r="B77" t="s">
        <v>18</v>
      </c>
      <c r="C77" s="3">
        <v>45714.188750000001</v>
      </c>
      <c r="D77" t="s">
        <v>18</v>
      </c>
      <c r="E77" s="4">
        <v>2.8000000000000001E-2</v>
      </c>
      <c r="F77" s="4">
        <v>516562.37</v>
      </c>
      <c r="G77" s="4">
        <v>516562.39799999999</v>
      </c>
      <c r="H77" s="5">
        <f>279 / 86400</f>
        <v>3.2291666666666666E-3</v>
      </c>
      <c r="I77" t="s">
        <v>32</v>
      </c>
      <c r="J77" t="s">
        <v>22</v>
      </c>
      <c r="K77" s="5">
        <f>344 / 86400</f>
        <v>3.9814814814814817E-3</v>
      </c>
      <c r="L77" s="5">
        <f>20730 / 86400</f>
        <v>0.23993055555555556</v>
      </c>
    </row>
    <row r="78" spans="1:13" x14ac:dyDescent="0.25">
      <c r="A78" s="3">
        <v>45714.24391203704</v>
      </c>
      <c r="B78" t="s">
        <v>18</v>
      </c>
      <c r="C78" s="3">
        <v>45714.34376157407</v>
      </c>
      <c r="D78" t="s">
        <v>129</v>
      </c>
      <c r="E78" s="4">
        <v>47.121000000000002</v>
      </c>
      <c r="F78" s="4">
        <v>516562.39799999999</v>
      </c>
      <c r="G78" s="4">
        <v>516609.51899999997</v>
      </c>
      <c r="H78" s="5">
        <f>2780 / 86400</f>
        <v>3.2175925925925927E-2</v>
      </c>
      <c r="I78" t="s">
        <v>112</v>
      </c>
      <c r="J78" t="s">
        <v>64</v>
      </c>
      <c r="K78" s="5">
        <f>8627 / 86400</f>
        <v>9.9849537037037042E-2</v>
      </c>
      <c r="L78" s="5">
        <f>127 / 86400</f>
        <v>1.4699074074074074E-3</v>
      </c>
    </row>
    <row r="79" spans="1:13" x14ac:dyDescent="0.25">
      <c r="A79" s="3">
        <v>45714.345231481479</v>
      </c>
      <c r="B79" t="s">
        <v>129</v>
      </c>
      <c r="C79" s="3">
        <v>45714.348414351851</v>
      </c>
      <c r="D79" t="s">
        <v>130</v>
      </c>
      <c r="E79" s="4">
        <v>0.75800000000000001</v>
      </c>
      <c r="F79" s="4">
        <v>516609.51899999997</v>
      </c>
      <c r="G79" s="4">
        <v>516610.277</v>
      </c>
      <c r="H79" s="5">
        <f>40 / 86400</f>
        <v>4.6296296296296298E-4</v>
      </c>
      <c r="I79" t="s">
        <v>131</v>
      </c>
      <c r="J79" t="s">
        <v>132</v>
      </c>
      <c r="K79" s="5">
        <f>274 / 86400</f>
        <v>3.1712962962962962E-3</v>
      </c>
      <c r="L79" s="5">
        <f>1280 / 86400</f>
        <v>1.4814814814814815E-2</v>
      </c>
    </row>
    <row r="80" spans="1:13" x14ac:dyDescent="0.25">
      <c r="A80" s="3">
        <v>45714.363229166665</v>
      </c>
      <c r="B80" t="s">
        <v>130</v>
      </c>
      <c r="C80" s="3">
        <v>45714.366099537037</v>
      </c>
      <c r="D80" t="s">
        <v>133</v>
      </c>
      <c r="E80" s="4">
        <v>0.41099999999999998</v>
      </c>
      <c r="F80" s="4">
        <v>516610.277</v>
      </c>
      <c r="G80" s="4">
        <v>516610.68800000002</v>
      </c>
      <c r="H80" s="5">
        <f>100 / 86400</f>
        <v>1.1574074074074073E-3</v>
      </c>
      <c r="I80" t="s">
        <v>134</v>
      </c>
      <c r="J80" t="s">
        <v>135</v>
      </c>
      <c r="K80" s="5">
        <f>247 / 86400</f>
        <v>2.8587962962962963E-3</v>
      </c>
      <c r="L80" s="5">
        <f>2582 / 86400</f>
        <v>2.988425925925926E-2</v>
      </c>
    </row>
    <row r="81" spans="1:12" x14ac:dyDescent="0.25">
      <c r="A81" s="3">
        <v>45714.395983796298</v>
      </c>
      <c r="B81" t="s">
        <v>133</v>
      </c>
      <c r="C81" s="3">
        <v>45714.399930555555</v>
      </c>
      <c r="D81" t="s">
        <v>80</v>
      </c>
      <c r="E81" s="4">
        <v>0.86399999999999999</v>
      </c>
      <c r="F81" s="4">
        <v>516610.68800000002</v>
      </c>
      <c r="G81" s="4">
        <v>516611.55200000003</v>
      </c>
      <c r="H81" s="5">
        <f>120 / 86400</f>
        <v>1.3888888888888889E-3</v>
      </c>
      <c r="I81" t="s">
        <v>136</v>
      </c>
      <c r="J81" t="s">
        <v>70</v>
      </c>
      <c r="K81" s="5">
        <f>341 / 86400</f>
        <v>3.9467592592592592E-3</v>
      </c>
      <c r="L81" s="5">
        <f>405 / 86400</f>
        <v>4.6874999999999998E-3</v>
      </c>
    </row>
    <row r="82" spans="1:12" x14ac:dyDescent="0.25">
      <c r="A82" s="3">
        <v>45714.40461805556</v>
      </c>
      <c r="B82" t="s">
        <v>80</v>
      </c>
      <c r="C82" s="3">
        <v>45714.405335648145</v>
      </c>
      <c r="D82" t="s">
        <v>80</v>
      </c>
      <c r="E82" s="4">
        <v>0</v>
      </c>
      <c r="F82" s="4">
        <v>516611.55200000003</v>
      </c>
      <c r="G82" s="4">
        <v>516611.55200000003</v>
      </c>
      <c r="H82" s="5">
        <f>59 / 86400</f>
        <v>6.8287037037037036E-4</v>
      </c>
      <c r="I82" t="s">
        <v>22</v>
      </c>
      <c r="J82" t="s">
        <v>22</v>
      </c>
      <c r="K82" s="5">
        <f>61 / 86400</f>
        <v>7.0601851851851847E-4</v>
      </c>
      <c r="L82" s="5">
        <f>22 / 86400</f>
        <v>2.5462962962962961E-4</v>
      </c>
    </row>
    <row r="83" spans="1:12" x14ac:dyDescent="0.25">
      <c r="A83" s="3">
        <v>45714.405590277776</v>
      </c>
      <c r="B83" t="s">
        <v>80</v>
      </c>
      <c r="C83" s="3">
        <v>45714.406666666662</v>
      </c>
      <c r="D83" t="s">
        <v>80</v>
      </c>
      <c r="E83" s="4">
        <v>7.0000000000000001E-3</v>
      </c>
      <c r="F83" s="4">
        <v>516611.55200000003</v>
      </c>
      <c r="G83" s="4">
        <v>516611.55900000001</v>
      </c>
      <c r="H83" s="5">
        <f>79 / 86400</f>
        <v>9.1435185185185185E-4</v>
      </c>
      <c r="I83" t="s">
        <v>22</v>
      </c>
      <c r="J83" t="s">
        <v>22</v>
      </c>
      <c r="K83" s="5">
        <f>92 / 86400</f>
        <v>1.0648148148148149E-3</v>
      </c>
      <c r="L83" s="5">
        <f>609 / 86400</f>
        <v>7.0486111111111114E-3</v>
      </c>
    </row>
    <row r="84" spans="1:12" x14ac:dyDescent="0.25">
      <c r="A84" s="3">
        <v>45714.413715277777</v>
      </c>
      <c r="B84" t="s">
        <v>80</v>
      </c>
      <c r="C84" s="3">
        <v>45714.41883101852</v>
      </c>
      <c r="D84" t="s">
        <v>80</v>
      </c>
      <c r="E84" s="4">
        <v>0.20899999999999999</v>
      </c>
      <c r="F84" s="4">
        <v>516611.55900000001</v>
      </c>
      <c r="G84" s="4">
        <v>516611.76799999998</v>
      </c>
      <c r="H84" s="5">
        <f>319 / 86400</f>
        <v>3.6921296296296298E-3</v>
      </c>
      <c r="I84" t="s">
        <v>42</v>
      </c>
      <c r="J84" t="s">
        <v>32</v>
      </c>
      <c r="K84" s="5">
        <f>442 / 86400</f>
        <v>5.115740740740741E-3</v>
      </c>
      <c r="L84" s="5">
        <f>259 / 86400</f>
        <v>2.9976851851851853E-3</v>
      </c>
    </row>
    <row r="85" spans="1:12" x14ac:dyDescent="0.25">
      <c r="A85" s="3">
        <v>45714.421828703707</v>
      </c>
      <c r="B85" t="s">
        <v>80</v>
      </c>
      <c r="C85" s="3">
        <v>45714.67086805556</v>
      </c>
      <c r="D85" t="s">
        <v>80</v>
      </c>
      <c r="E85" s="4">
        <v>106.197</v>
      </c>
      <c r="F85" s="4">
        <v>516611.76799999998</v>
      </c>
      <c r="G85" s="4">
        <v>516717.96500000003</v>
      </c>
      <c r="H85" s="5">
        <f>6499 / 86400</f>
        <v>7.5219907407407402E-2</v>
      </c>
      <c r="I85" t="s">
        <v>19</v>
      </c>
      <c r="J85" t="s">
        <v>20</v>
      </c>
      <c r="K85" s="5">
        <f>21517 / 86400</f>
        <v>0.24903935185185186</v>
      </c>
      <c r="L85" s="5">
        <f>401 / 86400</f>
        <v>4.6412037037037038E-3</v>
      </c>
    </row>
    <row r="86" spans="1:12" x14ac:dyDescent="0.25">
      <c r="A86" s="3">
        <v>45714.675509259258</v>
      </c>
      <c r="B86" t="s">
        <v>80</v>
      </c>
      <c r="C86" s="3">
        <v>45714.687280092592</v>
      </c>
      <c r="D86" t="s">
        <v>137</v>
      </c>
      <c r="E86" s="4">
        <v>1.8340000000000001</v>
      </c>
      <c r="F86" s="4">
        <v>516717.96500000003</v>
      </c>
      <c r="G86" s="4">
        <v>516719.799</v>
      </c>
      <c r="H86" s="5">
        <f>579 / 86400</f>
        <v>6.7013888888888887E-3</v>
      </c>
      <c r="I86" t="s">
        <v>138</v>
      </c>
      <c r="J86" t="s">
        <v>135</v>
      </c>
      <c r="K86" s="5">
        <f>1016 / 86400</f>
        <v>1.1759259259259259E-2</v>
      </c>
      <c r="L86" s="5">
        <f>94 / 86400</f>
        <v>1.0879629629629629E-3</v>
      </c>
    </row>
    <row r="87" spans="1:12" x14ac:dyDescent="0.25">
      <c r="A87" s="3">
        <v>45714.688368055555</v>
      </c>
      <c r="B87" t="s">
        <v>137</v>
      </c>
      <c r="C87" s="3">
        <v>45714.822499999995</v>
      </c>
      <c r="D87" t="s">
        <v>80</v>
      </c>
      <c r="E87" s="4">
        <v>63.296999999999997</v>
      </c>
      <c r="F87" s="4">
        <v>516719.799</v>
      </c>
      <c r="G87" s="4">
        <v>516783.09600000002</v>
      </c>
      <c r="H87" s="5">
        <f>2900 / 86400</f>
        <v>3.3564814814814818E-2</v>
      </c>
      <c r="I87" t="s">
        <v>51</v>
      </c>
      <c r="J87" t="s">
        <v>64</v>
      </c>
      <c r="K87" s="5">
        <f>11588 / 86400</f>
        <v>0.13412037037037036</v>
      </c>
      <c r="L87" s="5">
        <f>450 / 86400</f>
        <v>5.208333333333333E-3</v>
      </c>
    </row>
    <row r="88" spans="1:12" x14ac:dyDescent="0.25">
      <c r="A88" s="3">
        <v>45714.827708333338</v>
      </c>
      <c r="B88" t="s">
        <v>80</v>
      </c>
      <c r="C88" s="3">
        <v>45714.892326388886</v>
      </c>
      <c r="D88" t="s">
        <v>139</v>
      </c>
      <c r="E88" s="4">
        <v>34.347999999999999</v>
      </c>
      <c r="F88" s="4">
        <v>516783.09600000002</v>
      </c>
      <c r="G88" s="4">
        <v>516817.44400000002</v>
      </c>
      <c r="H88" s="5">
        <f>1560 / 86400</f>
        <v>1.8055555555555554E-2</v>
      </c>
      <c r="I88" t="s">
        <v>40</v>
      </c>
      <c r="J88" t="s">
        <v>140</v>
      </c>
      <c r="K88" s="5">
        <f>5583 / 86400</f>
        <v>6.4618055555555554E-2</v>
      </c>
      <c r="L88" s="5">
        <f>378 / 86400</f>
        <v>4.3750000000000004E-3</v>
      </c>
    </row>
    <row r="89" spans="1:12" x14ac:dyDescent="0.25">
      <c r="A89" s="3">
        <v>45714.896701388891</v>
      </c>
      <c r="B89" t="s">
        <v>139</v>
      </c>
      <c r="C89" s="3">
        <v>45714.906365740739</v>
      </c>
      <c r="D89" t="s">
        <v>18</v>
      </c>
      <c r="E89" s="4">
        <v>2.0270000000000001</v>
      </c>
      <c r="F89" s="4">
        <v>516817.44400000002</v>
      </c>
      <c r="G89" s="4">
        <v>516819.47100000002</v>
      </c>
      <c r="H89" s="5">
        <f>279 / 86400</f>
        <v>3.2291666666666666E-3</v>
      </c>
      <c r="I89" t="s">
        <v>91</v>
      </c>
      <c r="J89" t="s">
        <v>70</v>
      </c>
      <c r="K89" s="5">
        <f>834 / 86400</f>
        <v>9.6527777777777775E-3</v>
      </c>
      <c r="L89" s="5">
        <f>7945 / 86400</f>
        <v>9.195601851851852E-2</v>
      </c>
    </row>
    <row r="90" spans="1:12" x14ac:dyDescent="0.25">
      <c r="A90" s="3">
        <v>45714.99832175926</v>
      </c>
      <c r="B90" t="s">
        <v>18</v>
      </c>
      <c r="C90" s="3">
        <v>45714.998796296291</v>
      </c>
      <c r="D90" t="s">
        <v>18</v>
      </c>
      <c r="E90" s="4">
        <v>0</v>
      </c>
      <c r="F90" s="4">
        <v>516819.47100000002</v>
      </c>
      <c r="G90" s="4">
        <v>516819.47100000002</v>
      </c>
      <c r="H90" s="5">
        <f>39 / 86400</f>
        <v>4.5138888888888887E-4</v>
      </c>
      <c r="I90" t="s">
        <v>22</v>
      </c>
      <c r="J90" t="s">
        <v>22</v>
      </c>
      <c r="K90" s="5">
        <f>41 / 86400</f>
        <v>4.7453703703703704E-4</v>
      </c>
      <c r="L90" s="5">
        <f>103 / 86400</f>
        <v>1.1921296296296296E-3</v>
      </c>
    </row>
    <row r="91" spans="1:12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</row>
    <row r="92" spans="1:12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</row>
    <row r="93" spans="1:12" s="10" customFormat="1" ht="20.100000000000001" customHeight="1" x14ac:dyDescent="0.35">
      <c r="A93" s="15" t="s">
        <v>468</v>
      </c>
      <c r="B93" s="15"/>
      <c r="C93" s="15"/>
      <c r="D93" s="15"/>
      <c r="E93" s="15"/>
      <c r="F93" s="15"/>
      <c r="G93" s="15"/>
      <c r="H93" s="15"/>
      <c r="I93" s="15"/>
      <c r="J93" s="15"/>
    </row>
    <row r="94" spans="1:12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</row>
    <row r="95" spans="1:12" ht="30" x14ac:dyDescent="0.25">
      <c r="A95" s="2" t="s">
        <v>6</v>
      </c>
      <c r="B95" s="2" t="s">
        <v>7</v>
      </c>
      <c r="C95" s="2" t="s">
        <v>8</v>
      </c>
      <c r="D95" s="2" t="s">
        <v>9</v>
      </c>
      <c r="E95" s="2" t="s">
        <v>10</v>
      </c>
      <c r="F95" s="2" t="s">
        <v>11</v>
      </c>
      <c r="G95" s="2" t="s">
        <v>12</v>
      </c>
      <c r="H95" s="2" t="s">
        <v>13</v>
      </c>
      <c r="I95" s="2" t="s">
        <v>14</v>
      </c>
      <c r="J95" s="2" t="s">
        <v>15</v>
      </c>
      <c r="K95" s="2" t="s">
        <v>16</v>
      </c>
      <c r="L95" s="2" t="s">
        <v>17</v>
      </c>
    </row>
    <row r="96" spans="1:12" x14ac:dyDescent="0.25">
      <c r="A96" s="3">
        <v>45714.098217592589</v>
      </c>
      <c r="B96" t="s">
        <v>21</v>
      </c>
      <c r="C96" s="3">
        <v>45714.282557870371</v>
      </c>
      <c r="D96" t="s">
        <v>21</v>
      </c>
      <c r="E96" s="4">
        <v>0</v>
      </c>
      <c r="F96" s="4">
        <v>20850.677</v>
      </c>
      <c r="G96" s="4">
        <v>20850.677</v>
      </c>
      <c r="H96" s="5">
        <f>15919 / 86400</f>
        <v>0.18424768518518519</v>
      </c>
      <c r="I96" t="s">
        <v>22</v>
      </c>
      <c r="J96" t="s">
        <v>22</v>
      </c>
      <c r="K96" s="5">
        <f>15926 / 86400</f>
        <v>0.18432870370370372</v>
      </c>
      <c r="L96" s="5">
        <f>8725 / 86400</f>
        <v>0.10098379629629629</v>
      </c>
    </row>
    <row r="97" spans="1:12" x14ac:dyDescent="0.25">
      <c r="A97" s="3">
        <v>45714.285324074073</v>
      </c>
      <c r="B97" t="s">
        <v>21</v>
      </c>
      <c r="C97" s="3">
        <v>45714.291145833333</v>
      </c>
      <c r="D97" t="s">
        <v>21</v>
      </c>
      <c r="E97" s="4">
        <v>0</v>
      </c>
      <c r="F97" s="4">
        <v>20850.677</v>
      </c>
      <c r="G97" s="4">
        <v>20850.677</v>
      </c>
      <c r="H97" s="5">
        <f>499 / 86400</f>
        <v>5.7754629629629631E-3</v>
      </c>
      <c r="I97" t="s">
        <v>22</v>
      </c>
      <c r="J97" t="s">
        <v>22</v>
      </c>
      <c r="K97" s="5">
        <f>503 / 86400</f>
        <v>5.8217592592592592E-3</v>
      </c>
      <c r="L97" s="5">
        <f>1738 / 86400</f>
        <v>2.011574074074074E-2</v>
      </c>
    </row>
    <row r="98" spans="1:12" x14ac:dyDescent="0.25">
      <c r="A98" s="3">
        <v>45714.311261574076</v>
      </c>
      <c r="B98" t="s">
        <v>21</v>
      </c>
      <c r="C98" s="3">
        <v>45714.554756944446</v>
      </c>
      <c r="D98" t="s">
        <v>21</v>
      </c>
      <c r="E98" s="4">
        <v>0</v>
      </c>
      <c r="F98" s="4">
        <v>20850.677</v>
      </c>
      <c r="G98" s="4">
        <v>20850.677</v>
      </c>
      <c r="H98" s="5">
        <f>21019 / 86400</f>
        <v>0.24327546296296296</v>
      </c>
      <c r="I98" t="s">
        <v>22</v>
      </c>
      <c r="J98" t="s">
        <v>22</v>
      </c>
      <c r="K98" s="5">
        <f>21037 / 86400</f>
        <v>0.2434837962962963</v>
      </c>
      <c r="L98" s="5">
        <f>612 / 86400</f>
        <v>7.083333333333333E-3</v>
      </c>
    </row>
    <row r="99" spans="1:12" x14ac:dyDescent="0.25">
      <c r="A99" s="3">
        <v>45714.561840277776</v>
      </c>
      <c r="B99" t="s">
        <v>21</v>
      </c>
      <c r="C99" s="3">
        <v>45714.563159722224</v>
      </c>
      <c r="D99" t="s">
        <v>21</v>
      </c>
      <c r="E99" s="4">
        <v>0</v>
      </c>
      <c r="F99" s="4">
        <v>20850.677</v>
      </c>
      <c r="G99" s="4">
        <v>20850.677</v>
      </c>
      <c r="H99" s="5">
        <f>99 / 86400</f>
        <v>1.1458333333333333E-3</v>
      </c>
      <c r="I99" t="s">
        <v>22</v>
      </c>
      <c r="J99" t="s">
        <v>22</v>
      </c>
      <c r="K99" s="5">
        <f>113 / 86400</f>
        <v>1.3078703703703703E-3</v>
      </c>
      <c r="L99" s="5">
        <f>232 / 86400</f>
        <v>2.685185185185185E-3</v>
      </c>
    </row>
    <row r="100" spans="1:12" x14ac:dyDescent="0.25">
      <c r="A100" s="3">
        <v>45714.565844907411</v>
      </c>
      <c r="B100" t="s">
        <v>21</v>
      </c>
      <c r="C100" s="3">
        <v>45714.566817129627</v>
      </c>
      <c r="D100" t="s">
        <v>21</v>
      </c>
      <c r="E100" s="4">
        <v>0</v>
      </c>
      <c r="F100" s="4">
        <v>20850.677</v>
      </c>
      <c r="G100" s="4">
        <v>20850.677</v>
      </c>
      <c r="H100" s="5">
        <f>79 / 86400</f>
        <v>9.1435185185185185E-4</v>
      </c>
      <c r="I100" t="s">
        <v>22</v>
      </c>
      <c r="J100" t="s">
        <v>22</v>
      </c>
      <c r="K100" s="5">
        <f>83 / 86400</f>
        <v>9.6064814814814819E-4</v>
      </c>
      <c r="L100" s="5">
        <f>325 / 86400</f>
        <v>3.7615740740740739E-3</v>
      </c>
    </row>
    <row r="101" spans="1:12" x14ac:dyDescent="0.25">
      <c r="A101" s="3">
        <v>45714.5705787037</v>
      </c>
      <c r="B101" t="s">
        <v>21</v>
      </c>
      <c r="C101" s="3">
        <v>45714.574571759258</v>
      </c>
      <c r="D101" t="s">
        <v>21</v>
      </c>
      <c r="E101" s="4">
        <v>0</v>
      </c>
      <c r="F101" s="4">
        <v>20850.677</v>
      </c>
      <c r="G101" s="4">
        <v>20850.677</v>
      </c>
      <c r="H101" s="5">
        <f>339 / 86400</f>
        <v>3.9236111111111112E-3</v>
      </c>
      <c r="I101" t="s">
        <v>22</v>
      </c>
      <c r="J101" t="s">
        <v>22</v>
      </c>
      <c r="K101" s="5">
        <f>345 / 86400</f>
        <v>3.9930555555555552E-3</v>
      </c>
      <c r="L101" s="5">
        <f>36756 / 86400</f>
        <v>0.42541666666666667</v>
      </c>
    </row>
    <row r="102" spans="1:12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</row>
    <row r="103" spans="1:12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</row>
    <row r="104" spans="1:12" s="10" customFormat="1" ht="20.100000000000001" customHeight="1" x14ac:dyDescent="0.35">
      <c r="A104" s="15" t="s">
        <v>469</v>
      </c>
      <c r="B104" s="15"/>
      <c r="C104" s="15"/>
      <c r="D104" s="15"/>
      <c r="E104" s="15"/>
      <c r="F104" s="15"/>
      <c r="G104" s="15"/>
      <c r="H104" s="15"/>
      <c r="I104" s="15"/>
      <c r="J104" s="15"/>
    </row>
    <row r="105" spans="1:12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</row>
    <row r="106" spans="1:12" ht="30" x14ac:dyDescent="0.25">
      <c r="A106" s="2" t="s">
        <v>6</v>
      </c>
      <c r="B106" s="2" t="s">
        <v>7</v>
      </c>
      <c r="C106" s="2" t="s">
        <v>8</v>
      </c>
      <c r="D106" s="2" t="s">
        <v>9</v>
      </c>
      <c r="E106" s="2" t="s">
        <v>10</v>
      </c>
      <c r="F106" s="2" t="s">
        <v>11</v>
      </c>
      <c r="G106" s="2" t="s">
        <v>12</v>
      </c>
      <c r="H106" s="2" t="s">
        <v>13</v>
      </c>
      <c r="I106" s="2" t="s">
        <v>14</v>
      </c>
      <c r="J106" s="2" t="s">
        <v>15</v>
      </c>
      <c r="K106" s="2" t="s">
        <v>16</v>
      </c>
      <c r="L106" s="2" t="s">
        <v>17</v>
      </c>
    </row>
    <row r="107" spans="1:12" x14ac:dyDescent="0.25">
      <c r="A107" s="3">
        <v>45714.189953703702</v>
      </c>
      <c r="B107" t="s">
        <v>23</v>
      </c>
      <c r="C107" s="3">
        <v>45714.191307870366</v>
      </c>
      <c r="D107" t="s">
        <v>23</v>
      </c>
      <c r="E107" s="4">
        <v>1.7000000000000001E-2</v>
      </c>
      <c r="F107" s="4">
        <v>330593.8</v>
      </c>
      <c r="G107" s="4">
        <v>330593.81699999998</v>
      </c>
      <c r="H107" s="5">
        <f>80 / 86400</f>
        <v>9.2592592592592596E-4</v>
      </c>
      <c r="I107" t="s">
        <v>32</v>
      </c>
      <c r="J107" t="s">
        <v>78</v>
      </c>
      <c r="K107" s="5">
        <f>117 / 86400</f>
        <v>1.3541666666666667E-3</v>
      </c>
      <c r="L107" s="5">
        <f>19408 / 86400</f>
        <v>0.22462962962962962</v>
      </c>
    </row>
    <row r="108" spans="1:12" x14ac:dyDescent="0.25">
      <c r="A108" s="3">
        <v>45714.225983796292</v>
      </c>
      <c r="B108" t="s">
        <v>141</v>
      </c>
      <c r="C108" s="3">
        <v>45714.238530092596</v>
      </c>
      <c r="D108" t="s">
        <v>142</v>
      </c>
      <c r="E108" s="4">
        <v>3.944</v>
      </c>
      <c r="F108" s="4">
        <v>330593.81699999998</v>
      </c>
      <c r="G108" s="4">
        <v>330597.761</v>
      </c>
      <c r="H108" s="5">
        <f>419 / 86400</f>
        <v>4.8495370370370368E-3</v>
      </c>
      <c r="I108" t="s">
        <v>143</v>
      </c>
      <c r="J108" t="s">
        <v>42</v>
      </c>
      <c r="K108" s="5">
        <f>1084 / 86400</f>
        <v>1.2546296296296297E-2</v>
      </c>
      <c r="L108" s="5">
        <f>89 / 86400</f>
        <v>1.0300925925925926E-3</v>
      </c>
    </row>
    <row r="109" spans="1:12" x14ac:dyDescent="0.25">
      <c r="A109" s="3">
        <v>45714.239560185189</v>
      </c>
      <c r="B109" t="s">
        <v>142</v>
      </c>
      <c r="C109" s="3">
        <v>45714.239837962959</v>
      </c>
      <c r="D109" t="s">
        <v>144</v>
      </c>
      <c r="E109" s="4">
        <v>1.9E-2</v>
      </c>
      <c r="F109" s="4">
        <v>330597.761</v>
      </c>
      <c r="G109" s="4">
        <v>330597.78000000003</v>
      </c>
      <c r="H109" s="5">
        <f>0 / 86400</f>
        <v>0</v>
      </c>
      <c r="I109" t="s">
        <v>78</v>
      </c>
      <c r="J109" t="s">
        <v>102</v>
      </c>
      <c r="K109" s="5">
        <f>24 / 86400</f>
        <v>2.7777777777777778E-4</v>
      </c>
      <c r="L109" s="5">
        <f>89 / 86400</f>
        <v>1.0300925925925926E-3</v>
      </c>
    </row>
    <row r="110" spans="1:12" x14ac:dyDescent="0.25">
      <c r="A110" s="3">
        <v>45714.240868055553</v>
      </c>
      <c r="B110" t="s">
        <v>144</v>
      </c>
      <c r="C110" s="3">
        <v>45714.241006944445</v>
      </c>
      <c r="D110" t="s">
        <v>144</v>
      </c>
      <c r="E110" s="4">
        <v>8.9999999999999993E-3</v>
      </c>
      <c r="F110" s="4">
        <v>330597.78000000003</v>
      </c>
      <c r="G110" s="4">
        <v>330597.78899999999</v>
      </c>
      <c r="H110" s="5">
        <f>0 / 86400</f>
        <v>0</v>
      </c>
      <c r="I110" t="s">
        <v>22</v>
      </c>
      <c r="J110" t="s">
        <v>102</v>
      </c>
      <c r="K110" s="5">
        <f>11 / 86400</f>
        <v>1.273148148148148E-4</v>
      </c>
      <c r="L110" s="5">
        <f>264 / 86400</f>
        <v>3.0555555555555557E-3</v>
      </c>
    </row>
    <row r="111" spans="1:12" x14ac:dyDescent="0.25">
      <c r="A111" s="3">
        <v>45714.244062500002</v>
      </c>
      <c r="B111" t="s">
        <v>144</v>
      </c>
      <c r="C111" s="3">
        <v>45714.300358796296</v>
      </c>
      <c r="D111" t="s">
        <v>145</v>
      </c>
      <c r="E111" s="4">
        <v>22.696999999999999</v>
      </c>
      <c r="F111" s="4">
        <v>330597.78899999999</v>
      </c>
      <c r="G111" s="4">
        <v>330620.48599999998</v>
      </c>
      <c r="H111" s="5">
        <f>1861 / 86400</f>
        <v>2.1539351851851851E-2</v>
      </c>
      <c r="I111" t="s">
        <v>97</v>
      </c>
      <c r="J111" t="s">
        <v>61</v>
      </c>
      <c r="K111" s="5">
        <f>4864 / 86400</f>
        <v>5.6296296296296296E-2</v>
      </c>
      <c r="L111" s="5">
        <f>648 / 86400</f>
        <v>7.4999999999999997E-3</v>
      </c>
    </row>
    <row r="112" spans="1:12" x14ac:dyDescent="0.25">
      <c r="A112" s="3">
        <v>45714.307858796295</v>
      </c>
      <c r="B112" t="s">
        <v>145</v>
      </c>
      <c r="C112" s="3">
        <v>45714.466493055559</v>
      </c>
      <c r="D112" t="s">
        <v>146</v>
      </c>
      <c r="E112" s="4">
        <v>74.811999999999998</v>
      </c>
      <c r="F112" s="4">
        <v>330620.48599999998</v>
      </c>
      <c r="G112" s="4">
        <v>330695.29800000001</v>
      </c>
      <c r="H112" s="5">
        <f>4361 / 86400</f>
        <v>5.047453703703704E-2</v>
      </c>
      <c r="I112" t="s">
        <v>24</v>
      </c>
      <c r="J112" t="s">
        <v>64</v>
      </c>
      <c r="K112" s="5">
        <f>13706 / 86400</f>
        <v>0.15863425925925925</v>
      </c>
      <c r="L112" s="5">
        <f>218 / 86400</f>
        <v>2.5231481481481481E-3</v>
      </c>
    </row>
    <row r="113" spans="1:12" x14ac:dyDescent="0.25">
      <c r="A113" s="3">
        <v>45714.4690162037</v>
      </c>
      <c r="B113" t="s">
        <v>146</v>
      </c>
      <c r="C113" s="3">
        <v>45714.547060185185</v>
      </c>
      <c r="D113" t="s">
        <v>80</v>
      </c>
      <c r="E113" s="4">
        <v>41.359000000000002</v>
      </c>
      <c r="F113" s="4">
        <v>330695.29800000001</v>
      </c>
      <c r="G113" s="4">
        <v>330736.65700000001</v>
      </c>
      <c r="H113" s="5">
        <f>1609 / 86400</f>
        <v>1.8622685185185187E-2</v>
      </c>
      <c r="I113" t="s">
        <v>60</v>
      </c>
      <c r="J113" t="s">
        <v>140</v>
      </c>
      <c r="K113" s="5">
        <f>6742 / 86400</f>
        <v>7.8032407407407411E-2</v>
      </c>
      <c r="L113" s="5">
        <f>2101 / 86400</f>
        <v>2.431712962962963E-2</v>
      </c>
    </row>
    <row r="114" spans="1:12" x14ac:dyDescent="0.25">
      <c r="A114" s="3">
        <v>45714.571377314816</v>
      </c>
      <c r="B114" t="s">
        <v>80</v>
      </c>
      <c r="C114" s="3">
        <v>45714.572141203702</v>
      </c>
      <c r="D114" t="s">
        <v>80</v>
      </c>
      <c r="E114" s="4">
        <v>2.8000000000000001E-2</v>
      </c>
      <c r="F114" s="4">
        <v>330736.65700000001</v>
      </c>
      <c r="G114" s="4">
        <v>330736.685</v>
      </c>
      <c r="H114" s="5">
        <f>0 / 86400</f>
        <v>0</v>
      </c>
      <c r="I114" t="s">
        <v>135</v>
      </c>
      <c r="J114" t="s">
        <v>32</v>
      </c>
      <c r="K114" s="5">
        <f>66 / 86400</f>
        <v>7.6388888888888893E-4</v>
      </c>
      <c r="L114" s="5">
        <f>2280 / 86400</f>
        <v>2.6388888888888889E-2</v>
      </c>
    </row>
    <row r="115" spans="1:12" x14ac:dyDescent="0.25">
      <c r="A115" s="3">
        <v>45714.598530092597</v>
      </c>
      <c r="B115" t="s">
        <v>80</v>
      </c>
      <c r="C115" s="3">
        <v>45714.601527777777</v>
      </c>
      <c r="D115" t="s">
        <v>80</v>
      </c>
      <c r="E115" s="4">
        <v>0</v>
      </c>
      <c r="F115" s="4">
        <v>330736.685</v>
      </c>
      <c r="G115" s="4">
        <v>330736.685</v>
      </c>
      <c r="H115" s="5">
        <f>239 / 86400</f>
        <v>2.7662037037037039E-3</v>
      </c>
      <c r="I115" t="s">
        <v>22</v>
      </c>
      <c r="J115" t="s">
        <v>22</v>
      </c>
      <c r="K115" s="5">
        <f>258 / 86400</f>
        <v>2.9861111111111113E-3</v>
      </c>
      <c r="L115" s="5">
        <f>339 / 86400</f>
        <v>3.9236111111111112E-3</v>
      </c>
    </row>
    <row r="116" spans="1:12" x14ac:dyDescent="0.25">
      <c r="A116" s="3">
        <v>45714.605451388888</v>
      </c>
      <c r="B116" t="s">
        <v>80</v>
      </c>
      <c r="C116" s="3">
        <v>45714.606226851851</v>
      </c>
      <c r="D116" t="s">
        <v>80</v>
      </c>
      <c r="E116" s="4">
        <v>0</v>
      </c>
      <c r="F116" s="4">
        <v>330736.685</v>
      </c>
      <c r="G116" s="4">
        <v>330736.685</v>
      </c>
      <c r="H116" s="5">
        <f>59 / 86400</f>
        <v>6.8287037037037036E-4</v>
      </c>
      <c r="I116" t="s">
        <v>22</v>
      </c>
      <c r="J116" t="s">
        <v>22</v>
      </c>
      <c r="K116" s="5">
        <f>66 / 86400</f>
        <v>7.6388888888888893E-4</v>
      </c>
      <c r="L116" s="5">
        <f>584 / 86400</f>
        <v>6.7592592592592591E-3</v>
      </c>
    </row>
    <row r="117" spans="1:12" x14ac:dyDescent="0.25">
      <c r="A117" s="3">
        <v>45714.612986111111</v>
      </c>
      <c r="B117" t="s">
        <v>80</v>
      </c>
      <c r="C117" s="3">
        <v>45714.613391203704</v>
      </c>
      <c r="D117" t="s">
        <v>80</v>
      </c>
      <c r="E117" s="4">
        <v>0</v>
      </c>
      <c r="F117" s="4">
        <v>330736.685</v>
      </c>
      <c r="G117" s="4">
        <v>330736.685</v>
      </c>
      <c r="H117" s="5">
        <f>19 / 86400</f>
        <v>2.199074074074074E-4</v>
      </c>
      <c r="I117" t="s">
        <v>22</v>
      </c>
      <c r="J117" t="s">
        <v>22</v>
      </c>
      <c r="K117" s="5">
        <f>34 / 86400</f>
        <v>3.9351851851851852E-4</v>
      </c>
      <c r="L117" s="5">
        <f>747 / 86400</f>
        <v>8.6458333333333335E-3</v>
      </c>
    </row>
    <row r="118" spans="1:12" x14ac:dyDescent="0.25">
      <c r="A118" s="3">
        <v>45714.622037037036</v>
      </c>
      <c r="B118" t="s">
        <v>80</v>
      </c>
      <c r="C118" s="3">
        <v>45714.622766203705</v>
      </c>
      <c r="D118" t="s">
        <v>80</v>
      </c>
      <c r="E118" s="4">
        <v>0.02</v>
      </c>
      <c r="F118" s="4">
        <v>330736.685</v>
      </c>
      <c r="G118" s="4">
        <v>330736.70500000002</v>
      </c>
      <c r="H118" s="5">
        <f>59 / 86400</f>
        <v>6.8287037037037036E-4</v>
      </c>
      <c r="I118" t="s">
        <v>22</v>
      </c>
      <c r="J118" t="s">
        <v>78</v>
      </c>
      <c r="K118" s="5">
        <f>63 / 86400</f>
        <v>7.291666666666667E-4</v>
      </c>
      <c r="L118" s="5">
        <f>448 / 86400</f>
        <v>5.185185185185185E-3</v>
      </c>
    </row>
    <row r="119" spans="1:12" x14ac:dyDescent="0.25">
      <c r="A119" s="3">
        <v>45714.627951388888</v>
      </c>
      <c r="B119" t="s">
        <v>80</v>
      </c>
      <c r="C119" s="3">
        <v>45714.628692129627</v>
      </c>
      <c r="D119" t="s">
        <v>80</v>
      </c>
      <c r="E119" s="4">
        <v>1.7999999999999999E-2</v>
      </c>
      <c r="F119" s="4">
        <v>330736.70500000002</v>
      </c>
      <c r="G119" s="4">
        <v>330736.723</v>
      </c>
      <c r="H119" s="5">
        <f>40 / 86400</f>
        <v>4.6296296296296298E-4</v>
      </c>
      <c r="I119" t="s">
        <v>147</v>
      </c>
      <c r="J119" t="s">
        <v>78</v>
      </c>
      <c r="K119" s="5">
        <f>63 / 86400</f>
        <v>7.291666666666667E-4</v>
      </c>
      <c r="L119" s="5">
        <f>3710 / 86400</f>
        <v>4.2939814814814813E-2</v>
      </c>
    </row>
    <row r="120" spans="1:12" x14ac:dyDescent="0.25">
      <c r="A120" s="3">
        <v>45714.671631944446</v>
      </c>
      <c r="B120" t="s">
        <v>80</v>
      </c>
      <c r="C120" s="3">
        <v>45714.675347222219</v>
      </c>
      <c r="D120" t="s">
        <v>125</v>
      </c>
      <c r="E120" s="4">
        <v>1.1919999999999999</v>
      </c>
      <c r="F120" s="4">
        <v>330736.723</v>
      </c>
      <c r="G120" s="4">
        <v>330737.91499999998</v>
      </c>
      <c r="H120" s="5">
        <f>40 / 86400</f>
        <v>4.6296296296296298E-4</v>
      </c>
      <c r="I120" t="s">
        <v>148</v>
      </c>
      <c r="J120" t="s">
        <v>42</v>
      </c>
      <c r="K120" s="5">
        <f>321 / 86400</f>
        <v>3.7152777777777778E-3</v>
      </c>
      <c r="L120" s="5">
        <f>245 / 86400</f>
        <v>2.8356481481481483E-3</v>
      </c>
    </row>
    <row r="121" spans="1:12" x14ac:dyDescent="0.25">
      <c r="A121" s="3">
        <v>45714.678182870368</v>
      </c>
      <c r="B121" t="s">
        <v>125</v>
      </c>
      <c r="C121" s="3">
        <v>45714.679664351846</v>
      </c>
      <c r="D121" t="s">
        <v>125</v>
      </c>
      <c r="E121" s="4">
        <v>0.16900000000000001</v>
      </c>
      <c r="F121" s="4">
        <v>330737.91499999998</v>
      </c>
      <c r="G121" s="4">
        <v>330738.08399999997</v>
      </c>
      <c r="H121" s="5">
        <f>0 / 86400</f>
        <v>0</v>
      </c>
      <c r="I121" t="s">
        <v>132</v>
      </c>
      <c r="J121" t="s">
        <v>77</v>
      </c>
      <c r="K121" s="5">
        <f>128 / 86400</f>
        <v>1.4814814814814814E-3</v>
      </c>
      <c r="L121" s="5">
        <f>4548 / 86400</f>
        <v>5.2638888888888888E-2</v>
      </c>
    </row>
    <row r="122" spans="1:12" x14ac:dyDescent="0.25">
      <c r="A122" s="3">
        <v>45714.732303240744</v>
      </c>
      <c r="B122" t="s">
        <v>125</v>
      </c>
      <c r="C122" s="3">
        <v>45714.732986111107</v>
      </c>
      <c r="D122" t="s">
        <v>125</v>
      </c>
      <c r="E122" s="4">
        <v>8.4000000000000005E-2</v>
      </c>
      <c r="F122" s="4">
        <v>330738.08399999997</v>
      </c>
      <c r="G122" s="4">
        <v>330738.16800000001</v>
      </c>
      <c r="H122" s="5">
        <f>0 / 86400</f>
        <v>0</v>
      </c>
      <c r="I122" t="s">
        <v>70</v>
      </c>
      <c r="J122" t="s">
        <v>77</v>
      </c>
      <c r="K122" s="5">
        <f>58 / 86400</f>
        <v>6.7129629629629625E-4</v>
      </c>
      <c r="L122" s="5">
        <f>219 / 86400</f>
        <v>2.5347222222222221E-3</v>
      </c>
    </row>
    <row r="123" spans="1:12" x14ac:dyDescent="0.25">
      <c r="A123" s="3">
        <v>45714.735520833332</v>
      </c>
      <c r="B123" t="s">
        <v>125</v>
      </c>
      <c r="C123" s="3">
        <v>45714.737905092596</v>
      </c>
      <c r="D123" t="s">
        <v>149</v>
      </c>
      <c r="E123" s="4">
        <v>0.83299999999999996</v>
      </c>
      <c r="F123" s="4">
        <v>330738.16800000001</v>
      </c>
      <c r="G123" s="4">
        <v>330739.00099999999</v>
      </c>
      <c r="H123" s="5">
        <f>40 / 86400</f>
        <v>4.6296296296296298E-4</v>
      </c>
      <c r="I123" t="s">
        <v>69</v>
      </c>
      <c r="J123" t="s">
        <v>46</v>
      </c>
      <c r="K123" s="5">
        <f>206 / 86400</f>
        <v>2.3842592592592591E-3</v>
      </c>
      <c r="L123" s="5">
        <f>2299 / 86400</f>
        <v>2.6608796296296297E-2</v>
      </c>
    </row>
    <row r="124" spans="1:12" x14ac:dyDescent="0.25">
      <c r="A124" s="3">
        <v>45714.764513888891</v>
      </c>
      <c r="B124" t="s">
        <v>149</v>
      </c>
      <c r="C124" s="3">
        <v>45714.765694444446</v>
      </c>
      <c r="D124" t="s">
        <v>149</v>
      </c>
      <c r="E124" s="4">
        <v>2.1999999999999999E-2</v>
      </c>
      <c r="F124" s="4">
        <v>330739.00099999999</v>
      </c>
      <c r="G124" s="4">
        <v>330739.02299999999</v>
      </c>
      <c r="H124" s="5">
        <f>80 / 86400</f>
        <v>9.2592592592592596E-4</v>
      </c>
      <c r="I124" t="s">
        <v>135</v>
      </c>
      <c r="J124" t="s">
        <v>78</v>
      </c>
      <c r="K124" s="5">
        <f>102 / 86400</f>
        <v>1.1805555555555556E-3</v>
      </c>
      <c r="L124" s="5">
        <f>6365 / 86400</f>
        <v>7.3668981481481488E-2</v>
      </c>
    </row>
    <row r="125" spans="1:12" x14ac:dyDescent="0.25">
      <c r="A125" s="3">
        <v>45714.839363425926</v>
      </c>
      <c r="B125" t="s">
        <v>89</v>
      </c>
      <c r="C125" s="3">
        <v>45714.883043981477</v>
      </c>
      <c r="D125" t="s">
        <v>81</v>
      </c>
      <c r="E125" s="4">
        <v>21.957000000000001</v>
      </c>
      <c r="F125" s="4">
        <v>330739.02299999999</v>
      </c>
      <c r="G125" s="4">
        <v>330760.98</v>
      </c>
      <c r="H125" s="5">
        <f>1179 / 86400</f>
        <v>1.3645833333333333E-2</v>
      </c>
      <c r="I125" t="s">
        <v>150</v>
      </c>
      <c r="J125" t="s">
        <v>151</v>
      </c>
      <c r="K125" s="5">
        <f>3773 / 86400</f>
        <v>4.3668981481481482E-2</v>
      </c>
      <c r="L125" s="5">
        <f>430 / 86400</f>
        <v>4.9768518518518521E-3</v>
      </c>
    </row>
    <row r="126" spans="1:12" x14ac:dyDescent="0.25">
      <c r="A126" s="3">
        <v>45714.888020833328</v>
      </c>
      <c r="B126" t="s">
        <v>81</v>
      </c>
      <c r="C126" s="3">
        <v>45714.888449074075</v>
      </c>
      <c r="D126" t="s">
        <v>65</v>
      </c>
      <c r="E126" s="4">
        <v>4.1000000000000002E-2</v>
      </c>
      <c r="F126" s="4">
        <v>330760.98</v>
      </c>
      <c r="G126" s="4">
        <v>330761.02100000001</v>
      </c>
      <c r="H126" s="5">
        <f>20 / 86400</f>
        <v>2.3148148148148149E-4</v>
      </c>
      <c r="I126" t="s">
        <v>132</v>
      </c>
      <c r="J126" t="s">
        <v>152</v>
      </c>
      <c r="K126" s="5">
        <f>37 / 86400</f>
        <v>4.2824074074074075E-4</v>
      </c>
      <c r="L126" s="5">
        <f>23 / 86400</f>
        <v>2.6620370370370372E-4</v>
      </c>
    </row>
    <row r="127" spans="1:12" x14ac:dyDescent="0.25">
      <c r="A127" s="3">
        <v>45714.888715277775</v>
      </c>
      <c r="B127" t="s">
        <v>65</v>
      </c>
      <c r="C127" s="3">
        <v>45714.891817129625</v>
      </c>
      <c r="D127" t="s">
        <v>153</v>
      </c>
      <c r="E127" s="4">
        <v>0.73199999999999998</v>
      </c>
      <c r="F127" s="4">
        <v>330761.02100000001</v>
      </c>
      <c r="G127" s="4">
        <v>330761.75300000003</v>
      </c>
      <c r="H127" s="5">
        <f>120 / 86400</f>
        <v>1.3888888888888889E-3</v>
      </c>
      <c r="I127" t="s">
        <v>154</v>
      </c>
      <c r="J127" t="s">
        <v>132</v>
      </c>
      <c r="K127" s="5">
        <f>268 / 86400</f>
        <v>3.1018518518518517E-3</v>
      </c>
      <c r="L127" s="5">
        <f>55 / 86400</f>
        <v>6.3657407407407413E-4</v>
      </c>
    </row>
    <row r="128" spans="1:12" x14ac:dyDescent="0.25">
      <c r="A128" s="3">
        <v>45714.892453703702</v>
      </c>
      <c r="B128" t="s">
        <v>153</v>
      </c>
      <c r="C128" s="3">
        <v>45714.893113425926</v>
      </c>
      <c r="D128" t="s">
        <v>82</v>
      </c>
      <c r="E128" s="4">
        <v>0.11600000000000001</v>
      </c>
      <c r="F128" s="4">
        <v>330761.75300000003</v>
      </c>
      <c r="G128" s="4">
        <v>330761.86900000001</v>
      </c>
      <c r="H128" s="5">
        <f>20 / 86400</f>
        <v>2.3148148148148149E-4</v>
      </c>
      <c r="I128" t="s">
        <v>98</v>
      </c>
      <c r="J128" t="s">
        <v>147</v>
      </c>
      <c r="K128" s="5">
        <f>56 / 86400</f>
        <v>6.4814814814814813E-4</v>
      </c>
      <c r="L128" s="5">
        <f>1900 / 86400</f>
        <v>2.1990740740740741E-2</v>
      </c>
    </row>
    <row r="129" spans="1:12" x14ac:dyDescent="0.25">
      <c r="A129" s="3">
        <v>45714.915104166663</v>
      </c>
      <c r="B129" t="s">
        <v>82</v>
      </c>
      <c r="C129" s="3">
        <v>45714.916979166665</v>
      </c>
      <c r="D129" t="s">
        <v>23</v>
      </c>
      <c r="E129" s="4">
        <v>0.67400000000000004</v>
      </c>
      <c r="F129" s="4">
        <v>330761.86900000001</v>
      </c>
      <c r="G129" s="4">
        <v>330762.54300000001</v>
      </c>
      <c r="H129" s="5">
        <f>20 / 86400</f>
        <v>2.3148148148148149E-4</v>
      </c>
      <c r="I129" t="s">
        <v>155</v>
      </c>
      <c r="J129" t="s">
        <v>46</v>
      </c>
      <c r="K129" s="5">
        <f>161 / 86400</f>
        <v>1.8634259259259259E-3</v>
      </c>
      <c r="L129" s="5">
        <f>7172 / 86400</f>
        <v>8.3009259259259255E-2</v>
      </c>
    </row>
    <row r="130" spans="1:12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2"/>
    </row>
    <row r="131" spans="1:12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2"/>
    </row>
    <row r="132" spans="1:12" s="10" customFormat="1" ht="20.100000000000001" customHeight="1" x14ac:dyDescent="0.35">
      <c r="A132" s="15" t="s">
        <v>470</v>
      </c>
      <c r="B132" s="15"/>
      <c r="C132" s="15"/>
      <c r="D132" s="15"/>
      <c r="E132" s="15"/>
      <c r="F132" s="15"/>
      <c r="G132" s="15"/>
      <c r="H132" s="15"/>
      <c r="I132" s="15"/>
      <c r="J132" s="15"/>
    </row>
    <row r="133" spans="1:12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s="12"/>
    </row>
    <row r="134" spans="1:12" ht="30" x14ac:dyDescent="0.25">
      <c r="A134" s="2" t="s">
        <v>6</v>
      </c>
      <c r="B134" s="2" t="s">
        <v>7</v>
      </c>
      <c r="C134" s="2" t="s">
        <v>8</v>
      </c>
      <c r="D134" s="2" t="s">
        <v>9</v>
      </c>
      <c r="E134" s="2" t="s">
        <v>10</v>
      </c>
      <c r="F134" s="2" t="s">
        <v>11</v>
      </c>
      <c r="G134" s="2" t="s">
        <v>12</v>
      </c>
      <c r="H134" s="2" t="s">
        <v>13</v>
      </c>
      <c r="I134" s="2" t="s">
        <v>14</v>
      </c>
      <c r="J134" s="2" t="s">
        <v>15</v>
      </c>
      <c r="K134" s="2" t="s">
        <v>16</v>
      </c>
      <c r="L134" s="2" t="s">
        <v>17</v>
      </c>
    </row>
    <row r="135" spans="1:12" x14ac:dyDescent="0.25">
      <c r="A135" s="3">
        <v>45714.290972222225</v>
      </c>
      <c r="B135" t="s">
        <v>26</v>
      </c>
      <c r="C135" s="3">
        <v>45714.354861111111</v>
      </c>
      <c r="D135" t="s">
        <v>129</v>
      </c>
      <c r="E135" s="4">
        <v>29.137</v>
      </c>
      <c r="F135" s="4">
        <v>22127.379000000001</v>
      </c>
      <c r="G135" s="4">
        <v>22156.516</v>
      </c>
      <c r="H135" s="5">
        <f>1419 / 86400</f>
        <v>1.6423611111111111E-2</v>
      </c>
      <c r="I135" t="s">
        <v>67</v>
      </c>
      <c r="J135" t="s">
        <v>25</v>
      </c>
      <c r="K135" s="5">
        <f>5520 / 86400</f>
        <v>6.3888888888888884E-2</v>
      </c>
      <c r="L135" s="5">
        <f>25274 / 86400</f>
        <v>0.29252314814814817</v>
      </c>
    </row>
    <row r="136" spans="1:12" x14ac:dyDescent="0.25">
      <c r="A136" s="3">
        <v>45714.356412037036</v>
      </c>
      <c r="B136" t="s">
        <v>129</v>
      </c>
      <c r="C136" s="3">
        <v>45714.357754629629</v>
      </c>
      <c r="D136" t="s">
        <v>156</v>
      </c>
      <c r="E136" s="4">
        <v>0.255</v>
      </c>
      <c r="F136" s="4">
        <v>22156.516</v>
      </c>
      <c r="G136" s="4">
        <v>22156.771000000001</v>
      </c>
      <c r="H136" s="5">
        <f>20 / 86400</f>
        <v>2.3148148148148149E-4</v>
      </c>
      <c r="I136" t="s">
        <v>52</v>
      </c>
      <c r="J136" t="s">
        <v>157</v>
      </c>
      <c r="K136" s="5">
        <f>115 / 86400</f>
        <v>1.3310185185185185E-3</v>
      </c>
      <c r="L136" s="5">
        <f>301 / 86400</f>
        <v>3.4837962962962965E-3</v>
      </c>
    </row>
    <row r="137" spans="1:12" x14ac:dyDescent="0.25">
      <c r="A137" s="3">
        <v>45714.361238425925</v>
      </c>
      <c r="B137" t="s">
        <v>156</v>
      </c>
      <c r="C137" s="3">
        <v>45714.361990740741</v>
      </c>
      <c r="D137" t="s">
        <v>156</v>
      </c>
      <c r="E137" s="4">
        <v>1.2999999999999999E-2</v>
      </c>
      <c r="F137" s="4">
        <v>22156.771000000001</v>
      </c>
      <c r="G137" s="4">
        <v>22156.784</v>
      </c>
      <c r="H137" s="5">
        <f>59 / 86400</f>
        <v>6.8287037037037036E-4</v>
      </c>
      <c r="I137" t="s">
        <v>22</v>
      </c>
      <c r="J137" t="s">
        <v>78</v>
      </c>
      <c r="K137" s="5">
        <f>64 / 86400</f>
        <v>7.407407407407407E-4</v>
      </c>
      <c r="L137" s="5">
        <f>191 / 86400</f>
        <v>2.2106481481481482E-3</v>
      </c>
    </row>
    <row r="138" spans="1:12" x14ac:dyDescent="0.25">
      <c r="A138" s="3">
        <v>45714.364201388889</v>
      </c>
      <c r="B138" t="s">
        <v>156</v>
      </c>
      <c r="C138" s="3">
        <v>45714.40924768518</v>
      </c>
      <c r="D138" t="s">
        <v>158</v>
      </c>
      <c r="E138" s="4">
        <v>24.989000000000001</v>
      </c>
      <c r="F138" s="4">
        <v>22156.784</v>
      </c>
      <c r="G138" s="4">
        <v>22181.773000000001</v>
      </c>
      <c r="H138" s="5">
        <f>739 / 86400</f>
        <v>8.5532407407407415E-3</v>
      </c>
      <c r="I138" t="s">
        <v>150</v>
      </c>
      <c r="J138" t="s">
        <v>134</v>
      </c>
      <c r="K138" s="5">
        <f>3892 / 86400</f>
        <v>4.50462962962963E-2</v>
      </c>
      <c r="L138" s="5">
        <f>20 / 86400</f>
        <v>2.3148148148148149E-4</v>
      </c>
    </row>
    <row r="139" spans="1:12" x14ac:dyDescent="0.25">
      <c r="A139" s="3">
        <v>45714.409479166672</v>
      </c>
      <c r="B139" t="s">
        <v>158</v>
      </c>
      <c r="C139" s="3">
        <v>45714.40997685185</v>
      </c>
      <c r="D139" t="s">
        <v>158</v>
      </c>
      <c r="E139" s="4">
        <v>1E-3</v>
      </c>
      <c r="F139" s="4">
        <v>22181.773000000001</v>
      </c>
      <c r="G139" s="4">
        <v>22181.774000000001</v>
      </c>
      <c r="H139" s="5">
        <f>39 / 86400</f>
        <v>4.5138888888888887E-4</v>
      </c>
      <c r="I139" t="s">
        <v>22</v>
      </c>
      <c r="J139" t="s">
        <v>22</v>
      </c>
      <c r="K139" s="5">
        <f>43 / 86400</f>
        <v>4.9768518518518521E-4</v>
      </c>
      <c r="L139" s="5">
        <f>1914 / 86400</f>
        <v>2.2152777777777778E-2</v>
      </c>
    </row>
    <row r="140" spans="1:12" x14ac:dyDescent="0.25">
      <c r="A140" s="3">
        <v>45714.432129629626</v>
      </c>
      <c r="B140" t="s">
        <v>26</v>
      </c>
      <c r="C140" s="3">
        <v>45714.43540509259</v>
      </c>
      <c r="D140" t="s">
        <v>158</v>
      </c>
      <c r="E140" s="4">
        <v>0.25700000000000001</v>
      </c>
      <c r="F140" s="4">
        <v>22181.774000000001</v>
      </c>
      <c r="G140" s="4">
        <v>22182.030999999999</v>
      </c>
      <c r="H140" s="5">
        <f>179 / 86400</f>
        <v>2.0717592592592593E-3</v>
      </c>
      <c r="I140" t="s">
        <v>52</v>
      </c>
      <c r="J140" t="s">
        <v>102</v>
      </c>
      <c r="K140" s="5">
        <f>283 / 86400</f>
        <v>3.2754629629629631E-3</v>
      </c>
      <c r="L140" s="5">
        <f>2031 / 86400</f>
        <v>2.3506944444444445E-2</v>
      </c>
    </row>
    <row r="141" spans="1:12" x14ac:dyDescent="0.25">
      <c r="A141" s="3">
        <v>45714.458912037036</v>
      </c>
      <c r="B141" t="s">
        <v>158</v>
      </c>
      <c r="C141" s="3">
        <v>45714.565104166672</v>
      </c>
      <c r="D141" t="s">
        <v>159</v>
      </c>
      <c r="E141" s="4">
        <v>36.179000000000002</v>
      </c>
      <c r="F141" s="4">
        <v>22182.030999999999</v>
      </c>
      <c r="G141" s="4">
        <v>22218.21</v>
      </c>
      <c r="H141" s="5">
        <f>3139 / 86400</f>
        <v>3.6331018518518519E-2</v>
      </c>
      <c r="I141" t="s">
        <v>27</v>
      </c>
      <c r="J141" t="s">
        <v>52</v>
      </c>
      <c r="K141" s="5">
        <f>9174 / 86400</f>
        <v>0.10618055555555556</v>
      </c>
      <c r="L141" s="5">
        <f>5031 / 86400</f>
        <v>5.8229166666666665E-2</v>
      </c>
    </row>
    <row r="142" spans="1:12" x14ac:dyDescent="0.25">
      <c r="A142" s="3">
        <v>45714.623333333337</v>
      </c>
      <c r="B142" t="s">
        <v>159</v>
      </c>
      <c r="C142" s="3">
        <v>45714.766759259262</v>
      </c>
      <c r="D142" t="s">
        <v>160</v>
      </c>
      <c r="E142" s="4">
        <v>51.08</v>
      </c>
      <c r="F142" s="4">
        <v>22218.21</v>
      </c>
      <c r="G142" s="4">
        <v>22269.29</v>
      </c>
      <c r="H142" s="5">
        <f>4039 / 86400</f>
        <v>4.6747685185185184E-2</v>
      </c>
      <c r="I142" t="s">
        <v>143</v>
      </c>
      <c r="J142" t="s">
        <v>46</v>
      </c>
      <c r="K142" s="5">
        <f>12392 / 86400</f>
        <v>0.14342592592592593</v>
      </c>
      <c r="L142" s="5">
        <f>1000 / 86400</f>
        <v>1.1574074074074073E-2</v>
      </c>
    </row>
    <row r="143" spans="1:12" x14ac:dyDescent="0.25">
      <c r="A143" s="3">
        <v>45714.778333333335</v>
      </c>
      <c r="B143" t="s">
        <v>160</v>
      </c>
      <c r="C143" s="3">
        <v>45714.779421296298</v>
      </c>
      <c r="D143" t="s">
        <v>80</v>
      </c>
      <c r="E143" s="4">
        <v>7.3999999999999996E-2</v>
      </c>
      <c r="F143" s="4">
        <v>22269.29</v>
      </c>
      <c r="G143" s="4">
        <v>22269.364000000001</v>
      </c>
      <c r="H143" s="5">
        <f>39 / 86400</f>
        <v>4.5138888888888887E-4</v>
      </c>
      <c r="I143" t="s">
        <v>147</v>
      </c>
      <c r="J143" t="s">
        <v>102</v>
      </c>
      <c r="K143" s="5">
        <f>94 / 86400</f>
        <v>1.0879629629629629E-3</v>
      </c>
      <c r="L143" s="5">
        <f>168 / 86400</f>
        <v>1.9444444444444444E-3</v>
      </c>
    </row>
    <row r="144" spans="1:12" x14ac:dyDescent="0.25">
      <c r="A144" s="3">
        <v>45714.781365740739</v>
      </c>
      <c r="B144" t="s">
        <v>80</v>
      </c>
      <c r="C144" s="3">
        <v>45714.784490740742</v>
      </c>
      <c r="D144" t="s">
        <v>156</v>
      </c>
      <c r="E144" s="4">
        <v>0.872</v>
      </c>
      <c r="F144" s="4">
        <v>22269.364000000001</v>
      </c>
      <c r="G144" s="4">
        <v>22270.236000000001</v>
      </c>
      <c r="H144" s="5">
        <f>60 / 86400</f>
        <v>6.9444444444444447E-4</v>
      </c>
      <c r="I144" t="s">
        <v>136</v>
      </c>
      <c r="J144" t="s">
        <v>98</v>
      </c>
      <c r="K144" s="5">
        <f>270 / 86400</f>
        <v>3.1250000000000002E-3</v>
      </c>
      <c r="L144" s="5">
        <f>470 / 86400</f>
        <v>5.4398148148148149E-3</v>
      </c>
    </row>
    <row r="145" spans="1:12" x14ac:dyDescent="0.25">
      <c r="A145" s="3">
        <v>45714.789930555555</v>
      </c>
      <c r="B145" t="s">
        <v>156</v>
      </c>
      <c r="C145" s="3">
        <v>45714.791458333333</v>
      </c>
      <c r="D145" t="s">
        <v>156</v>
      </c>
      <c r="E145" s="4">
        <v>1.2E-2</v>
      </c>
      <c r="F145" s="4">
        <v>22270.236000000001</v>
      </c>
      <c r="G145" s="4">
        <v>22270.248</v>
      </c>
      <c r="H145" s="5">
        <f>80 / 86400</f>
        <v>9.2592592592592596E-4</v>
      </c>
      <c r="I145" t="s">
        <v>32</v>
      </c>
      <c r="J145" t="s">
        <v>22</v>
      </c>
      <c r="K145" s="5">
        <f>132 / 86400</f>
        <v>1.5277777777777779E-3</v>
      </c>
      <c r="L145" s="5">
        <f>300 / 86400</f>
        <v>3.472222222222222E-3</v>
      </c>
    </row>
    <row r="146" spans="1:12" x14ac:dyDescent="0.25">
      <c r="A146" s="3">
        <v>45714.794930555552</v>
      </c>
      <c r="B146" t="s">
        <v>156</v>
      </c>
      <c r="C146" s="3">
        <v>45714.943657407406</v>
      </c>
      <c r="D146" t="s">
        <v>26</v>
      </c>
      <c r="E146" s="4">
        <v>60.890999999999998</v>
      </c>
      <c r="F146" s="4">
        <v>22270.248</v>
      </c>
      <c r="G146" s="4">
        <v>22331.138999999999</v>
      </c>
      <c r="H146" s="5">
        <f>3858 / 86400</f>
        <v>4.4652777777777777E-2</v>
      </c>
      <c r="I146" t="s">
        <v>150</v>
      </c>
      <c r="J146" t="s">
        <v>61</v>
      </c>
      <c r="K146" s="5">
        <f>12850 / 86400</f>
        <v>0.14872685185185186</v>
      </c>
      <c r="L146" s="5">
        <f>4867 / 86400</f>
        <v>5.6331018518518516E-2</v>
      </c>
    </row>
    <row r="147" spans="1:12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2"/>
    </row>
    <row r="148" spans="1:12" x14ac:dyDescent="0.25">
      <c r="A148" s="12"/>
      <c r="B148" s="12"/>
      <c r="C148" s="12"/>
      <c r="D148" s="12"/>
      <c r="E148" s="12"/>
      <c r="F148" s="12"/>
      <c r="G148" s="12"/>
      <c r="H148" s="12"/>
      <c r="I148" s="12"/>
      <c r="J148" s="12"/>
    </row>
    <row r="149" spans="1:12" s="10" customFormat="1" ht="20.100000000000001" customHeight="1" x14ac:dyDescent="0.35">
      <c r="A149" s="15" t="s">
        <v>471</v>
      </c>
      <c r="B149" s="15"/>
      <c r="C149" s="15"/>
      <c r="D149" s="15"/>
      <c r="E149" s="15"/>
      <c r="F149" s="15"/>
      <c r="G149" s="15"/>
      <c r="H149" s="15"/>
      <c r="I149" s="15"/>
      <c r="J149" s="15"/>
    </row>
    <row r="150" spans="1:12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12"/>
    </row>
    <row r="151" spans="1:12" ht="30" x14ac:dyDescent="0.25">
      <c r="A151" s="2" t="s">
        <v>6</v>
      </c>
      <c r="B151" s="2" t="s">
        <v>7</v>
      </c>
      <c r="C151" s="2" t="s">
        <v>8</v>
      </c>
      <c r="D151" s="2" t="s">
        <v>9</v>
      </c>
      <c r="E151" s="2" t="s">
        <v>10</v>
      </c>
      <c r="F151" s="2" t="s">
        <v>11</v>
      </c>
      <c r="G151" s="2" t="s">
        <v>12</v>
      </c>
      <c r="H151" s="2" t="s">
        <v>13</v>
      </c>
      <c r="I151" s="2" t="s">
        <v>14</v>
      </c>
      <c r="J151" s="2" t="s">
        <v>15</v>
      </c>
      <c r="K151" s="2" t="s">
        <v>16</v>
      </c>
      <c r="L151" s="2" t="s">
        <v>17</v>
      </c>
    </row>
    <row r="152" spans="1:12" x14ac:dyDescent="0.25">
      <c r="A152" s="3">
        <v>45714.243518518517</v>
      </c>
      <c r="B152" t="s">
        <v>29</v>
      </c>
      <c r="C152" s="3">
        <v>45714.254664351851</v>
      </c>
      <c r="D152" t="s">
        <v>92</v>
      </c>
      <c r="E152" s="4">
        <v>4.1150000000000002</v>
      </c>
      <c r="F152" s="4">
        <v>515779.60200000001</v>
      </c>
      <c r="G152" s="4">
        <v>515783.717</v>
      </c>
      <c r="H152" s="5">
        <f>419 / 86400</f>
        <v>4.8495370370370368E-3</v>
      </c>
      <c r="I152" t="s">
        <v>161</v>
      </c>
      <c r="J152" t="s">
        <v>46</v>
      </c>
      <c r="K152" s="5">
        <f>962 / 86400</f>
        <v>1.1134259259259259E-2</v>
      </c>
      <c r="L152" s="5">
        <f>21355 / 86400</f>
        <v>0.24716435185185184</v>
      </c>
    </row>
    <row r="153" spans="1:12" x14ac:dyDescent="0.25">
      <c r="A153" s="3">
        <v>45714.258310185185</v>
      </c>
      <c r="B153" t="s">
        <v>92</v>
      </c>
      <c r="C153" s="3">
        <v>45714.314409722225</v>
      </c>
      <c r="D153" t="s">
        <v>162</v>
      </c>
      <c r="E153" s="4">
        <v>29.805</v>
      </c>
      <c r="F153" s="4">
        <v>515783.717</v>
      </c>
      <c r="G153" s="4">
        <v>515813.522</v>
      </c>
      <c r="H153" s="5">
        <f>1419 / 86400</f>
        <v>1.6423611111111111E-2</v>
      </c>
      <c r="I153" t="s">
        <v>57</v>
      </c>
      <c r="J153" t="s">
        <v>140</v>
      </c>
      <c r="K153" s="5">
        <f>4846 / 86400</f>
        <v>5.6087962962962964E-2</v>
      </c>
      <c r="L153" s="5">
        <f>2924 / 86400</f>
        <v>3.3842592592592591E-2</v>
      </c>
    </row>
    <row r="154" spans="1:12" x14ac:dyDescent="0.25">
      <c r="A154" s="3">
        <v>45714.348252314812</v>
      </c>
      <c r="B154" t="s">
        <v>162</v>
      </c>
      <c r="C154" s="3">
        <v>45714.351273148146</v>
      </c>
      <c r="D154" t="s">
        <v>163</v>
      </c>
      <c r="E154" s="4">
        <v>0.55500000000000005</v>
      </c>
      <c r="F154" s="4">
        <v>515813.522</v>
      </c>
      <c r="G154" s="4">
        <v>515814.07699999999</v>
      </c>
      <c r="H154" s="5">
        <f>58 / 86400</f>
        <v>6.7129629629629625E-4</v>
      </c>
      <c r="I154" t="s">
        <v>64</v>
      </c>
      <c r="J154" t="s">
        <v>157</v>
      </c>
      <c r="K154" s="5">
        <f>261 / 86400</f>
        <v>3.0208333333333333E-3</v>
      </c>
      <c r="L154" s="5">
        <f>2214 / 86400</f>
        <v>2.5624999999999998E-2</v>
      </c>
    </row>
    <row r="155" spans="1:12" x14ac:dyDescent="0.25">
      <c r="A155" s="3">
        <v>45714.376898148148</v>
      </c>
      <c r="B155" t="s">
        <v>163</v>
      </c>
      <c r="C155" s="3">
        <v>45714.499895833331</v>
      </c>
      <c r="D155" t="s">
        <v>164</v>
      </c>
      <c r="E155" s="4">
        <v>51.764000000000003</v>
      </c>
      <c r="F155" s="4">
        <v>515814.07699999999</v>
      </c>
      <c r="G155" s="4">
        <v>515865.84100000001</v>
      </c>
      <c r="H155" s="5">
        <f>3481 / 86400</f>
        <v>4.0289351851851854E-2</v>
      </c>
      <c r="I155" t="s">
        <v>30</v>
      </c>
      <c r="J155" t="s">
        <v>20</v>
      </c>
      <c r="K155" s="5">
        <f>10627 / 86400</f>
        <v>0.12299768518518518</v>
      </c>
      <c r="L155" s="5">
        <f>243 / 86400</f>
        <v>2.8124999999999999E-3</v>
      </c>
    </row>
    <row r="156" spans="1:12" x14ac:dyDescent="0.25">
      <c r="A156" s="3">
        <v>45714.502708333333</v>
      </c>
      <c r="B156" t="s">
        <v>164</v>
      </c>
      <c r="C156" s="3">
        <v>45714.630150462966</v>
      </c>
      <c r="D156" t="s">
        <v>133</v>
      </c>
      <c r="E156" s="4">
        <v>50.747999999999998</v>
      </c>
      <c r="F156" s="4">
        <v>515865.84100000001</v>
      </c>
      <c r="G156" s="4">
        <v>515916.58899999998</v>
      </c>
      <c r="H156" s="5">
        <f>3420 / 86400</f>
        <v>3.9583333333333331E-2</v>
      </c>
      <c r="I156" t="s">
        <v>57</v>
      </c>
      <c r="J156" t="s">
        <v>61</v>
      </c>
      <c r="K156" s="5">
        <f>11011 / 86400</f>
        <v>0.12744212962962964</v>
      </c>
      <c r="L156" s="5">
        <f>625 / 86400</f>
        <v>7.2337962962962963E-3</v>
      </c>
    </row>
    <row r="157" spans="1:12" x14ac:dyDescent="0.25">
      <c r="A157" s="3">
        <v>45714.637384259258</v>
      </c>
      <c r="B157" t="s">
        <v>133</v>
      </c>
      <c r="C157" s="3">
        <v>45714.637488425928</v>
      </c>
      <c r="D157" t="s">
        <v>133</v>
      </c>
      <c r="E157" s="4">
        <v>4.0000000000000001E-3</v>
      </c>
      <c r="F157" s="4">
        <v>515916.58899999998</v>
      </c>
      <c r="G157" s="4">
        <v>515916.59299999999</v>
      </c>
      <c r="H157" s="5">
        <f>0 / 86400</f>
        <v>0</v>
      </c>
      <c r="I157" t="s">
        <v>77</v>
      </c>
      <c r="J157" t="s">
        <v>32</v>
      </c>
      <c r="K157" s="5">
        <f>9 / 86400</f>
        <v>1.0416666666666667E-4</v>
      </c>
      <c r="L157" s="5">
        <f>3498 / 86400</f>
        <v>4.0486111111111112E-2</v>
      </c>
    </row>
    <row r="158" spans="1:12" x14ac:dyDescent="0.25">
      <c r="A158" s="3">
        <v>45714.677974537037</v>
      </c>
      <c r="B158" t="s">
        <v>133</v>
      </c>
      <c r="C158" s="3">
        <v>45714.681331018517</v>
      </c>
      <c r="D158" t="s">
        <v>80</v>
      </c>
      <c r="E158" s="4">
        <v>0.92700000000000005</v>
      </c>
      <c r="F158" s="4">
        <v>515916.59299999999</v>
      </c>
      <c r="G158" s="4">
        <v>515917.52</v>
      </c>
      <c r="H158" s="5">
        <f>20 / 86400</f>
        <v>2.3148148148148149E-4</v>
      </c>
      <c r="I158" t="s">
        <v>91</v>
      </c>
      <c r="J158" t="s">
        <v>98</v>
      </c>
      <c r="K158" s="5">
        <f>289 / 86400</f>
        <v>3.3449074074074076E-3</v>
      </c>
      <c r="L158" s="5">
        <f>270 / 86400</f>
        <v>3.1250000000000002E-3</v>
      </c>
    </row>
    <row r="159" spans="1:12" x14ac:dyDescent="0.25">
      <c r="A159" s="3">
        <v>45714.68445601852</v>
      </c>
      <c r="B159" t="s">
        <v>80</v>
      </c>
      <c r="C159" s="3">
        <v>45714.808900462958</v>
      </c>
      <c r="D159" t="s">
        <v>165</v>
      </c>
      <c r="E159" s="4">
        <v>47.002000000000002</v>
      </c>
      <c r="F159" s="4">
        <v>515917.52</v>
      </c>
      <c r="G159" s="4">
        <v>515964.522</v>
      </c>
      <c r="H159" s="5">
        <f>3579 / 86400</f>
        <v>4.1423611111111112E-2</v>
      </c>
      <c r="I159" t="s">
        <v>97</v>
      </c>
      <c r="J159" t="s">
        <v>28</v>
      </c>
      <c r="K159" s="5">
        <f>10752 / 86400</f>
        <v>0.12444444444444444</v>
      </c>
      <c r="L159" s="5">
        <f>42 / 86400</f>
        <v>4.861111111111111E-4</v>
      </c>
    </row>
    <row r="160" spans="1:12" x14ac:dyDescent="0.25">
      <c r="A160" s="3">
        <v>45714.809386574074</v>
      </c>
      <c r="B160" t="s">
        <v>166</v>
      </c>
      <c r="C160" s="3">
        <v>45714.906296296293</v>
      </c>
      <c r="D160" t="s">
        <v>81</v>
      </c>
      <c r="E160" s="4">
        <v>30.212</v>
      </c>
      <c r="F160" s="4">
        <v>515964.522</v>
      </c>
      <c r="G160" s="4">
        <v>515994.734</v>
      </c>
      <c r="H160" s="5">
        <f>2840 / 86400</f>
        <v>3.2870370370370369E-2</v>
      </c>
      <c r="I160" t="s">
        <v>167</v>
      </c>
      <c r="J160" t="s">
        <v>42</v>
      </c>
      <c r="K160" s="5">
        <f>8372 / 86400</f>
        <v>9.689814814814815E-2</v>
      </c>
      <c r="L160" s="5">
        <f>594 / 86400</f>
        <v>6.875E-3</v>
      </c>
    </row>
    <row r="161" spans="1:12" x14ac:dyDescent="0.25">
      <c r="A161" s="3">
        <v>45714.913171296299</v>
      </c>
      <c r="B161" t="s">
        <v>81</v>
      </c>
      <c r="C161" s="3">
        <v>45714.919259259259</v>
      </c>
      <c r="D161" t="s">
        <v>168</v>
      </c>
      <c r="E161" s="4">
        <v>3.3380000000000001</v>
      </c>
      <c r="F161" s="4">
        <v>515994.734</v>
      </c>
      <c r="G161" s="4">
        <v>515998.07199999999</v>
      </c>
      <c r="H161" s="5">
        <f>180 / 86400</f>
        <v>2.0833333333333333E-3</v>
      </c>
      <c r="I161" t="s">
        <v>97</v>
      </c>
      <c r="J161" t="s">
        <v>134</v>
      </c>
      <c r="K161" s="5">
        <f>526 / 86400</f>
        <v>6.0879629629629626E-3</v>
      </c>
      <c r="L161" s="5">
        <f>364 / 86400</f>
        <v>4.2129629629629626E-3</v>
      </c>
    </row>
    <row r="162" spans="1:12" x14ac:dyDescent="0.25">
      <c r="A162" s="3">
        <v>45714.923472222217</v>
      </c>
      <c r="B162" t="s">
        <v>168</v>
      </c>
      <c r="C162" s="3">
        <v>45714.929189814815</v>
      </c>
      <c r="D162" t="s">
        <v>29</v>
      </c>
      <c r="E162" s="4">
        <v>0.52500000000000002</v>
      </c>
      <c r="F162" s="4">
        <v>515998.07199999999</v>
      </c>
      <c r="G162" s="4">
        <v>515998.59700000001</v>
      </c>
      <c r="H162" s="5">
        <f>240 / 86400</f>
        <v>2.7777777777777779E-3</v>
      </c>
      <c r="I162" t="s">
        <v>70</v>
      </c>
      <c r="J162" t="s">
        <v>152</v>
      </c>
      <c r="K162" s="5">
        <f>494 / 86400</f>
        <v>5.7175925925925927E-3</v>
      </c>
      <c r="L162" s="5">
        <f>6117 / 86400</f>
        <v>7.0798611111111118E-2</v>
      </c>
    </row>
    <row r="163" spans="1:12" x14ac:dyDescent="0.25">
      <c r="A163" s="12"/>
      <c r="B163" s="12"/>
      <c r="C163" s="12"/>
      <c r="D163" s="12"/>
      <c r="E163" s="12"/>
      <c r="F163" s="12"/>
      <c r="G163" s="12"/>
      <c r="H163" s="12"/>
      <c r="I163" s="12"/>
      <c r="J163" s="12"/>
    </row>
    <row r="164" spans="1:12" x14ac:dyDescent="0.25">
      <c r="A164" s="12"/>
      <c r="B164" s="12"/>
      <c r="C164" s="12"/>
      <c r="D164" s="12"/>
      <c r="E164" s="12"/>
      <c r="F164" s="12"/>
      <c r="G164" s="12"/>
      <c r="H164" s="12"/>
      <c r="I164" s="12"/>
      <c r="J164" s="12"/>
    </row>
    <row r="165" spans="1:12" s="10" customFormat="1" ht="20.100000000000001" customHeight="1" x14ac:dyDescent="0.35">
      <c r="A165" s="15" t="s">
        <v>472</v>
      </c>
      <c r="B165" s="15"/>
      <c r="C165" s="15"/>
      <c r="D165" s="15"/>
      <c r="E165" s="15"/>
      <c r="F165" s="15"/>
      <c r="G165" s="15"/>
      <c r="H165" s="15"/>
      <c r="I165" s="15"/>
      <c r="J165" s="15"/>
    </row>
    <row r="166" spans="1:12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</row>
    <row r="167" spans="1:12" ht="30" x14ac:dyDescent="0.25">
      <c r="A167" s="2" t="s">
        <v>6</v>
      </c>
      <c r="B167" s="2" t="s">
        <v>7</v>
      </c>
      <c r="C167" s="2" t="s">
        <v>8</v>
      </c>
      <c r="D167" s="2" t="s">
        <v>9</v>
      </c>
      <c r="E167" s="2" t="s">
        <v>10</v>
      </c>
      <c r="F167" s="2" t="s">
        <v>11</v>
      </c>
      <c r="G167" s="2" t="s">
        <v>12</v>
      </c>
      <c r="H167" s="2" t="s">
        <v>13</v>
      </c>
      <c r="I167" s="2" t="s">
        <v>14</v>
      </c>
      <c r="J167" s="2" t="s">
        <v>15</v>
      </c>
      <c r="K167" s="2" t="s">
        <v>16</v>
      </c>
      <c r="L167" s="2" t="s">
        <v>17</v>
      </c>
    </row>
    <row r="168" spans="1:12" x14ac:dyDescent="0.25">
      <c r="A168" s="3">
        <v>45714.406192129631</v>
      </c>
      <c r="B168" t="s">
        <v>26</v>
      </c>
      <c r="C168" s="3">
        <v>45714.409224537041</v>
      </c>
      <c r="D168" t="s">
        <v>26</v>
      </c>
      <c r="E168" s="4">
        <v>6.8000000000000005E-2</v>
      </c>
      <c r="F168" s="4">
        <v>93384.952000000005</v>
      </c>
      <c r="G168" s="4">
        <v>93385.02</v>
      </c>
      <c r="H168" s="5">
        <f>159 / 86400</f>
        <v>1.8402777777777777E-3</v>
      </c>
      <c r="I168" t="s">
        <v>102</v>
      </c>
      <c r="J168" t="s">
        <v>78</v>
      </c>
      <c r="K168" s="5">
        <f>262 / 86400</f>
        <v>3.0324074074074073E-3</v>
      </c>
      <c r="L168" s="5">
        <f>35381 / 86400</f>
        <v>0.40950231481481481</v>
      </c>
    </row>
    <row r="169" spans="1:12" x14ac:dyDescent="0.25">
      <c r="A169" s="3">
        <v>45714.412534722222</v>
      </c>
      <c r="B169" t="s">
        <v>26</v>
      </c>
      <c r="C169" s="3">
        <v>45714.41342592593</v>
      </c>
      <c r="D169" t="s">
        <v>26</v>
      </c>
      <c r="E169" s="4">
        <v>6.9000000000000006E-2</v>
      </c>
      <c r="F169" s="4">
        <v>93385.02</v>
      </c>
      <c r="G169" s="4">
        <v>93385.089000000007</v>
      </c>
      <c r="H169" s="5">
        <f>40 / 86400</f>
        <v>4.6296296296296298E-4</v>
      </c>
      <c r="I169" t="s">
        <v>135</v>
      </c>
      <c r="J169" t="s">
        <v>102</v>
      </c>
      <c r="K169" s="5">
        <f>77 / 86400</f>
        <v>8.9120370370370373E-4</v>
      </c>
      <c r="L169" s="5">
        <f>31 / 86400</f>
        <v>3.5879629629629629E-4</v>
      </c>
    </row>
    <row r="170" spans="1:12" x14ac:dyDescent="0.25">
      <c r="A170" s="3">
        <v>45714.413784722223</v>
      </c>
      <c r="B170" t="s">
        <v>26</v>
      </c>
      <c r="C170" s="3">
        <v>45714.414085648154</v>
      </c>
      <c r="D170" t="s">
        <v>26</v>
      </c>
      <c r="E170" s="4">
        <v>0</v>
      </c>
      <c r="F170" s="4">
        <v>93385.089000000007</v>
      </c>
      <c r="G170" s="4">
        <v>93385.089000000007</v>
      </c>
      <c r="H170" s="5">
        <f>19 / 86400</f>
        <v>2.199074074074074E-4</v>
      </c>
      <c r="I170" t="s">
        <v>22</v>
      </c>
      <c r="J170" t="s">
        <v>22</v>
      </c>
      <c r="K170" s="5">
        <f>25 / 86400</f>
        <v>2.8935185185185184E-4</v>
      </c>
      <c r="L170" s="5">
        <f>20694 / 86400</f>
        <v>0.23951388888888889</v>
      </c>
    </row>
    <row r="171" spans="1:12" x14ac:dyDescent="0.25">
      <c r="A171" s="3">
        <v>45714.653599537036</v>
      </c>
      <c r="B171" t="s">
        <v>26</v>
      </c>
      <c r="C171" s="3">
        <v>45714.656817129631</v>
      </c>
      <c r="D171" t="s">
        <v>26</v>
      </c>
      <c r="E171" s="4">
        <v>0.191</v>
      </c>
      <c r="F171" s="4">
        <v>93385.089000000007</v>
      </c>
      <c r="G171" s="4">
        <v>93385.279999999999</v>
      </c>
      <c r="H171" s="5">
        <f>159 / 86400</f>
        <v>1.8402777777777777E-3</v>
      </c>
      <c r="I171" t="s">
        <v>31</v>
      </c>
      <c r="J171" t="s">
        <v>32</v>
      </c>
      <c r="K171" s="5">
        <f>278 / 86400</f>
        <v>3.2175925925925926E-3</v>
      </c>
      <c r="L171" s="5">
        <f>29650 / 86400</f>
        <v>0.34317129629629628</v>
      </c>
    </row>
    <row r="172" spans="1:12" x14ac:dyDescent="0.25">
      <c r="A172" s="12"/>
      <c r="B172" s="12"/>
      <c r="C172" s="12"/>
      <c r="D172" s="12"/>
      <c r="E172" s="12"/>
      <c r="F172" s="12"/>
      <c r="G172" s="12"/>
      <c r="H172" s="12"/>
      <c r="I172" s="12"/>
      <c r="J172" s="12"/>
    </row>
    <row r="173" spans="1:12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s="12"/>
    </row>
    <row r="174" spans="1:12" s="10" customFormat="1" ht="20.100000000000001" customHeight="1" x14ac:dyDescent="0.35">
      <c r="A174" s="15" t="s">
        <v>473</v>
      </c>
      <c r="B174" s="15"/>
      <c r="C174" s="15"/>
      <c r="D174" s="15"/>
      <c r="E174" s="15"/>
      <c r="F174" s="15"/>
      <c r="G174" s="15"/>
      <c r="H174" s="15"/>
      <c r="I174" s="15"/>
      <c r="J174" s="15"/>
    </row>
    <row r="175" spans="1:12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s="12"/>
    </row>
    <row r="176" spans="1:12" ht="30" x14ac:dyDescent="0.25">
      <c r="A176" s="2" t="s">
        <v>6</v>
      </c>
      <c r="B176" s="2" t="s">
        <v>7</v>
      </c>
      <c r="C176" s="2" t="s">
        <v>8</v>
      </c>
      <c r="D176" s="2" t="s">
        <v>9</v>
      </c>
      <c r="E176" s="2" t="s">
        <v>10</v>
      </c>
      <c r="F176" s="2" t="s">
        <v>11</v>
      </c>
      <c r="G176" s="2" t="s">
        <v>12</v>
      </c>
      <c r="H176" s="2" t="s">
        <v>13</v>
      </c>
      <c r="I176" s="2" t="s">
        <v>14</v>
      </c>
      <c r="J176" s="2" t="s">
        <v>15</v>
      </c>
      <c r="K176" s="2" t="s">
        <v>16</v>
      </c>
      <c r="L176" s="2" t="s">
        <v>17</v>
      </c>
    </row>
    <row r="177" spans="1:12" x14ac:dyDescent="0.25">
      <c r="A177" s="3">
        <v>45714.179872685185</v>
      </c>
      <c r="B177" t="s">
        <v>18</v>
      </c>
      <c r="C177" s="3">
        <v>45714.273761574077</v>
      </c>
      <c r="D177" t="s">
        <v>169</v>
      </c>
      <c r="E177" s="4">
        <v>49.399000000000001</v>
      </c>
      <c r="F177" s="4">
        <v>140759.50399999999</v>
      </c>
      <c r="G177" s="4">
        <v>140808.90299999999</v>
      </c>
      <c r="H177" s="5">
        <f>1859 / 86400</f>
        <v>2.1516203703703704E-2</v>
      </c>
      <c r="I177" t="s">
        <v>161</v>
      </c>
      <c r="J177" t="s">
        <v>140</v>
      </c>
      <c r="K177" s="5">
        <f>8111 / 86400</f>
        <v>9.3877314814814816E-2</v>
      </c>
      <c r="L177" s="5">
        <f>15850 / 86400</f>
        <v>0.18344907407407407</v>
      </c>
    </row>
    <row r="178" spans="1:12" x14ac:dyDescent="0.25">
      <c r="A178" s="3">
        <v>45714.277337962965</v>
      </c>
      <c r="B178" t="s">
        <v>169</v>
      </c>
      <c r="C178" s="3">
        <v>45714.279108796298</v>
      </c>
      <c r="D178" t="s">
        <v>163</v>
      </c>
      <c r="E178" s="4">
        <v>0.41499999999999998</v>
      </c>
      <c r="F178" s="4">
        <v>140808.90299999999</v>
      </c>
      <c r="G178" s="4">
        <v>140809.318</v>
      </c>
      <c r="H178" s="5">
        <f>20 / 86400</f>
        <v>2.3148148148148149E-4</v>
      </c>
      <c r="I178" t="s">
        <v>170</v>
      </c>
      <c r="J178" t="s">
        <v>132</v>
      </c>
      <c r="K178" s="5">
        <f>152 / 86400</f>
        <v>1.7592592592592592E-3</v>
      </c>
      <c r="L178" s="5">
        <f>1120 / 86400</f>
        <v>1.2962962962962963E-2</v>
      </c>
    </row>
    <row r="179" spans="1:12" x14ac:dyDescent="0.25">
      <c r="A179" s="3">
        <v>45714.292071759264</v>
      </c>
      <c r="B179" t="s">
        <v>163</v>
      </c>
      <c r="C179" s="3">
        <v>45714.462384259255</v>
      </c>
      <c r="D179" t="s">
        <v>80</v>
      </c>
      <c r="E179" s="4">
        <v>78.716999999999999</v>
      </c>
      <c r="F179" s="4">
        <v>140809.318</v>
      </c>
      <c r="G179" s="4">
        <v>140888.035</v>
      </c>
      <c r="H179" s="5">
        <f>3836 / 86400</f>
        <v>4.4398148148148145E-2</v>
      </c>
      <c r="I179" t="s">
        <v>33</v>
      </c>
      <c r="J179" t="s">
        <v>25</v>
      </c>
      <c r="K179" s="5">
        <f>14714 / 86400</f>
        <v>0.17030092592592594</v>
      </c>
      <c r="L179" s="5">
        <f>80 / 86400</f>
        <v>9.2592592592592596E-4</v>
      </c>
    </row>
    <row r="180" spans="1:12" x14ac:dyDescent="0.25">
      <c r="A180" s="3">
        <v>45714.463310185187</v>
      </c>
      <c r="B180" t="s">
        <v>80</v>
      </c>
      <c r="C180" s="3">
        <v>45714.463402777779</v>
      </c>
      <c r="D180" t="s">
        <v>80</v>
      </c>
      <c r="E180" s="4">
        <v>0</v>
      </c>
      <c r="F180" s="4">
        <v>140888.035</v>
      </c>
      <c r="G180" s="4">
        <v>140888.035</v>
      </c>
      <c r="H180" s="5">
        <f>0 / 86400</f>
        <v>0</v>
      </c>
      <c r="I180" t="s">
        <v>22</v>
      </c>
      <c r="J180" t="s">
        <v>22</v>
      </c>
      <c r="K180" s="5">
        <f>8 / 86400</f>
        <v>9.2592592592592588E-5</v>
      </c>
      <c r="L180" s="5">
        <f>8179 / 86400</f>
        <v>9.4664351851851847E-2</v>
      </c>
    </row>
    <row r="181" spans="1:12" x14ac:dyDescent="0.25">
      <c r="A181" s="3">
        <v>45714.558067129634</v>
      </c>
      <c r="B181" t="s">
        <v>80</v>
      </c>
      <c r="C181" s="3">
        <v>45714.800243055557</v>
      </c>
      <c r="D181" t="s">
        <v>171</v>
      </c>
      <c r="E181" s="4">
        <v>103.42100000000001</v>
      </c>
      <c r="F181" s="4">
        <v>140888.035</v>
      </c>
      <c r="G181" s="4">
        <v>140991.45600000001</v>
      </c>
      <c r="H181" s="5">
        <f>7159 / 86400</f>
        <v>8.2858796296296292E-2</v>
      </c>
      <c r="I181" t="s">
        <v>27</v>
      </c>
      <c r="J181" t="s">
        <v>20</v>
      </c>
      <c r="K181" s="5">
        <f>20924 / 86400</f>
        <v>0.24217592592592593</v>
      </c>
      <c r="L181" s="5">
        <f>281 / 86400</f>
        <v>3.2523148148148147E-3</v>
      </c>
    </row>
    <row r="182" spans="1:12" x14ac:dyDescent="0.25">
      <c r="A182" s="3">
        <v>45714.803495370375</v>
      </c>
      <c r="B182" t="s">
        <v>171</v>
      </c>
      <c r="C182" s="3">
        <v>45714.808206018519</v>
      </c>
      <c r="D182" t="s">
        <v>18</v>
      </c>
      <c r="E182" s="4">
        <v>0.57099999999999995</v>
      </c>
      <c r="F182" s="4">
        <v>140991.45600000001</v>
      </c>
      <c r="G182" s="4">
        <v>140992.027</v>
      </c>
      <c r="H182" s="5">
        <f>199 / 86400</f>
        <v>2.3032407407407407E-3</v>
      </c>
      <c r="I182" t="s">
        <v>25</v>
      </c>
      <c r="J182" t="s">
        <v>77</v>
      </c>
      <c r="K182" s="5">
        <f>406 / 86400</f>
        <v>4.6990740740740743E-3</v>
      </c>
      <c r="L182" s="5">
        <f>16570 / 86400</f>
        <v>0.1917824074074074</v>
      </c>
    </row>
    <row r="183" spans="1:12" x14ac:dyDescent="0.25">
      <c r="A183" s="12"/>
      <c r="B183" s="12"/>
      <c r="C183" s="12"/>
      <c r="D183" s="12"/>
      <c r="E183" s="12"/>
      <c r="F183" s="12"/>
      <c r="G183" s="12"/>
      <c r="H183" s="12"/>
      <c r="I183" s="12"/>
      <c r="J183" s="12"/>
    </row>
    <row r="184" spans="1:12" x14ac:dyDescent="0.25">
      <c r="A184" s="12"/>
      <c r="B184" s="12"/>
      <c r="C184" s="12"/>
      <c r="D184" s="12"/>
      <c r="E184" s="12"/>
      <c r="F184" s="12"/>
      <c r="G184" s="12"/>
      <c r="H184" s="12"/>
      <c r="I184" s="12"/>
      <c r="J184" s="12"/>
    </row>
    <row r="185" spans="1:12" s="10" customFormat="1" ht="20.100000000000001" customHeight="1" x14ac:dyDescent="0.35">
      <c r="A185" s="15" t="s">
        <v>474</v>
      </c>
      <c r="B185" s="15"/>
      <c r="C185" s="15"/>
      <c r="D185" s="15"/>
      <c r="E185" s="15"/>
      <c r="F185" s="15"/>
      <c r="G185" s="15"/>
      <c r="H185" s="15"/>
      <c r="I185" s="15"/>
      <c r="J185" s="15"/>
    </row>
    <row r="186" spans="1:12" x14ac:dyDescent="0.25">
      <c r="A186" s="12"/>
      <c r="B186" s="12"/>
      <c r="C186" s="12"/>
      <c r="D186" s="12"/>
      <c r="E186" s="12"/>
      <c r="F186" s="12"/>
      <c r="G186" s="12"/>
      <c r="H186" s="12"/>
      <c r="I186" s="12"/>
      <c r="J186" s="12"/>
    </row>
    <row r="187" spans="1:12" ht="30" x14ac:dyDescent="0.25">
      <c r="A187" s="2" t="s">
        <v>6</v>
      </c>
      <c r="B187" s="2" t="s">
        <v>7</v>
      </c>
      <c r="C187" s="2" t="s">
        <v>8</v>
      </c>
      <c r="D187" s="2" t="s">
        <v>9</v>
      </c>
      <c r="E187" s="2" t="s">
        <v>10</v>
      </c>
      <c r="F187" s="2" t="s">
        <v>11</v>
      </c>
      <c r="G187" s="2" t="s">
        <v>12</v>
      </c>
      <c r="H187" s="2" t="s">
        <v>13</v>
      </c>
      <c r="I187" s="2" t="s">
        <v>14</v>
      </c>
      <c r="J187" s="2" t="s">
        <v>15</v>
      </c>
      <c r="K187" s="2" t="s">
        <v>16</v>
      </c>
      <c r="L187" s="2" t="s">
        <v>17</v>
      </c>
    </row>
    <row r="188" spans="1:12" x14ac:dyDescent="0.25">
      <c r="A188" s="3">
        <v>45714.248530092591</v>
      </c>
      <c r="B188" t="s">
        <v>34</v>
      </c>
      <c r="C188" s="3">
        <v>45714.249224537038</v>
      </c>
      <c r="D188" t="s">
        <v>26</v>
      </c>
      <c r="E188" s="4">
        <v>3.2676143407821656E-2</v>
      </c>
      <c r="F188" s="4">
        <v>350707.18941485637</v>
      </c>
      <c r="G188" s="4">
        <v>350707.22209099977</v>
      </c>
      <c r="H188" s="5">
        <f t="shared" ref="H188:H251" si="0">0 / 86400</f>
        <v>0</v>
      </c>
      <c r="I188" t="s">
        <v>102</v>
      </c>
      <c r="J188" t="s">
        <v>32</v>
      </c>
      <c r="K188" s="5">
        <f>60 / 86400</f>
        <v>6.9444444444444447E-4</v>
      </c>
      <c r="L188" s="5">
        <f>21613 / 86400</f>
        <v>0.25015046296296295</v>
      </c>
    </row>
    <row r="189" spans="1:12" x14ac:dyDescent="0.25">
      <c r="A189" s="3">
        <v>45714.250844907408</v>
      </c>
      <c r="B189" t="s">
        <v>26</v>
      </c>
      <c r="C189" s="3">
        <v>45714.260844907403</v>
      </c>
      <c r="D189" t="s">
        <v>172</v>
      </c>
      <c r="E189" s="4">
        <v>9.8199433967471119</v>
      </c>
      <c r="F189" s="4">
        <v>350707.23803403566</v>
      </c>
      <c r="G189" s="4">
        <v>350717.05797743244</v>
      </c>
      <c r="H189" s="5">
        <f t="shared" si="0"/>
        <v>0</v>
      </c>
      <c r="I189" t="s">
        <v>173</v>
      </c>
      <c r="J189" t="s">
        <v>174</v>
      </c>
      <c r="K189" s="5">
        <f>864 / 86400</f>
        <v>0.01</v>
      </c>
      <c r="L189" s="5">
        <f>20 / 86400</f>
        <v>2.3148148148148149E-4</v>
      </c>
    </row>
    <row r="190" spans="1:12" x14ac:dyDescent="0.25">
      <c r="A190" s="3">
        <v>45714.261076388888</v>
      </c>
      <c r="B190" t="s">
        <v>172</v>
      </c>
      <c r="C190" s="3">
        <v>45714.263726851852</v>
      </c>
      <c r="D190" t="s">
        <v>175</v>
      </c>
      <c r="E190" s="4">
        <v>2.0556795679926871</v>
      </c>
      <c r="F190" s="4">
        <v>350717.07324332901</v>
      </c>
      <c r="G190" s="4">
        <v>350719.12892289698</v>
      </c>
      <c r="H190" s="5">
        <f t="shared" si="0"/>
        <v>0</v>
      </c>
      <c r="I190" t="s">
        <v>176</v>
      </c>
      <c r="J190" t="s">
        <v>155</v>
      </c>
      <c r="K190" s="5">
        <f>229 / 86400</f>
        <v>2.650462962962963E-3</v>
      </c>
      <c r="L190" s="5">
        <f>20 / 86400</f>
        <v>2.3148148148148149E-4</v>
      </c>
    </row>
    <row r="191" spans="1:12" x14ac:dyDescent="0.25">
      <c r="A191" s="3">
        <v>45714.263958333337</v>
      </c>
      <c r="B191" t="s">
        <v>175</v>
      </c>
      <c r="C191" s="3">
        <v>45714.265462962961</v>
      </c>
      <c r="D191" t="s">
        <v>177</v>
      </c>
      <c r="E191" s="4">
        <v>1.3280089285373688</v>
      </c>
      <c r="F191" s="4">
        <v>350719.24320041214</v>
      </c>
      <c r="G191" s="4">
        <v>350720.57120934071</v>
      </c>
      <c r="H191" s="5">
        <f t="shared" si="0"/>
        <v>0</v>
      </c>
      <c r="I191" t="s">
        <v>178</v>
      </c>
      <c r="J191" t="s">
        <v>154</v>
      </c>
      <c r="K191" s="5">
        <f>130 / 86400</f>
        <v>1.5046296296296296E-3</v>
      </c>
      <c r="L191" s="5">
        <f>68 / 86400</f>
        <v>7.8703703703703705E-4</v>
      </c>
    </row>
    <row r="192" spans="1:12" x14ac:dyDescent="0.25">
      <c r="A192" s="3">
        <v>45714.266250000001</v>
      </c>
      <c r="B192" t="s">
        <v>177</v>
      </c>
      <c r="C192" s="3">
        <v>45714.269027777773</v>
      </c>
      <c r="D192" t="s">
        <v>179</v>
      </c>
      <c r="E192" s="4">
        <v>3.1472535137534141</v>
      </c>
      <c r="F192" s="4">
        <v>350720.5789502039</v>
      </c>
      <c r="G192" s="4">
        <v>350723.72620371764</v>
      </c>
      <c r="H192" s="5">
        <f t="shared" si="0"/>
        <v>0</v>
      </c>
      <c r="I192" t="s">
        <v>30</v>
      </c>
      <c r="J192" t="s">
        <v>180</v>
      </c>
      <c r="K192" s="5">
        <f>240 / 86400</f>
        <v>2.7777777777777779E-3</v>
      </c>
      <c r="L192" s="5">
        <f>20 / 86400</f>
        <v>2.3148148148148149E-4</v>
      </c>
    </row>
    <row r="193" spans="1:12" x14ac:dyDescent="0.25">
      <c r="A193" s="3">
        <v>45714.269259259258</v>
      </c>
      <c r="B193" t="s">
        <v>104</v>
      </c>
      <c r="C193" s="3">
        <v>45714.269953703704</v>
      </c>
      <c r="D193" t="s">
        <v>142</v>
      </c>
      <c r="E193" s="4">
        <v>0.48740586704015731</v>
      </c>
      <c r="F193" s="4">
        <v>350723.92918101425</v>
      </c>
      <c r="G193" s="4">
        <v>350724.41658688127</v>
      </c>
      <c r="H193" s="5">
        <f t="shared" si="0"/>
        <v>0</v>
      </c>
      <c r="I193" t="s">
        <v>150</v>
      </c>
      <c r="J193" t="s">
        <v>181</v>
      </c>
      <c r="K193" s="5">
        <f>60 / 86400</f>
        <v>6.9444444444444447E-4</v>
      </c>
      <c r="L193" s="5">
        <f>40 / 86400</f>
        <v>4.6296296296296298E-4</v>
      </c>
    </row>
    <row r="194" spans="1:12" x14ac:dyDescent="0.25">
      <c r="A194" s="3">
        <v>45714.270416666666</v>
      </c>
      <c r="B194" t="s">
        <v>142</v>
      </c>
      <c r="C194" s="3">
        <v>45714.271111111113</v>
      </c>
      <c r="D194" t="s">
        <v>144</v>
      </c>
      <c r="E194" s="4">
        <v>3.7038733959197996E-2</v>
      </c>
      <c r="F194" s="4">
        <v>350724.42771010514</v>
      </c>
      <c r="G194" s="4">
        <v>350724.46474883909</v>
      </c>
      <c r="H194" s="5">
        <f t="shared" si="0"/>
        <v>0</v>
      </c>
      <c r="I194" t="s">
        <v>102</v>
      </c>
      <c r="J194" t="s">
        <v>32</v>
      </c>
      <c r="K194" s="5">
        <f>60 / 86400</f>
        <v>6.9444444444444447E-4</v>
      </c>
      <c r="L194" s="5">
        <f>40 / 86400</f>
        <v>4.6296296296296298E-4</v>
      </c>
    </row>
    <row r="195" spans="1:12" x14ac:dyDescent="0.25">
      <c r="A195" s="3">
        <v>45714.271574074075</v>
      </c>
      <c r="B195" t="s">
        <v>144</v>
      </c>
      <c r="C195" s="3">
        <v>45714.27180555556</v>
      </c>
      <c r="D195" t="s">
        <v>144</v>
      </c>
      <c r="E195" s="4">
        <v>3.6831203699111939E-3</v>
      </c>
      <c r="F195" s="4">
        <v>350724.46936950029</v>
      </c>
      <c r="G195" s="4">
        <v>350724.47305262065</v>
      </c>
      <c r="H195" s="5">
        <f t="shared" si="0"/>
        <v>0</v>
      </c>
      <c r="I195" t="s">
        <v>152</v>
      </c>
      <c r="J195" t="s">
        <v>78</v>
      </c>
      <c r="K195" s="5">
        <f>20 / 86400</f>
        <v>2.3148148148148149E-4</v>
      </c>
      <c r="L195" s="5">
        <f>180 / 86400</f>
        <v>2.0833333333333333E-3</v>
      </c>
    </row>
    <row r="196" spans="1:12" x14ac:dyDescent="0.25">
      <c r="A196" s="3">
        <v>45714.273888888885</v>
      </c>
      <c r="B196" t="s">
        <v>144</v>
      </c>
      <c r="C196" s="3">
        <v>45714.275740740741</v>
      </c>
      <c r="D196" t="s">
        <v>65</v>
      </c>
      <c r="E196" s="4">
        <v>1.9211539277434349</v>
      </c>
      <c r="F196" s="4">
        <v>350724.49178530608</v>
      </c>
      <c r="G196" s="4">
        <v>350726.41293923382</v>
      </c>
      <c r="H196" s="5">
        <f t="shared" si="0"/>
        <v>0</v>
      </c>
      <c r="I196" t="s">
        <v>116</v>
      </c>
      <c r="J196" t="s">
        <v>182</v>
      </c>
      <c r="K196" s="5">
        <f>160 / 86400</f>
        <v>1.8518518518518519E-3</v>
      </c>
      <c r="L196" s="5">
        <f>20 / 86400</f>
        <v>2.3148148148148149E-4</v>
      </c>
    </row>
    <row r="197" spans="1:12" x14ac:dyDescent="0.25">
      <c r="A197" s="3">
        <v>45714.275972222225</v>
      </c>
      <c r="B197" t="s">
        <v>65</v>
      </c>
      <c r="C197" s="3">
        <v>45714.276666666672</v>
      </c>
      <c r="D197" t="s">
        <v>109</v>
      </c>
      <c r="E197" s="4">
        <v>0.51757419610023503</v>
      </c>
      <c r="F197" s="4">
        <v>350726.48651749757</v>
      </c>
      <c r="G197" s="4">
        <v>350727.00409169367</v>
      </c>
      <c r="H197" s="5">
        <f t="shared" si="0"/>
        <v>0</v>
      </c>
      <c r="I197" t="s">
        <v>183</v>
      </c>
      <c r="J197" t="s">
        <v>184</v>
      </c>
      <c r="K197" s="5">
        <f>60 / 86400</f>
        <v>6.9444444444444447E-4</v>
      </c>
      <c r="L197" s="5">
        <f>35 / 86400</f>
        <v>4.0509259259259258E-4</v>
      </c>
    </row>
    <row r="198" spans="1:12" x14ac:dyDescent="0.25">
      <c r="A198" s="3">
        <v>45714.277071759258</v>
      </c>
      <c r="B198" t="s">
        <v>109</v>
      </c>
      <c r="C198" s="3">
        <v>45714.277997685189</v>
      </c>
      <c r="D198" t="s">
        <v>65</v>
      </c>
      <c r="E198" s="4">
        <v>0.6039472471475601</v>
      </c>
      <c r="F198" s="4">
        <v>350727.00900709676</v>
      </c>
      <c r="G198" s="4">
        <v>350727.6129543439</v>
      </c>
      <c r="H198" s="5">
        <f t="shared" si="0"/>
        <v>0</v>
      </c>
      <c r="I198" t="s">
        <v>185</v>
      </c>
      <c r="J198" t="s">
        <v>186</v>
      </c>
      <c r="K198" s="5">
        <f>80 / 86400</f>
        <v>9.2592592592592596E-4</v>
      </c>
      <c r="L198" s="5">
        <f>20 / 86400</f>
        <v>2.3148148148148149E-4</v>
      </c>
    </row>
    <row r="199" spans="1:12" x14ac:dyDescent="0.25">
      <c r="A199" s="3">
        <v>45714.278229166666</v>
      </c>
      <c r="B199" t="s">
        <v>65</v>
      </c>
      <c r="C199" s="3">
        <v>45714.278460648144</v>
      </c>
      <c r="D199" t="s">
        <v>65</v>
      </c>
      <c r="E199" s="4">
        <v>8.6645178198814388E-3</v>
      </c>
      <c r="F199" s="4">
        <v>350727.63473410049</v>
      </c>
      <c r="G199" s="4">
        <v>350727.64339861827</v>
      </c>
      <c r="H199" s="5">
        <f t="shared" si="0"/>
        <v>0</v>
      </c>
      <c r="I199" t="s">
        <v>77</v>
      </c>
      <c r="J199" t="s">
        <v>32</v>
      </c>
      <c r="K199" s="5">
        <f>20 / 86400</f>
        <v>2.3148148148148149E-4</v>
      </c>
      <c r="L199" s="5">
        <f>17 / 86400</f>
        <v>1.9675925925925926E-4</v>
      </c>
    </row>
    <row r="200" spans="1:12" x14ac:dyDescent="0.25">
      <c r="A200" s="3">
        <v>45714.278657407413</v>
      </c>
      <c r="B200" t="s">
        <v>65</v>
      </c>
      <c r="C200" s="3">
        <v>45714.279351851852</v>
      </c>
      <c r="D200" t="s">
        <v>65</v>
      </c>
      <c r="E200" s="4">
        <v>7.8891913592815402E-2</v>
      </c>
      <c r="F200" s="4">
        <v>350727.64722143183</v>
      </c>
      <c r="G200" s="4">
        <v>350727.72611334542</v>
      </c>
      <c r="H200" s="5">
        <f t="shared" si="0"/>
        <v>0</v>
      </c>
      <c r="I200" t="s">
        <v>147</v>
      </c>
      <c r="J200" t="s">
        <v>77</v>
      </c>
      <c r="K200" s="5">
        <f>60 / 86400</f>
        <v>6.9444444444444447E-4</v>
      </c>
      <c r="L200" s="5">
        <f>40 / 86400</f>
        <v>4.6296296296296298E-4</v>
      </c>
    </row>
    <row r="201" spans="1:12" x14ac:dyDescent="0.25">
      <c r="A201" s="3">
        <v>45714.279814814814</v>
      </c>
      <c r="B201" t="s">
        <v>65</v>
      </c>
      <c r="C201" s="3">
        <v>45714.280277777776</v>
      </c>
      <c r="D201" t="s">
        <v>65</v>
      </c>
      <c r="E201" s="4">
        <v>4.7082814991474153E-2</v>
      </c>
      <c r="F201" s="4">
        <v>350727.77443723974</v>
      </c>
      <c r="G201" s="4">
        <v>350727.82152005477</v>
      </c>
      <c r="H201" s="5">
        <f t="shared" si="0"/>
        <v>0</v>
      </c>
      <c r="I201" t="s">
        <v>98</v>
      </c>
      <c r="J201" t="s">
        <v>152</v>
      </c>
      <c r="K201" s="5">
        <f>40 / 86400</f>
        <v>4.6296296296296298E-4</v>
      </c>
      <c r="L201" s="5">
        <f>40 / 86400</f>
        <v>4.6296296296296298E-4</v>
      </c>
    </row>
    <row r="202" spans="1:12" x14ac:dyDescent="0.25">
      <c r="A202" s="3">
        <v>45714.280740740738</v>
      </c>
      <c r="B202" t="s">
        <v>65</v>
      </c>
      <c r="C202" s="3">
        <v>45714.283518518518</v>
      </c>
      <c r="D202" t="s">
        <v>168</v>
      </c>
      <c r="E202" s="4">
        <v>2.7364220210313799</v>
      </c>
      <c r="F202" s="4">
        <v>350727.83067963115</v>
      </c>
      <c r="G202" s="4">
        <v>350730.56710165221</v>
      </c>
      <c r="H202" s="5">
        <f t="shared" si="0"/>
        <v>0</v>
      </c>
      <c r="I202" t="s">
        <v>27</v>
      </c>
      <c r="J202" t="s">
        <v>174</v>
      </c>
      <c r="K202" s="5">
        <f>240 / 86400</f>
        <v>2.7777777777777779E-3</v>
      </c>
      <c r="L202" s="5">
        <f>40 / 86400</f>
        <v>4.6296296296296298E-4</v>
      </c>
    </row>
    <row r="203" spans="1:12" x14ac:dyDescent="0.25">
      <c r="A203" s="3">
        <v>45714.28398148148</v>
      </c>
      <c r="B203" t="s">
        <v>168</v>
      </c>
      <c r="C203" s="3">
        <v>45714.286296296297</v>
      </c>
      <c r="D203" t="s">
        <v>187</v>
      </c>
      <c r="E203" s="4">
        <v>1.7103081807494163</v>
      </c>
      <c r="F203" s="4">
        <v>350730.63733108627</v>
      </c>
      <c r="G203" s="4">
        <v>350732.34763926704</v>
      </c>
      <c r="H203" s="5">
        <f t="shared" si="0"/>
        <v>0</v>
      </c>
      <c r="I203" t="s">
        <v>188</v>
      </c>
      <c r="J203" t="s">
        <v>184</v>
      </c>
      <c r="K203" s="5">
        <f>200 / 86400</f>
        <v>2.3148148148148147E-3</v>
      </c>
      <c r="L203" s="5">
        <f>40 / 86400</f>
        <v>4.6296296296296298E-4</v>
      </c>
    </row>
    <row r="204" spans="1:12" x14ac:dyDescent="0.25">
      <c r="A204" s="3">
        <v>45714.286759259259</v>
      </c>
      <c r="B204" t="s">
        <v>187</v>
      </c>
      <c r="C204" s="3">
        <v>45714.289537037039</v>
      </c>
      <c r="D204" t="s">
        <v>92</v>
      </c>
      <c r="E204" s="4">
        <v>2.1976869681477549</v>
      </c>
      <c r="F204" s="4">
        <v>350732.37271856621</v>
      </c>
      <c r="G204" s="4">
        <v>350734.57040553441</v>
      </c>
      <c r="H204" s="5">
        <f t="shared" si="0"/>
        <v>0</v>
      </c>
      <c r="I204" t="s">
        <v>84</v>
      </c>
      <c r="J204" t="s">
        <v>91</v>
      </c>
      <c r="K204" s="5">
        <f>240 / 86400</f>
        <v>2.7777777777777779E-3</v>
      </c>
      <c r="L204" s="5">
        <f>20 / 86400</f>
        <v>2.3148148148148149E-4</v>
      </c>
    </row>
    <row r="205" spans="1:12" x14ac:dyDescent="0.25">
      <c r="A205" s="3">
        <v>45714.289768518516</v>
      </c>
      <c r="B205" t="s">
        <v>92</v>
      </c>
      <c r="C205" s="3">
        <v>45714.29069444444</v>
      </c>
      <c r="D205" t="s">
        <v>92</v>
      </c>
      <c r="E205" s="4">
        <v>0.21630346637964248</v>
      </c>
      <c r="F205" s="4">
        <v>350734.63094049657</v>
      </c>
      <c r="G205" s="4">
        <v>350734.84724396293</v>
      </c>
      <c r="H205" s="5">
        <f t="shared" si="0"/>
        <v>0</v>
      </c>
      <c r="I205" t="s">
        <v>42</v>
      </c>
      <c r="J205" t="s">
        <v>132</v>
      </c>
      <c r="K205" s="5">
        <f>80 / 86400</f>
        <v>9.2592592592592596E-4</v>
      </c>
      <c r="L205" s="5">
        <f>40 / 86400</f>
        <v>4.6296296296296298E-4</v>
      </c>
    </row>
    <row r="206" spans="1:12" x14ac:dyDescent="0.25">
      <c r="A206" s="3">
        <v>45714.29115740741</v>
      </c>
      <c r="B206" t="s">
        <v>92</v>
      </c>
      <c r="C206" s="3">
        <v>45714.292083333334</v>
      </c>
      <c r="D206" t="s">
        <v>92</v>
      </c>
      <c r="E206" s="4">
        <v>0.18272449743747712</v>
      </c>
      <c r="F206" s="4">
        <v>350734.91283096641</v>
      </c>
      <c r="G206" s="4">
        <v>350735.09555546386</v>
      </c>
      <c r="H206" s="5">
        <f t="shared" si="0"/>
        <v>0</v>
      </c>
      <c r="I206" t="s">
        <v>61</v>
      </c>
      <c r="J206" t="s">
        <v>157</v>
      </c>
      <c r="K206" s="5">
        <f>80 / 86400</f>
        <v>9.2592592592592596E-4</v>
      </c>
      <c r="L206" s="5">
        <f>20 / 86400</f>
        <v>2.3148148148148149E-4</v>
      </c>
    </row>
    <row r="207" spans="1:12" x14ac:dyDescent="0.25">
      <c r="A207" s="3">
        <v>45714.292314814811</v>
      </c>
      <c r="B207" t="s">
        <v>92</v>
      </c>
      <c r="C207" s="3">
        <v>45714.292546296296</v>
      </c>
      <c r="D207" t="s">
        <v>92</v>
      </c>
      <c r="E207" s="4">
        <v>6.8815531432628627E-2</v>
      </c>
      <c r="F207" s="4">
        <v>350735.10549698607</v>
      </c>
      <c r="G207" s="4">
        <v>350735.17431251751</v>
      </c>
      <c r="H207" s="5">
        <f t="shared" si="0"/>
        <v>0</v>
      </c>
      <c r="I207" t="s">
        <v>147</v>
      </c>
      <c r="J207" t="s">
        <v>98</v>
      </c>
      <c r="K207" s="5">
        <f>20 / 86400</f>
        <v>2.3148148148148149E-4</v>
      </c>
      <c r="L207" s="5">
        <f>20 / 86400</f>
        <v>2.3148148148148149E-4</v>
      </c>
    </row>
    <row r="208" spans="1:12" x14ac:dyDescent="0.25">
      <c r="A208" s="3">
        <v>45714.29277777778</v>
      </c>
      <c r="B208" t="s">
        <v>92</v>
      </c>
      <c r="C208" s="3">
        <v>45714.294502314813</v>
      </c>
      <c r="D208" t="s">
        <v>189</v>
      </c>
      <c r="E208" s="4">
        <v>0.89401214706897736</v>
      </c>
      <c r="F208" s="4">
        <v>350735.30077789392</v>
      </c>
      <c r="G208" s="4">
        <v>350736.19479004096</v>
      </c>
      <c r="H208" s="5">
        <f t="shared" si="0"/>
        <v>0</v>
      </c>
      <c r="I208" t="s">
        <v>174</v>
      </c>
      <c r="J208" t="s">
        <v>140</v>
      </c>
      <c r="K208" s="5">
        <f>149 / 86400</f>
        <v>1.724537037037037E-3</v>
      </c>
      <c r="L208" s="5">
        <f>80 / 86400</f>
        <v>9.2592592592592596E-4</v>
      </c>
    </row>
    <row r="209" spans="1:12" x14ac:dyDescent="0.25">
      <c r="A209" s="3">
        <v>45714.295428240745</v>
      </c>
      <c r="B209" t="s">
        <v>190</v>
      </c>
      <c r="C209" s="3">
        <v>45714.295891203699</v>
      </c>
      <c r="D209" t="s">
        <v>190</v>
      </c>
      <c r="E209" s="4">
        <v>3.5531534552574157E-2</v>
      </c>
      <c r="F209" s="4">
        <v>350736.23865030415</v>
      </c>
      <c r="G209" s="4">
        <v>350736.27418183867</v>
      </c>
      <c r="H209" s="5">
        <f t="shared" si="0"/>
        <v>0</v>
      </c>
      <c r="I209" t="s">
        <v>98</v>
      </c>
      <c r="J209" t="s">
        <v>102</v>
      </c>
      <c r="K209" s="5">
        <f>40 / 86400</f>
        <v>4.6296296296296298E-4</v>
      </c>
      <c r="L209" s="5">
        <f>40 / 86400</f>
        <v>4.6296296296296298E-4</v>
      </c>
    </row>
    <row r="210" spans="1:12" x14ac:dyDescent="0.25">
      <c r="A210" s="3">
        <v>45714.296354166669</v>
      </c>
      <c r="B210" t="s">
        <v>190</v>
      </c>
      <c r="C210" s="3">
        <v>45714.296817129631</v>
      </c>
      <c r="D210" t="s">
        <v>190</v>
      </c>
      <c r="E210" s="4">
        <v>5.3073145210742953E-2</v>
      </c>
      <c r="F210" s="4">
        <v>350736.29883116909</v>
      </c>
      <c r="G210" s="4">
        <v>350736.3519043143</v>
      </c>
      <c r="H210" s="5">
        <f t="shared" si="0"/>
        <v>0</v>
      </c>
      <c r="I210" t="s">
        <v>152</v>
      </c>
      <c r="J210" t="s">
        <v>77</v>
      </c>
      <c r="K210" s="5">
        <f>40 / 86400</f>
        <v>4.6296296296296298E-4</v>
      </c>
      <c r="L210" s="5">
        <f>80 / 86400</f>
        <v>9.2592592592592596E-4</v>
      </c>
    </row>
    <row r="211" spans="1:12" x14ac:dyDescent="0.25">
      <c r="A211" s="3">
        <v>45714.297743055555</v>
      </c>
      <c r="B211" t="s">
        <v>191</v>
      </c>
      <c r="C211" s="3">
        <v>45714.297974537039</v>
      </c>
      <c r="D211" t="s">
        <v>192</v>
      </c>
      <c r="E211" s="4">
        <v>9.7249797582626349E-3</v>
      </c>
      <c r="F211" s="4">
        <v>350736.38764139335</v>
      </c>
      <c r="G211" s="4">
        <v>350736.3973663731</v>
      </c>
      <c r="H211" s="5">
        <f t="shared" si="0"/>
        <v>0</v>
      </c>
      <c r="I211" t="s">
        <v>152</v>
      </c>
      <c r="J211" t="s">
        <v>32</v>
      </c>
      <c r="K211" s="5">
        <f>20 / 86400</f>
        <v>2.3148148148148149E-4</v>
      </c>
      <c r="L211" s="5">
        <f>17 / 86400</f>
        <v>1.9675925925925926E-4</v>
      </c>
    </row>
    <row r="212" spans="1:12" x14ac:dyDescent="0.25">
      <c r="A212" s="3">
        <v>45714.298171296294</v>
      </c>
      <c r="B212" t="s">
        <v>192</v>
      </c>
      <c r="C212" s="3">
        <v>45714.299375000002</v>
      </c>
      <c r="D212" t="s">
        <v>193</v>
      </c>
      <c r="E212" s="4">
        <v>0.15235440772771836</v>
      </c>
      <c r="F212" s="4">
        <v>350736.40101081441</v>
      </c>
      <c r="G212" s="4">
        <v>350736.55336522218</v>
      </c>
      <c r="H212" s="5">
        <f t="shared" si="0"/>
        <v>0</v>
      </c>
      <c r="I212" t="s">
        <v>135</v>
      </c>
      <c r="J212" t="s">
        <v>77</v>
      </c>
      <c r="K212" s="5">
        <f>104 / 86400</f>
        <v>1.2037037037037038E-3</v>
      </c>
      <c r="L212" s="5">
        <f>100 / 86400</f>
        <v>1.1574074074074073E-3</v>
      </c>
    </row>
    <row r="213" spans="1:12" x14ac:dyDescent="0.25">
      <c r="A213" s="3">
        <v>45714.300532407404</v>
      </c>
      <c r="B213" t="s">
        <v>189</v>
      </c>
      <c r="C213" s="3">
        <v>45714.302233796298</v>
      </c>
      <c r="D213" t="s">
        <v>194</v>
      </c>
      <c r="E213" s="4">
        <v>0.24208728897571563</v>
      </c>
      <c r="F213" s="4">
        <v>350736.600780648</v>
      </c>
      <c r="G213" s="4">
        <v>350736.842867937</v>
      </c>
      <c r="H213" s="5">
        <f t="shared" si="0"/>
        <v>0</v>
      </c>
      <c r="I213" t="s">
        <v>42</v>
      </c>
      <c r="J213" t="s">
        <v>135</v>
      </c>
      <c r="K213" s="5">
        <f>147 / 86400</f>
        <v>1.7013888888888888E-3</v>
      </c>
      <c r="L213" s="5">
        <f>45 / 86400</f>
        <v>5.2083333333333333E-4</v>
      </c>
    </row>
    <row r="214" spans="1:12" x14ac:dyDescent="0.25">
      <c r="A214" s="3">
        <v>45714.302754629629</v>
      </c>
      <c r="B214" t="s">
        <v>194</v>
      </c>
      <c r="C214" s="3">
        <v>45714.303622685184</v>
      </c>
      <c r="D214" t="s">
        <v>189</v>
      </c>
      <c r="E214" s="4">
        <v>0.13914747148752213</v>
      </c>
      <c r="F214" s="4">
        <v>350736.85216922464</v>
      </c>
      <c r="G214" s="4">
        <v>350736.99131669611</v>
      </c>
      <c r="H214" s="5">
        <f t="shared" si="0"/>
        <v>0</v>
      </c>
      <c r="I214" t="s">
        <v>132</v>
      </c>
      <c r="J214" t="s">
        <v>147</v>
      </c>
      <c r="K214" s="5">
        <f>75 / 86400</f>
        <v>8.6805555555555551E-4</v>
      </c>
      <c r="L214" s="5">
        <f>15 / 86400</f>
        <v>1.7361111111111112E-4</v>
      </c>
    </row>
    <row r="215" spans="1:12" x14ac:dyDescent="0.25">
      <c r="A215" s="3">
        <v>45714.303796296299</v>
      </c>
      <c r="B215" t="s">
        <v>189</v>
      </c>
      <c r="C215" s="3">
        <v>45714.304432870369</v>
      </c>
      <c r="D215" t="s">
        <v>191</v>
      </c>
      <c r="E215" s="4">
        <v>0.2261169126033783</v>
      </c>
      <c r="F215" s="4">
        <v>350736.99859492207</v>
      </c>
      <c r="G215" s="4">
        <v>350737.22471183469</v>
      </c>
      <c r="H215" s="5">
        <f t="shared" si="0"/>
        <v>0</v>
      </c>
      <c r="I215" t="s">
        <v>195</v>
      </c>
      <c r="J215" t="s">
        <v>46</v>
      </c>
      <c r="K215" s="5">
        <f>55 / 86400</f>
        <v>6.3657407407407413E-4</v>
      </c>
      <c r="L215" s="5">
        <f>20 / 86400</f>
        <v>2.3148148148148149E-4</v>
      </c>
    </row>
    <row r="216" spans="1:12" x14ac:dyDescent="0.25">
      <c r="A216" s="3">
        <v>45714.304664351846</v>
      </c>
      <c r="B216" t="s">
        <v>189</v>
      </c>
      <c r="C216" s="3">
        <v>45714.304895833338</v>
      </c>
      <c r="D216" t="s">
        <v>189</v>
      </c>
      <c r="E216" s="4">
        <v>0.17431211584806441</v>
      </c>
      <c r="F216" s="4">
        <v>350737.8924774162</v>
      </c>
      <c r="G216" s="4">
        <v>350738.06678953208</v>
      </c>
      <c r="H216" s="5">
        <f t="shared" si="0"/>
        <v>0</v>
      </c>
      <c r="I216" t="s">
        <v>151</v>
      </c>
      <c r="J216" t="s">
        <v>184</v>
      </c>
      <c r="K216" s="5">
        <f>20 / 86400</f>
        <v>2.3148148148148149E-4</v>
      </c>
      <c r="L216" s="5">
        <f>40 / 86400</f>
        <v>4.6296296296296298E-4</v>
      </c>
    </row>
    <row r="217" spans="1:12" x14ac:dyDescent="0.25">
      <c r="A217" s="3">
        <v>45714.305358796293</v>
      </c>
      <c r="B217" t="s">
        <v>196</v>
      </c>
      <c r="C217" s="3">
        <v>45714.305590277778</v>
      </c>
      <c r="D217" t="s">
        <v>189</v>
      </c>
      <c r="E217" s="4">
        <v>0.10561347126960755</v>
      </c>
      <c r="F217" s="4">
        <v>350738.16320510977</v>
      </c>
      <c r="G217" s="4">
        <v>350738.26881858107</v>
      </c>
      <c r="H217" s="5">
        <f t="shared" si="0"/>
        <v>0</v>
      </c>
      <c r="I217" t="s">
        <v>197</v>
      </c>
      <c r="J217" t="s">
        <v>25</v>
      </c>
      <c r="K217" s="5">
        <f>20 / 86400</f>
        <v>2.3148148148148149E-4</v>
      </c>
      <c r="L217" s="5">
        <f>17 / 86400</f>
        <v>1.9675925925925926E-4</v>
      </c>
    </row>
    <row r="218" spans="1:12" x14ac:dyDescent="0.25">
      <c r="A218" s="3">
        <v>45714.305787037039</v>
      </c>
      <c r="B218" t="s">
        <v>191</v>
      </c>
      <c r="C218" s="3">
        <v>45714.307893518519</v>
      </c>
      <c r="D218" t="s">
        <v>198</v>
      </c>
      <c r="E218" s="4">
        <v>1.0798240234255791</v>
      </c>
      <c r="F218" s="4">
        <v>350738.29360714683</v>
      </c>
      <c r="G218" s="4">
        <v>350739.37343117024</v>
      </c>
      <c r="H218" s="5">
        <f t="shared" si="0"/>
        <v>0</v>
      </c>
      <c r="I218" t="s">
        <v>101</v>
      </c>
      <c r="J218" t="s">
        <v>151</v>
      </c>
      <c r="K218" s="5">
        <f>182 / 86400</f>
        <v>2.1064814814814813E-3</v>
      </c>
      <c r="L218" s="5">
        <f>20 / 86400</f>
        <v>2.3148148148148149E-4</v>
      </c>
    </row>
    <row r="219" spans="1:12" x14ac:dyDescent="0.25">
      <c r="A219" s="3">
        <v>45714.308124999996</v>
      </c>
      <c r="B219" t="s">
        <v>198</v>
      </c>
      <c r="C219" s="3">
        <v>45714.308587962965</v>
      </c>
      <c r="D219" t="s">
        <v>198</v>
      </c>
      <c r="E219" s="4">
        <v>0.49183849763870241</v>
      </c>
      <c r="F219" s="4">
        <v>350739.51593015523</v>
      </c>
      <c r="G219" s="4">
        <v>350740.00776865287</v>
      </c>
      <c r="H219" s="5">
        <f t="shared" si="0"/>
        <v>0</v>
      </c>
      <c r="I219" t="s">
        <v>143</v>
      </c>
      <c r="J219" t="s">
        <v>148</v>
      </c>
      <c r="K219" s="5">
        <f>40 / 86400</f>
        <v>4.6296296296296298E-4</v>
      </c>
      <c r="L219" s="5">
        <f>75 / 86400</f>
        <v>8.6805555555555551E-4</v>
      </c>
    </row>
    <row r="220" spans="1:12" x14ac:dyDescent="0.25">
      <c r="A220" s="3">
        <v>45714.30945601852</v>
      </c>
      <c r="B220" t="s">
        <v>198</v>
      </c>
      <c r="C220" s="3">
        <v>45714.310150462959</v>
      </c>
      <c r="D220" t="s">
        <v>199</v>
      </c>
      <c r="E220" s="4">
        <v>0.38429301655292514</v>
      </c>
      <c r="F220" s="4">
        <v>350740.03047492384</v>
      </c>
      <c r="G220" s="4">
        <v>350740.41476794041</v>
      </c>
      <c r="H220" s="5">
        <f t="shared" si="0"/>
        <v>0</v>
      </c>
      <c r="I220" t="s">
        <v>200</v>
      </c>
      <c r="J220" t="s">
        <v>134</v>
      </c>
      <c r="K220" s="5">
        <f>60 / 86400</f>
        <v>6.9444444444444447E-4</v>
      </c>
      <c r="L220" s="5">
        <f>20 / 86400</f>
        <v>2.3148148148148149E-4</v>
      </c>
    </row>
    <row r="221" spans="1:12" x14ac:dyDescent="0.25">
      <c r="A221" s="3">
        <v>45714.310381944444</v>
      </c>
      <c r="B221" t="s">
        <v>199</v>
      </c>
      <c r="C221" s="3">
        <v>45714.311539351853</v>
      </c>
      <c r="D221" t="s">
        <v>199</v>
      </c>
      <c r="E221" s="4">
        <v>0.63259295570850371</v>
      </c>
      <c r="F221" s="4">
        <v>350740.46788317017</v>
      </c>
      <c r="G221" s="4">
        <v>350741.1004761259</v>
      </c>
      <c r="H221" s="5">
        <f t="shared" si="0"/>
        <v>0</v>
      </c>
      <c r="I221" t="s">
        <v>188</v>
      </c>
      <c r="J221" t="s">
        <v>134</v>
      </c>
      <c r="K221" s="5">
        <f>100 / 86400</f>
        <v>1.1574074074074073E-3</v>
      </c>
      <c r="L221" s="5">
        <f>20 / 86400</f>
        <v>2.3148148148148149E-4</v>
      </c>
    </row>
    <row r="222" spans="1:12" x14ac:dyDescent="0.25">
      <c r="A222" s="3">
        <v>45714.31177083333</v>
      </c>
      <c r="B222" t="s">
        <v>201</v>
      </c>
      <c r="C222" s="3">
        <v>45714.313159722224</v>
      </c>
      <c r="D222" t="s">
        <v>202</v>
      </c>
      <c r="E222" s="4">
        <v>1.1315937494635582</v>
      </c>
      <c r="F222" s="4">
        <v>350741.20509600919</v>
      </c>
      <c r="G222" s="4">
        <v>350742.33668975864</v>
      </c>
      <c r="H222" s="5">
        <f t="shared" si="0"/>
        <v>0</v>
      </c>
      <c r="I222" t="s">
        <v>167</v>
      </c>
      <c r="J222" t="s">
        <v>203</v>
      </c>
      <c r="K222" s="5">
        <f>120 / 86400</f>
        <v>1.3888888888888889E-3</v>
      </c>
      <c r="L222" s="5">
        <f>20 / 86400</f>
        <v>2.3148148148148149E-4</v>
      </c>
    </row>
    <row r="223" spans="1:12" x14ac:dyDescent="0.25">
      <c r="A223" s="3">
        <v>45714.313391203701</v>
      </c>
      <c r="B223" t="s">
        <v>202</v>
      </c>
      <c r="C223" s="3">
        <v>45714.314085648148</v>
      </c>
      <c r="D223" t="s">
        <v>204</v>
      </c>
      <c r="E223" s="4">
        <v>9.7465039312839508E-2</v>
      </c>
      <c r="F223" s="4">
        <v>350742.34629810997</v>
      </c>
      <c r="G223" s="4">
        <v>350742.44376314926</v>
      </c>
      <c r="H223" s="5">
        <f t="shared" si="0"/>
        <v>0</v>
      </c>
      <c r="I223" t="s">
        <v>135</v>
      </c>
      <c r="J223" t="s">
        <v>135</v>
      </c>
      <c r="K223" s="5">
        <f>60 / 86400</f>
        <v>6.9444444444444447E-4</v>
      </c>
      <c r="L223" s="5">
        <f>20 / 86400</f>
        <v>2.3148148148148149E-4</v>
      </c>
    </row>
    <row r="224" spans="1:12" x14ac:dyDescent="0.25">
      <c r="A224" s="3">
        <v>45714.314317129625</v>
      </c>
      <c r="B224" t="s">
        <v>204</v>
      </c>
      <c r="C224" s="3">
        <v>45714.31454861111</v>
      </c>
      <c r="D224" t="s">
        <v>205</v>
      </c>
      <c r="E224" s="4">
        <v>1.8492509603500365E-2</v>
      </c>
      <c r="F224" s="4">
        <v>350742.45305850764</v>
      </c>
      <c r="G224" s="4">
        <v>350742.47155101725</v>
      </c>
      <c r="H224" s="5">
        <f t="shared" si="0"/>
        <v>0</v>
      </c>
      <c r="I224" t="s">
        <v>78</v>
      </c>
      <c r="J224" t="s">
        <v>102</v>
      </c>
      <c r="K224" s="5">
        <f>20 / 86400</f>
        <v>2.3148148148148149E-4</v>
      </c>
      <c r="L224" s="5">
        <f>65 / 86400</f>
        <v>7.5231481481481482E-4</v>
      </c>
    </row>
    <row r="225" spans="1:12" x14ac:dyDescent="0.25">
      <c r="A225" s="3">
        <v>45714.315300925926</v>
      </c>
      <c r="B225" t="s">
        <v>204</v>
      </c>
      <c r="C225" s="3">
        <v>45714.315995370373</v>
      </c>
      <c r="D225" t="s">
        <v>205</v>
      </c>
      <c r="E225" s="4">
        <v>0.3906328194141388</v>
      </c>
      <c r="F225" s="4">
        <v>350742.50883083406</v>
      </c>
      <c r="G225" s="4">
        <v>350742.89946365351</v>
      </c>
      <c r="H225" s="5">
        <f t="shared" si="0"/>
        <v>0</v>
      </c>
      <c r="I225" t="s">
        <v>206</v>
      </c>
      <c r="J225" t="s">
        <v>134</v>
      </c>
      <c r="K225" s="5">
        <f>60 / 86400</f>
        <v>6.9444444444444447E-4</v>
      </c>
      <c r="L225" s="5">
        <f>49 / 86400</f>
        <v>5.6712962962962967E-4</v>
      </c>
    </row>
    <row r="226" spans="1:12" x14ac:dyDescent="0.25">
      <c r="A226" s="3">
        <v>45714.316562499997</v>
      </c>
      <c r="B226" t="s">
        <v>205</v>
      </c>
      <c r="C226" s="3">
        <v>45714.317719907413</v>
      </c>
      <c r="D226" t="s">
        <v>207</v>
      </c>
      <c r="E226" s="4">
        <v>0.38289771056175231</v>
      </c>
      <c r="F226" s="4">
        <v>350742.91100455419</v>
      </c>
      <c r="G226" s="4">
        <v>350743.29390226479</v>
      </c>
      <c r="H226" s="5">
        <f t="shared" si="0"/>
        <v>0</v>
      </c>
      <c r="I226" t="s">
        <v>131</v>
      </c>
      <c r="J226" t="s">
        <v>52</v>
      </c>
      <c r="K226" s="5">
        <f>100 / 86400</f>
        <v>1.1574074074074073E-3</v>
      </c>
      <c r="L226" s="5">
        <f>20 / 86400</f>
        <v>2.3148148148148149E-4</v>
      </c>
    </row>
    <row r="227" spans="1:12" x14ac:dyDescent="0.25">
      <c r="A227" s="3">
        <v>45714.31795138889</v>
      </c>
      <c r="B227" t="s">
        <v>76</v>
      </c>
      <c r="C227" s="3">
        <v>45714.318645833337</v>
      </c>
      <c r="D227" t="s">
        <v>76</v>
      </c>
      <c r="E227" s="4">
        <v>4.6994562029838559E-2</v>
      </c>
      <c r="F227" s="4">
        <v>350743.37249200622</v>
      </c>
      <c r="G227" s="4">
        <v>350743.41948656825</v>
      </c>
      <c r="H227" s="5">
        <f t="shared" si="0"/>
        <v>0</v>
      </c>
      <c r="I227" t="s">
        <v>32</v>
      </c>
      <c r="J227" t="s">
        <v>102</v>
      </c>
      <c r="K227" s="5">
        <f>60 / 86400</f>
        <v>6.9444444444444447E-4</v>
      </c>
      <c r="L227" s="5">
        <f>20 / 86400</f>
        <v>2.3148148148148149E-4</v>
      </c>
    </row>
    <row r="228" spans="1:12" x14ac:dyDescent="0.25">
      <c r="A228" s="3">
        <v>45714.318877314814</v>
      </c>
      <c r="B228" t="s">
        <v>76</v>
      </c>
      <c r="C228" s="3">
        <v>45714.319108796291</v>
      </c>
      <c r="D228" t="s">
        <v>76</v>
      </c>
      <c r="E228" s="4">
        <v>1.3794493913650513E-2</v>
      </c>
      <c r="F228" s="4">
        <v>350743.42453985469</v>
      </c>
      <c r="G228" s="4">
        <v>350743.43833434861</v>
      </c>
      <c r="H228" s="5">
        <f t="shared" si="0"/>
        <v>0</v>
      </c>
      <c r="I228" t="s">
        <v>32</v>
      </c>
      <c r="J228" t="s">
        <v>32</v>
      </c>
      <c r="K228" s="5">
        <f>20 / 86400</f>
        <v>2.3148148148148149E-4</v>
      </c>
      <c r="L228" s="5">
        <f>40 / 86400</f>
        <v>4.6296296296296298E-4</v>
      </c>
    </row>
    <row r="229" spans="1:12" x14ac:dyDescent="0.25">
      <c r="A229" s="3">
        <v>45714.319571759261</v>
      </c>
      <c r="B229" t="s">
        <v>208</v>
      </c>
      <c r="C229" s="3">
        <v>45714.320034722223</v>
      </c>
      <c r="D229" t="s">
        <v>208</v>
      </c>
      <c r="E229" s="4">
        <v>2.0016529142856596E-2</v>
      </c>
      <c r="F229" s="4">
        <v>350743.45481616876</v>
      </c>
      <c r="G229" s="4">
        <v>350743.47483269795</v>
      </c>
      <c r="H229" s="5">
        <f t="shared" si="0"/>
        <v>0</v>
      </c>
      <c r="I229" t="s">
        <v>32</v>
      </c>
      <c r="J229" t="s">
        <v>32</v>
      </c>
      <c r="K229" s="5">
        <f>40 / 86400</f>
        <v>4.6296296296296298E-4</v>
      </c>
      <c r="L229" s="5">
        <f>100 / 86400</f>
        <v>1.1574074074074073E-3</v>
      </c>
    </row>
    <row r="230" spans="1:12" x14ac:dyDescent="0.25">
      <c r="A230" s="3">
        <v>45714.321192129632</v>
      </c>
      <c r="B230" t="s">
        <v>205</v>
      </c>
      <c r="C230" s="3">
        <v>45714.322395833333</v>
      </c>
      <c r="D230" t="s">
        <v>209</v>
      </c>
      <c r="E230" s="4">
        <v>0.20329980611801146</v>
      </c>
      <c r="F230" s="4">
        <v>350743.55881783634</v>
      </c>
      <c r="G230" s="4">
        <v>350743.76211764244</v>
      </c>
      <c r="H230" s="5">
        <f t="shared" si="0"/>
        <v>0</v>
      </c>
      <c r="I230" t="s">
        <v>151</v>
      </c>
      <c r="J230" t="s">
        <v>147</v>
      </c>
      <c r="K230" s="5">
        <f>104 / 86400</f>
        <v>1.2037037037037038E-3</v>
      </c>
      <c r="L230" s="5">
        <f>35 / 86400</f>
        <v>4.0509259259259258E-4</v>
      </c>
    </row>
    <row r="231" spans="1:12" x14ac:dyDescent="0.25">
      <c r="A231" s="3">
        <v>45714.322800925926</v>
      </c>
      <c r="B231" t="s">
        <v>210</v>
      </c>
      <c r="C231" s="3">
        <v>45714.32309027778</v>
      </c>
      <c r="D231" t="s">
        <v>210</v>
      </c>
      <c r="E231" s="4">
        <v>2.0404431402683259E-2</v>
      </c>
      <c r="F231" s="4">
        <v>350743.77815147664</v>
      </c>
      <c r="G231" s="4">
        <v>350743.79855590803</v>
      </c>
      <c r="H231" s="5">
        <f t="shared" si="0"/>
        <v>0</v>
      </c>
      <c r="I231" t="s">
        <v>42</v>
      </c>
      <c r="J231" t="s">
        <v>102</v>
      </c>
      <c r="K231" s="5">
        <f>25 / 86400</f>
        <v>2.8935185185185184E-4</v>
      </c>
      <c r="L231" s="5">
        <f>20 / 86400</f>
        <v>2.3148148148148149E-4</v>
      </c>
    </row>
    <row r="232" spans="1:12" x14ac:dyDescent="0.25">
      <c r="A232" s="3">
        <v>45714.323321759264</v>
      </c>
      <c r="B232" t="s">
        <v>211</v>
      </c>
      <c r="C232" s="3">
        <v>45714.324791666666</v>
      </c>
      <c r="D232" t="s">
        <v>74</v>
      </c>
      <c r="E232" s="4">
        <v>0.91728571128845215</v>
      </c>
      <c r="F232" s="4">
        <v>350743.95635883207</v>
      </c>
      <c r="G232" s="4">
        <v>350744.87364454335</v>
      </c>
      <c r="H232" s="5">
        <f t="shared" si="0"/>
        <v>0</v>
      </c>
      <c r="I232" t="s">
        <v>206</v>
      </c>
      <c r="J232" t="s">
        <v>170</v>
      </c>
      <c r="K232" s="5">
        <f>127 / 86400</f>
        <v>1.4699074074074074E-3</v>
      </c>
      <c r="L232" s="5">
        <f>20 / 86400</f>
        <v>2.3148148148148149E-4</v>
      </c>
    </row>
    <row r="233" spans="1:12" x14ac:dyDescent="0.25">
      <c r="A233" s="3">
        <v>45714.325023148151</v>
      </c>
      <c r="B233" t="s">
        <v>74</v>
      </c>
      <c r="C233" s="3">
        <v>45714.330057870371</v>
      </c>
      <c r="D233" t="s">
        <v>212</v>
      </c>
      <c r="E233" s="4">
        <v>2.1108024936914442</v>
      </c>
      <c r="F233" s="4">
        <v>350744.88491910399</v>
      </c>
      <c r="G233" s="4">
        <v>350746.99572159769</v>
      </c>
      <c r="H233" s="5">
        <f t="shared" si="0"/>
        <v>0</v>
      </c>
      <c r="I233" t="s">
        <v>213</v>
      </c>
      <c r="J233" t="s">
        <v>61</v>
      </c>
      <c r="K233" s="5">
        <f>435 / 86400</f>
        <v>5.0347222222222225E-3</v>
      </c>
      <c r="L233" s="5">
        <f>20 / 86400</f>
        <v>2.3148148148148149E-4</v>
      </c>
    </row>
    <row r="234" spans="1:12" x14ac:dyDescent="0.25">
      <c r="A234" s="3">
        <v>45714.330289351856</v>
      </c>
      <c r="B234" t="s">
        <v>212</v>
      </c>
      <c r="C234" s="3">
        <v>45714.331678240742</v>
      </c>
      <c r="D234" t="s">
        <v>214</v>
      </c>
      <c r="E234" s="4">
        <v>0.36701939439773562</v>
      </c>
      <c r="F234" s="4">
        <v>350747.03223603772</v>
      </c>
      <c r="G234" s="4">
        <v>350747.39925543213</v>
      </c>
      <c r="H234" s="5">
        <f t="shared" si="0"/>
        <v>0</v>
      </c>
      <c r="I234" t="s">
        <v>155</v>
      </c>
      <c r="J234" t="s">
        <v>31</v>
      </c>
      <c r="K234" s="5">
        <f>120 / 86400</f>
        <v>1.3888888888888889E-3</v>
      </c>
      <c r="L234" s="5">
        <f>60 / 86400</f>
        <v>6.9444444444444447E-4</v>
      </c>
    </row>
    <row r="235" spans="1:12" x14ac:dyDescent="0.25">
      <c r="A235" s="3">
        <v>45714.332372685181</v>
      </c>
      <c r="B235" t="s">
        <v>215</v>
      </c>
      <c r="C235" s="3">
        <v>45714.333067129628</v>
      </c>
      <c r="D235" t="s">
        <v>215</v>
      </c>
      <c r="E235" s="4">
        <v>9.9689919352531436E-2</v>
      </c>
      <c r="F235" s="4">
        <v>350747.4817448954</v>
      </c>
      <c r="G235" s="4">
        <v>350747.58143481473</v>
      </c>
      <c r="H235" s="5">
        <f t="shared" si="0"/>
        <v>0</v>
      </c>
      <c r="I235" t="s">
        <v>152</v>
      </c>
      <c r="J235" t="s">
        <v>135</v>
      </c>
      <c r="K235" s="5">
        <f>60 / 86400</f>
        <v>6.9444444444444447E-4</v>
      </c>
      <c r="L235" s="5">
        <f>40 / 86400</f>
        <v>4.6296296296296298E-4</v>
      </c>
    </row>
    <row r="236" spans="1:12" x14ac:dyDescent="0.25">
      <c r="A236" s="3">
        <v>45714.333530092597</v>
      </c>
      <c r="B236" t="s">
        <v>215</v>
      </c>
      <c r="C236" s="3">
        <v>45714.333993055552</v>
      </c>
      <c r="D236" t="s">
        <v>216</v>
      </c>
      <c r="E236" s="4">
        <v>5.0620159804821013E-2</v>
      </c>
      <c r="F236" s="4">
        <v>350747.60687359364</v>
      </c>
      <c r="G236" s="4">
        <v>350747.65749375342</v>
      </c>
      <c r="H236" s="5">
        <f t="shared" si="0"/>
        <v>0</v>
      </c>
      <c r="I236" t="s">
        <v>102</v>
      </c>
      <c r="J236" t="s">
        <v>77</v>
      </c>
      <c r="K236" s="5">
        <f>40 / 86400</f>
        <v>4.6296296296296298E-4</v>
      </c>
      <c r="L236" s="5">
        <f>65 / 86400</f>
        <v>7.5231481481481482E-4</v>
      </c>
    </row>
    <row r="237" spans="1:12" x14ac:dyDescent="0.25">
      <c r="A237" s="3">
        <v>45714.334745370375</v>
      </c>
      <c r="B237" t="s">
        <v>216</v>
      </c>
      <c r="C237" s="3">
        <v>45714.334976851853</v>
      </c>
      <c r="D237" t="s">
        <v>216</v>
      </c>
      <c r="E237" s="4">
        <v>2.02636296749115E-2</v>
      </c>
      <c r="F237" s="4">
        <v>350747.7030650223</v>
      </c>
      <c r="G237" s="4">
        <v>350747.72332865198</v>
      </c>
      <c r="H237" s="5">
        <f t="shared" si="0"/>
        <v>0</v>
      </c>
      <c r="I237" t="s">
        <v>135</v>
      </c>
      <c r="J237" t="s">
        <v>152</v>
      </c>
      <c r="K237" s="5">
        <f>20 / 86400</f>
        <v>2.3148148148148149E-4</v>
      </c>
      <c r="L237" s="5">
        <f>60 / 86400</f>
        <v>6.9444444444444447E-4</v>
      </c>
    </row>
    <row r="238" spans="1:12" x14ac:dyDescent="0.25">
      <c r="A238" s="3">
        <v>45714.3356712963</v>
      </c>
      <c r="B238" t="s">
        <v>215</v>
      </c>
      <c r="C238" s="3">
        <v>45714.335902777777</v>
      </c>
      <c r="D238" t="s">
        <v>215</v>
      </c>
      <c r="E238" s="4">
        <v>3.0352343261241914E-2</v>
      </c>
      <c r="F238" s="4">
        <v>350747.76826946274</v>
      </c>
      <c r="G238" s="4">
        <v>350747.79862180603</v>
      </c>
      <c r="H238" s="5">
        <f t="shared" si="0"/>
        <v>0</v>
      </c>
      <c r="I238" t="s">
        <v>132</v>
      </c>
      <c r="J238" t="s">
        <v>77</v>
      </c>
      <c r="K238" s="5">
        <f>20 / 86400</f>
        <v>2.3148148148148149E-4</v>
      </c>
      <c r="L238" s="5">
        <f>20 / 86400</f>
        <v>2.3148148148148149E-4</v>
      </c>
    </row>
    <row r="239" spans="1:12" x14ac:dyDescent="0.25">
      <c r="A239" s="3">
        <v>45714.336134259254</v>
      </c>
      <c r="B239" t="s">
        <v>217</v>
      </c>
      <c r="C239" s="3">
        <v>45714.337337962963</v>
      </c>
      <c r="D239" t="s">
        <v>216</v>
      </c>
      <c r="E239" s="4">
        <v>0.18338153553009034</v>
      </c>
      <c r="F239" s="4">
        <v>350747.84503155795</v>
      </c>
      <c r="G239" s="4">
        <v>350748.02841309353</v>
      </c>
      <c r="H239" s="5">
        <f t="shared" si="0"/>
        <v>0</v>
      </c>
      <c r="I239" t="s">
        <v>42</v>
      </c>
      <c r="J239" t="s">
        <v>135</v>
      </c>
      <c r="K239" s="5">
        <f>104 / 86400</f>
        <v>1.2037037037037038E-3</v>
      </c>
      <c r="L239" s="5">
        <f>20 / 86400</f>
        <v>2.3148148148148149E-4</v>
      </c>
    </row>
    <row r="240" spans="1:12" x14ac:dyDescent="0.25">
      <c r="A240" s="3">
        <v>45714.33756944444</v>
      </c>
      <c r="B240" t="s">
        <v>216</v>
      </c>
      <c r="C240" s="3">
        <v>45714.341956018514</v>
      </c>
      <c r="D240" t="s">
        <v>218</v>
      </c>
      <c r="E240" s="4">
        <v>1.5610743286013604</v>
      </c>
      <c r="F240" s="4">
        <v>350748.04092402826</v>
      </c>
      <c r="G240" s="4">
        <v>350749.60199835687</v>
      </c>
      <c r="H240" s="5">
        <f t="shared" si="0"/>
        <v>0</v>
      </c>
      <c r="I240" t="s">
        <v>101</v>
      </c>
      <c r="J240" t="s">
        <v>46</v>
      </c>
      <c r="K240" s="5">
        <f>379 / 86400</f>
        <v>4.386574074074074E-3</v>
      </c>
      <c r="L240" s="5">
        <f>256 / 86400</f>
        <v>2.9629629629629628E-3</v>
      </c>
    </row>
    <row r="241" spans="1:12" x14ac:dyDescent="0.25">
      <c r="A241" s="3">
        <v>45714.344918981486</v>
      </c>
      <c r="B241" t="s">
        <v>218</v>
      </c>
      <c r="C241" s="3">
        <v>45714.345810185187</v>
      </c>
      <c r="D241" t="s">
        <v>219</v>
      </c>
      <c r="E241" s="4">
        <v>0.51177080160379407</v>
      </c>
      <c r="F241" s="4">
        <v>350749.67003731261</v>
      </c>
      <c r="G241" s="4">
        <v>350750.18180811423</v>
      </c>
      <c r="H241" s="5">
        <f t="shared" si="0"/>
        <v>0</v>
      </c>
      <c r="I241" t="s">
        <v>220</v>
      </c>
      <c r="J241" t="s">
        <v>37</v>
      </c>
      <c r="K241" s="5">
        <f>77 / 86400</f>
        <v>8.9120370370370373E-4</v>
      </c>
      <c r="L241" s="5">
        <f>20 / 86400</f>
        <v>2.3148148148148149E-4</v>
      </c>
    </row>
    <row r="242" spans="1:12" x14ac:dyDescent="0.25">
      <c r="A242" s="3">
        <v>45714.346041666664</v>
      </c>
      <c r="B242" t="s">
        <v>219</v>
      </c>
      <c r="C242" s="3">
        <v>45714.346273148149</v>
      </c>
      <c r="D242" t="s">
        <v>219</v>
      </c>
      <c r="E242" s="4">
        <v>1.018546324968338E-2</v>
      </c>
      <c r="F242" s="4">
        <v>350750.20236272388</v>
      </c>
      <c r="G242" s="4">
        <v>350750.21254818712</v>
      </c>
      <c r="H242" s="5">
        <f t="shared" si="0"/>
        <v>0</v>
      </c>
      <c r="I242" t="s">
        <v>77</v>
      </c>
      <c r="J242" t="s">
        <v>32</v>
      </c>
      <c r="K242" s="5">
        <f>20 / 86400</f>
        <v>2.3148148148148149E-4</v>
      </c>
      <c r="L242" s="5">
        <f>60 / 86400</f>
        <v>6.9444444444444447E-4</v>
      </c>
    </row>
    <row r="243" spans="1:12" x14ac:dyDescent="0.25">
      <c r="A243" s="3">
        <v>45714.346967592588</v>
      </c>
      <c r="B243" t="s">
        <v>221</v>
      </c>
      <c r="C243" s="3">
        <v>45714.347199074073</v>
      </c>
      <c r="D243" t="s">
        <v>222</v>
      </c>
      <c r="E243" s="4">
        <v>7.2760460495948795E-2</v>
      </c>
      <c r="F243" s="4">
        <v>350750.26529535558</v>
      </c>
      <c r="G243" s="4">
        <v>350750.33805581607</v>
      </c>
      <c r="H243" s="5">
        <f t="shared" si="0"/>
        <v>0</v>
      </c>
      <c r="I243" t="s">
        <v>184</v>
      </c>
      <c r="J243" t="s">
        <v>42</v>
      </c>
      <c r="K243" s="5">
        <f>20 / 86400</f>
        <v>2.3148148148148149E-4</v>
      </c>
      <c r="L243" s="5">
        <f>20 / 86400</f>
        <v>2.3148148148148149E-4</v>
      </c>
    </row>
    <row r="244" spans="1:12" x14ac:dyDescent="0.25">
      <c r="A244" s="3">
        <v>45714.347430555557</v>
      </c>
      <c r="B244" t="s">
        <v>223</v>
      </c>
      <c r="C244" s="3">
        <v>45714.348819444444</v>
      </c>
      <c r="D244" t="s">
        <v>224</v>
      </c>
      <c r="E244" s="4">
        <v>1.1263044970035554</v>
      </c>
      <c r="F244" s="4">
        <v>350750.54246052558</v>
      </c>
      <c r="G244" s="4">
        <v>350751.66876502259</v>
      </c>
      <c r="H244" s="5">
        <f t="shared" si="0"/>
        <v>0</v>
      </c>
      <c r="I244" t="s">
        <v>143</v>
      </c>
      <c r="J244" t="s">
        <v>203</v>
      </c>
      <c r="K244" s="5">
        <f>120 / 86400</f>
        <v>1.3888888888888889E-3</v>
      </c>
      <c r="L244" s="5">
        <f>15 / 86400</f>
        <v>1.7361111111111112E-4</v>
      </c>
    </row>
    <row r="245" spans="1:12" x14ac:dyDescent="0.25">
      <c r="A245" s="3">
        <v>45714.348993055552</v>
      </c>
      <c r="B245" t="s">
        <v>224</v>
      </c>
      <c r="C245" s="3">
        <v>45714.349456018521</v>
      </c>
      <c r="D245" t="s">
        <v>225</v>
      </c>
      <c r="E245" s="4">
        <v>0.19028870409727097</v>
      </c>
      <c r="F245" s="4">
        <v>350751.67383058893</v>
      </c>
      <c r="G245" s="4">
        <v>350751.86411929305</v>
      </c>
      <c r="H245" s="5">
        <f t="shared" si="0"/>
        <v>0</v>
      </c>
      <c r="I245" t="s">
        <v>178</v>
      </c>
      <c r="J245" t="s">
        <v>61</v>
      </c>
      <c r="K245" s="5">
        <f>40 / 86400</f>
        <v>4.6296296296296298E-4</v>
      </c>
      <c r="L245" s="5">
        <f>31 / 86400</f>
        <v>3.5879629629629629E-4</v>
      </c>
    </row>
    <row r="246" spans="1:12" x14ac:dyDescent="0.25">
      <c r="A246" s="3">
        <v>45714.349814814814</v>
      </c>
      <c r="B246" t="s">
        <v>226</v>
      </c>
      <c r="C246" s="3">
        <v>45714.350115740745</v>
      </c>
      <c r="D246" t="s">
        <v>227</v>
      </c>
      <c r="E246" s="4">
        <v>0.11426955687999725</v>
      </c>
      <c r="F246" s="4">
        <v>350752.28740064328</v>
      </c>
      <c r="G246" s="4">
        <v>350752.40167020017</v>
      </c>
      <c r="H246" s="5">
        <f t="shared" si="0"/>
        <v>0</v>
      </c>
      <c r="I246" t="s">
        <v>25</v>
      </c>
      <c r="J246" t="s">
        <v>28</v>
      </c>
      <c r="K246" s="5">
        <f>26 / 86400</f>
        <v>3.0092592592592595E-4</v>
      </c>
      <c r="L246" s="5">
        <f>5 / 86400</f>
        <v>5.7870370370370373E-5</v>
      </c>
    </row>
    <row r="247" spans="1:12" x14ac:dyDescent="0.25">
      <c r="A247" s="3">
        <v>45714.350173611107</v>
      </c>
      <c r="B247" t="s">
        <v>227</v>
      </c>
      <c r="C247" s="3">
        <v>45714.352083333331</v>
      </c>
      <c r="D247" t="s">
        <v>228</v>
      </c>
      <c r="E247" s="4">
        <v>0.60790989065170287</v>
      </c>
      <c r="F247" s="4">
        <v>350752.4053939468</v>
      </c>
      <c r="G247" s="4">
        <v>350753.01330383751</v>
      </c>
      <c r="H247" s="5">
        <f t="shared" si="0"/>
        <v>0</v>
      </c>
      <c r="I247" t="s">
        <v>203</v>
      </c>
      <c r="J247" t="s">
        <v>42</v>
      </c>
      <c r="K247" s="5">
        <f>165 / 86400</f>
        <v>1.9097222222222222E-3</v>
      </c>
      <c r="L247" s="5">
        <f>32 / 86400</f>
        <v>3.7037037037037035E-4</v>
      </c>
    </row>
    <row r="248" spans="1:12" x14ac:dyDescent="0.25">
      <c r="A248" s="3">
        <v>45714.352453703701</v>
      </c>
      <c r="B248" t="s">
        <v>229</v>
      </c>
      <c r="C248" s="3">
        <v>45714.353148148148</v>
      </c>
      <c r="D248" t="s">
        <v>230</v>
      </c>
      <c r="E248" s="4">
        <v>0.25611202049255372</v>
      </c>
      <c r="F248" s="4">
        <v>350753.02831227111</v>
      </c>
      <c r="G248" s="4">
        <v>350753.28442429163</v>
      </c>
      <c r="H248" s="5">
        <f t="shared" si="0"/>
        <v>0</v>
      </c>
      <c r="I248" t="s">
        <v>140</v>
      </c>
      <c r="J248" t="s">
        <v>46</v>
      </c>
      <c r="K248" s="5">
        <f>60 / 86400</f>
        <v>6.9444444444444447E-4</v>
      </c>
      <c r="L248" s="5">
        <f>60 / 86400</f>
        <v>6.9444444444444447E-4</v>
      </c>
    </row>
    <row r="249" spans="1:12" x14ac:dyDescent="0.25">
      <c r="A249" s="3">
        <v>45714.353842592594</v>
      </c>
      <c r="B249" t="s">
        <v>231</v>
      </c>
      <c r="C249" s="3">
        <v>45714.355520833335</v>
      </c>
      <c r="D249" t="s">
        <v>232</v>
      </c>
      <c r="E249" s="4">
        <v>0.7142354822158814</v>
      </c>
      <c r="F249" s="4">
        <v>350753.36819511378</v>
      </c>
      <c r="G249" s="4">
        <v>350754.082430596</v>
      </c>
      <c r="H249" s="5">
        <f t="shared" si="0"/>
        <v>0</v>
      </c>
      <c r="I249" t="s">
        <v>182</v>
      </c>
      <c r="J249" t="s">
        <v>20</v>
      </c>
      <c r="K249" s="5">
        <f>145 / 86400</f>
        <v>1.6782407407407408E-3</v>
      </c>
      <c r="L249" s="5">
        <f>27 / 86400</f>
        <v>3.1250000000000001E-4</v>
      </c>
    </row>
    <row r="250" spans="1:12" x14ac:dyDescent="0.25">
      <c r="A250" s="3">
        <v>45714.355833333335</v>
      </c>
      <c r="B250" t="s">
        <v>233</v>
      </c>
      <c r="C250" s="3">
        <v>45714.356296296297</v>
      </c>
      <c r="D250" t="s">
        <v>234</v>
      </c>
      <c r="E250" s="4">
        <v>0.19280621784925461</v>
      </c>
      <c r="F250" s="4">
        <v>350754.102602628</v>
      </c>
      <c r="G250" s="4">
        <v>350754.29540884582</v>
      </c>
      <c r="H250" s="5">
        <f t="shared" si="0"/>
        <v>0</v>
      </c>
      <c r="I250" t="s">
        <v>181</v>
      </c>
      <c r="J250" t="s">
        <v>61</v>
      </c>
      <c r="K250" s="5">
        <f>40 / 86400</f>
        <v>4.6296296296296298E-4</v>
      </c>
      <c r="L250" s="5">
        <f>7 / 86400</f>
        <v>8.1018518518518516E-5</v>
      </c>
    </row>
    <row r="251" spans="1:12" x14ac:dyDescent="0.25">
      <c r="A251" s="3">
        <v>45714.35637731482</v>
      </c>
      <c r="B251" t="s">
        <v>234</v>
      </c>
      <c r="C251" s="3">
        <v>45714.356840277775</v>
      </c>
      <c r="D251" t="s">
        <v>235</v>
      </c>
      <c r="E251" s="4">
        <v>0.17367551189661026</v>
      </c>
      <c r="F251" s="4">
        <v>350754.30078193342</v>
      </c>
      <c r="G251" s="4">
        <v>350754.47445744532</v>
      </c>
      <c r="H251" s="5">
        <f t="shared" si="0"/>
        <v>0</v>
      </c>
      <c r="I251" t="s">
        <v>64</v>
      </c>
      <c r="J251" t="s">
        <v>28</v>
      </c>
      <c r="K251" s="5">
        <f>40 / 86400</f>
        <v>4.6296296296296298E-4</v>
      </c>
      <c r="L251" s="5">
        <f>3 / 86400</f>
        <v>3.4722222222222222E-5</v>
      </c>
    </row>
    <row r="252" spans="1:12" x14ac:dyDescent="0.25">
      <c r="A252" s="3">
        <v>45714.356874999998</v>
      </c>
      <c r="B252" t="s">
        <v>235</v>
      </c>
      <c r="C252" s="3">
        <v>45714.357337962967</v>
      </c>
      <c r="D252" t="s">
        <v>236</v>
      </c>
      <c r="E252" s="4">
        <v>0.19011709779500963</v>
      </c>
      <c r="F252" s="4">
        <v>350754.47812703671</v>
      </c>
      <c r="G252" s="4">
        <v>350754.66824413446</v>
      </c>
      <c r="H252" s="5">
        <f t="shared" ref="H252:H315" si="1">0 / 86400</f>
        <v>0</v>
      </c>
      <c r="I252" t="s">
        <v>186</v>
      </c>
      <c r="J252" t="s">
        <v>61</v>
      </c>
      <c r="K252" s="5">
        <f>40 / 86400</f>
        <v>4.6296296296296298E-4</v>
      </c>
      <c r="L252" s="5">
        <f>20 / 86400</f>
        <v>2.3148148148148149E-4</v>
      </c>
    </row>
    <row r="253" spans="1:12" x14ac:dyDescent="0.25">
      <c r="A253" s="3">
        <v>45714.357569444444</v>
      </c>
      <c r="B253" t="s">
        <v>237</v>
      </c>
      <c r="C253" s="3">
        <v>45714.358495370368</v>
      </c>
      <c r="D253" t="s">
        <v>237</v>
      </c>
      <c r="E253" s="4">
        <v>0.50952067750692365</v>
      </c>
      <c r="F253" s="4">
        <v>350754.68645058444</v>
      </c>
      <c r="G253" s="4">
        <v>350755.195971262</v>
      </c>
      <c r="H253" s="5">
        <f t="shared" si="1"/>
        <v>0</v>
      </c>
      <c r="I253" t="s">
        <v>148</v>
      </c>
      <c r="J253" t="s">
        <v>134</v>
      </c>
      <c r="K253" s="5">
        <f>80 / 86400</f>
        <v>9.2592592592592596E-4</v>
      </c>
      <c r="L253" s="5">
        <f>2 / 86400</f>
        <v>2.3148148148148147E-5</v>
      </c>
    </row>
    <row r="254" spans="1:12" x14ac:dyDescent="0.25">
      <c r="A254" s="3">
        <v>45714.358518518522</v>
      </c>
      <c r="B254" t="s">
        <v>237</v>
      </c>
      <c r="C254" s="3">
        <v>45714.359259259261</v>
      </c>
      <c r="D254" t="s">
        <v>238</v>
      </c>
      <c r="E254" s="4">
        <v>9.0907932937145233E-2</v>
      </c>
      <c r="F254" s="4">
        <v>350755.19830088544</v>
      </c>
      <c r="G254" s="4">
        <v>350755.2892088184</v>
      </c>
      <c r="H254" s="5">
        <f t="shared" si="1"/>
        <v>0</v>
      </c>
      <c r="I254" t="s">
        <v>28</v>
      </c>
      <c r="J254" t="s">
        <v>77</v>
      </c>
      <c r="K254" s="5">
        <f>64 / 86400</f>
        <v>7.407407407407407E-4</v>
      </c>
      <c r="L254" s="5">
        <f>20 / 86400</f>
        <v>2.3148148148148149E-4</v>
      </c>
    </row>
    <row r="255" spans="1:12" x14ac:dyDescent="0.25">
      <c r="A255" s="3">
        <v>45714.359490740739</v>
      </c>
      <c r="B255" t="s">
        <v>239</v>
      </c>
      <c r="C255" s="3">
        <v>45714.359930555554</v>
      </c>
      <c r="D255" t="s">
        <v>240</v>
      </c>
      <c r="E255" s="4">
        <v>0.1390804193019867</v>
      </c>
      <c r="F255" s="4">
        <v>350755.4100162207</v>
      </c>
      <c r="G255" s="4">
        <v>350755.54909663997</v>
      </c>
      <c r="H255" s="5">
        <f t="shared" si="1"/>
        <v>0</v>
      </c>
      <c r="I255" t="s">
        <v>140</v>
      </c>
      <c r="J255" t="s">
        <v>42</v>
      </c>
      <c r="K255" s="5">
        <f>38 / 86400</f>
        <v>4.3981481481481481E-4</v>
      </c>
      <c r="L255" s="5">
        <f>218 / 86400</f>
        <v>2.5231481481481481E-3</v>
      </c>
    </row>
    <row r="256" spans="1:12" x14ac:dyDescent="0.25">
      <c r="A256" s="3">
        <v>45714.362453703703</v>
      </c>
      <c r="B256" t="s">
        <v>241</v>
      </c>
      <c r="C256" s="3">
        <v>45714.362777777773</v>
      </c>
      <c r="D256" t="s">
        <v>242</v>
      </c>
      <c r="E256" s="4">
        <v>3.6999696373939517E-2</v>
      </c>
      <c r="F256" s="4">
        <v>350755.59241551941</v>
      </c>
      <c r="G256" s="4">
        <v>350755.62941521581</v>
      </c>
      <c r="H256" s="5">
        <f t="shared" si="1"/>
        <v>0</v>
      </c>
      <c r="I256" t="s">
        <v>31</v>
      </c>
      <c r="J256" t="s">
        <v>77</v>
      </c>
      <c r="K256" s="5">
        <f>28 / 86400</f>
        <v>3.2407407407407406E-4</v>
      </c>
      <c r="L256" s="5">
        <f>160 / 86400</f>
        <v>1.8518518518518519E-3</v>
      </c>
    </row>
    <row r="257" spans="1:12" x14ac:dyDescent="0.25">
      <c r="A257" s="3">
        <v>45714.364629629628</v>
      </c>
      <c r="B257" t="s">
        <v>242</v>
      </c>
      <c r="C257" s="3">
        <v>45714.364965277782</v>
      </c>
      <c r="D257" t="s">
        <v>242</v>
      </c>
      <c r="E257" s="4">
        <v>1.6487386107444765E-2</v>
      </c>
      <c r="F257" s="4">
        <v>350755.65993679652</v>
      </c>
      <c r="G257" s="4">
        <v>350755.67642418266</v>
      </c>
      <c r="H257" s="5">
        <f t="shared" si="1"/>
        <v>0</v>
      </c>
      <c r="I257" t="s">
        <v>77</v>
      </c>
      <c r="J257" t="s">
        <v>32</v>
      </c>
      <c r="K257" s="5">
        <f>29 / 86400</f>
        <v>3.3564814814814812E-4</v>
      </c>
      <c r="L257" s="5">
        <f>80 / 86400</f>
        <v>9.2592592592592596E-4</v>
      </c>
    </row>
    <row r="258" spans="1:12" x14ac:dyDescent="0.25">
      <c r="A258" s="3">
        <v>45714.365891203706</v>
      </c>
      <c r="B258" t="s">
        <v>243</v>
      </c>
      <c r="C258" s="3">
        <v>45714.367164351846</v>
      </c>
      <c r="D258" t="s">
        <v>244</v>
      </c>
      <c r="E258" s="4">
        <v>0.31086375665664673</v>
      </c>
      <c r="F258" s="4">
        <v>350755.7361128059</v>
      </c>
      <c r="G258" s="4">
        <v>350756.04697656253</v>
      </c>
      <c r="H258" s="5">
        <f t="shared" si="1"/>
        <v>0</v>
      </c>
      <c r="I258" t="s">
        <v>134</v>
      </c>
      <c r="J258" t="s">
        <v>132</v>
      </c>
      <c r="K258" s="5">
        <f>110 / 86400</f>
        <v>1.2731481481481483E-3</v>
      </c>
      <c r="L258" s="5">
        <f>80 / 86400</f>
        <v>9.2592592592592596E-4</v>
      </c>
    </row>
    <row r="259" spans="1:12" x14ac:dyDescent="0.25">
      <c r="A259" s="3">
        <v>45714.368090277778</v>
      </c>
      <c r="B259" t="s">
        <v>245</v>
      </c>
      <c r="C259" s="3">
        <v>45714.368460648147</v>
      </c>
      <c r="D259" t="s">
        <v>246</v>
      </c>
      <c r="E259" s="4">
        <v>0.14029314547777175</v>
      </c>
      <c r="F259" s="4">
        <v>350756.28166223958</v>
      </c>
      <c r="G259" s="4">
        <v>350756.42195538501</v>
      </c>
      <c r="H259" s="5">
        <f t="shared" si="1"/>
        <v>0</v>
      </c>
      <c r="I259" t="s">
        <v>186</v>
      </c>
      <c r="J259" t="s">
        <v>28</v>
      </c>
      <c r="K259" s="5">
        <f>32 / 86400</f>
        <v>3.7037037037037035E-4</v>
      </c>
      <c r="L259" s="5">
        <f>40 / 86400</f>
        <v>4.6296296296296298E-4</v>
      </c>
    </row>
    <row r="260" spans="1:12" x14ac:dyDescent="0.25">
      <c r="A260" s="3">
        <v>45714.368923611109</v>
      </c>
      <c r="B260" t="s">
        <v>246</v>
      </c>
      <c r="C260" s="3">
        <v>45714.369155092594</v>
      </c>
      <c r="D260" t="s">
        <v>246</v>
      </c>
      <c r="E260" s="4">
        <v>2.9562851548194886E-2</v>
      </c>
      <c r="F260" s="4">
        <v>350756.49594235659</v>
      </c>
      <c r="G260" s="4">
        <v>350756.52550520812</v>
      </c>
      <c r="H260" s="5">
        <f t="shared" si="1"/>
        <v>0</v>
      </c>
      <c r="I260" t="s">
        <v>20</v>
      </c>
      <c r="J260" t="s">
        <v>77</v>
      </c>
      <c r="K260" s="5">
        <f>20 / 86400</f>
        <v>2.3148148148148149E-4</v>
      </c>
      <c r="L260" s="5">
        <f>67 / 86400</f>
        <v>7.7546296296296293E-4</v>
      </c>
    </row>
    <row r="261" spans="1:12" x14ac:dyDescent="0.25">
      <c r="A261" s="3">
        <v>45714.369930555556</v>
      </c>
      <c r="B261" t="s">
        <v>246</v>
      </c>
      <c r="C261" s="3">
        <v>45714.370856481481</v>
      </c>
      <c r="D261" t="s">
        <v>247</v>
      </c>
      <c r="E261" s="4">
        <v>0.27910809719562529</v>
      </c>
      <c r="F261" s="4">
        <v>350756.54306327901</v>
      </c>
      <c r="G261" s="4">
        <v>350756.8221713762</v>
      </c>
      <c r="H261" s="5">
        <f t="shared" si="1"/>
        <v>0</v>
      </c>
      <c r="I261" t="s">
        <v>197</v>
      </c>
      <c r="J261" t="s">
        <v>42</v>
      </c>
      <c r="K261" s="5">
        <f>80 / 86400</f>
        <v>9.2592592592592596E-4</v>
      </c>
      <c r="L261" s="5">
        <f>20 / 86400</f>
        <v>2.3148148148148149E-4</v>
      </c>
    </row>
    <row r="262" spans="1:12" x14ac:dyDescent="0.25">
      <c r="A262" s="3">
        <v>45714.371087962965</v>
      </c>
      <c r="B262" t="s">
        <v>248</v>
      </c>
      <c r="C262" s="3">
        <v>45714.371319444443</v>
      </c>
      <c r="D262" t="s">
        <v>248</v>
      </c>
      <c r="E262" s="4">
        <v>2.0991015791893004E-2</v>
      </c>
      <c r="F262" s="4">
        <v>350756.835031041</v>
      </c>
      <c r="G262" s="4">
        <v>350756.85602205683</v>
      </c>
      <c r="H262" s="5">
        <f t="shared" si="1"/>
        <v>0</v>
      </c>
      <c r="I262" t="s">
        <v>102</v>
      </c>
      <c r="J262" t="s">
        <v>152</v>
      </c>
      <c r="K262" s="5">
        <f>20 / 86400</f>
        <v>2.3148148148148149E-4</v>
      </c>
      <c r="L262" s="5">
        <f>9 / 86400</f>
        <v>1.0416666666666667E-4</v>
      </c>
    </row>
    <row r="263" spans="1:12" x14ac:dyDescent="0.25">
      <c r="A263" s="3">
        <v>45714.371423611112</v>
      </c>
      <c r="B263" t="s">
        <v>247</v>
      </c>
      <c r="C263" s="3">
        <v>45714.372511574074</v>
      </c>
      <c r="D263" t="s">
        <v>249</v>
      </c>
      <c r="E263" s="4">
        <v>0.38954262477159501</v>
      </c>
      <c r="F263" s="4">
        <v>350756.86178223608</v>
      </c>
      <c r="G263" s="4">
        <v>350757.25132486084</v>
      </c>
      <c r="H263" s="5">
        <f t="shared" si="1"/>
        <v>0</v>
      </c>
      <c r="I263" t="s">
        <v>181</v>
      </c>
      <c r="J263" t="s">
        <v>46</v>
      </c>
      <c r="K263" s="5">
        <f>94 / 86400</f>
        <v>1.0879629629629629E-3</v>
      </c>
      <c r="L263" s="5">
        <f>28 / 86400</f>
        <v>3.2407407407407406E-4</v>
      </c>
    </row>
    <row r="264" spans="1:12" x14ac:dyDescent="0.25">
      <c r="A264" s="3">
        <v>45714.372835648144</v>
      </c>
      <c r="B264" t="s">
        <v>249</v>
      </c>
      <c r="C264" s="3">
        <v>45714.373842592591</v>
      </c>
      <c r="D264" t="s">
        <v>250</v>
      </c>
      <c r="E264" s="4">
        <v>0.29135144621133802</v>
      </c>
      <c r="F264" s="4">
        <v>350757.26901849819</v>
      </c>
      <c r="G264" s="4">
        <v>350757.56036994437</v>
      </c>
      <c r="H264" s="5">
        <f t="shared" si="1"/>
        <v>0</v>
      </c>
      <c r="I264" t="s">
        <v>136</v>
      </c>
      <c r="J264" t="s">
        <v>98</v>
      </c>
      <c r="K264" s="5">
        <f>87 / 86400</f>
        <v>1.0069444444444444E-3</v>
      </c>
      <c r="L264" s="5">
        <f>20 / 86400</f>
        <v>2.3148148148148149E-4</v>
      </c>
    </row>
    <row r="265" spans="1:12" x14ac:dyDescent="0.25">
      <c r="A265" s="3">
        <v>45714.374074074076</v>
      </c>
      <c r="B265" t="s">
        <v>250</v>
      </c>
      <c r="C265" s="3">
        <v>45714.374479166669</v>
      </c>
      <c r="D265" t="s">
        <v>251</v>
      </c>
      <c r="E265" s="4">
        <v>0.15548266232013702</v>
      </c>
      <c r="F265" s="4">
        <v>350757.5618301814</v>
      </c>
      <c r="G265" s="4">
        <v>350757.71731284371</v>
      </c>
      <c r="H265" s="5">
        <f t="shared" si="1"/>
        <v>0</v>
      </c>
      <c r="I265" t="s">
        <v>134</v>
      </c>
      <c r="J265" t="s">
        <v>28</v>
      </c>
      <c r="K265" s="5">
        <f>35 / 86400</f>
        <v>4.0509259259259258E-4</v>
      </c>
      <c r="L265" s="5">
        <f>25 / 86400</f>
        <v>2.8935185185185184E-4</v>
      </c>
    </row>
    <row r="266" spans="1:12" x14ac:dyDescent="0.25">
      <c r="A266" s="3">
        <v>45714.374768518523</v>
      </c>
      <c r="B266" t="s">
        <v>251</v>
      </c>
      <c r="C266" s="3">
        <v>45714.375231481477</v>
      </c>
      <c r="D266" t="s">
        <v>252</v>
      </c>
      <c r="E266" s="4">
        <v>0.10714165300130844</v>
      </c>
      <c r="F266" s="4">
        <v>350757.72572760307</v>
      </c>
      <c r="G266" s="4">
        <v>350757.83286925609</v>
      </c>
      <c r="H266" s="5">
        <f t="shared" si="1"/>
        <v>0</v>
      </c>
      <c r="I266" t="s">
        <v>132</v>
      </c>
      <c r="J266" t="s">
        <v>132</v>
      </c>
      <c r="K266" s="5">
        <f>40 / 86400</f>
        <v>4.6296296296296298E-4</v>
      </c>
      <c r="L266" s="5">
        <f>67 / 86400</f>
        <v>7.7546296296296293E-4</v>
      </c>
    </row>
    <row r="267" spans="1:12" x14ac:dyDescent="0.25">
      <c r="A267" s="3">
        <v>45714.37600694444</v>
      </c>
      <c r="B267" t="s">
        <v>252</v>
      </c>
      <c r="C267" s="3">
        <v>45714.376469907409</v>
      </c>
      <c r="D267" t="s">
        <v>231</v>
      </c>
      <c r="E267" s="4">
        <v>7.377628248929978E-2</v>
      </c>
      <c r="F267" s="4">
        <v>350757.85168479988</v>
      </c>
      <c r="G267" s="4">
        <v>350757.92546108237</v>
      </c>
      <c r="H267" s="5">
        <f t="shared" si="1"/>
        <v>0</v>
      </c>
      <c r="I267" t="s">
        <v>135</v>
      </c>
      <c r="J267" t="s">
        <v>147</v>
      </c>
      <c r="K267" s="5">
        <f>40 / 86400</f>
        <v>4.6296296296296298E-4</v>
      </c>
      <c r="L267" s="5">
        <f>77 / 86400</f>
        <v>8.9120370370370373E-4</v>
      </c>
    </row>
    <row r="268" spans="1:12" x14ac:dyDescent="0.25">
      <c r="A268" s="3">
        <v>45714.37736111111</v>
      </c>
      <c r="B268" t="s">
        <v>229</v>
      </c>
      <c r="C268" s="3">
        <v>45714.37799768518</v>
      </c>
      <c r="D268" t="s">
        <v>253</v>
      </c>
      <c r="E268" s="4">
        <v>0.18299721914529801</v>
      </c>
      <c r="F268" s="4">
        <v>350757.93708007742</v>
      </c>
      <c r="G268" s="4">
        <v>350758.12007729657</v>
      </c>
      <c r="H268" s="5">
        <f t="shared" si="1"/>
        <v>0</v>
      </c>
      <c r="I268" t="s">
        <v>140</v>
      </c>
      <c r="J268" t="s">
        <v>98</v>
      </c>
      <c r="K268" s="5">
        <f>55 / 86400</f>
        <v>6.3657407407407413E-4</v>
      </c>
      <c r="L268" s="5">
        <f>20 / 86400</f>
        <v>2.3148148148148149E-4</v>
      </c>
    </row>
    <row r="269" spans="1:12" x14ac:dyDescent="0.25">
      <c r="A269" s="3">
        <v>45714.378229166672</v>
      </c>
      <c r="B269" t="s">
        <v>253</v>
      </c>
      <c r="C269" s="3">
        <v>45714.378460648149</v>
      </c>
      <c r="D269" t="s">
        <v>254</v>
      </c>
      <c r="E269" s="4">
        <v>2.7135286569595338E-2</v>
      </c>
      <c r="F269" s="4">
        <v>350758.15486570448</v>
      </c>
      <c r="G269" s="4">
        <v>350758.18200099107</v>
      </c>
      <c r="H269" s="5">
        <f t="shared" si="1"/>
        <v>0</v>
      </c>
      <c r="I269" t="s">
        <v>28</v>
      </c>
      <c r="J269" t="s">
        <v>77</v>
      </c>
      <c r="K269" s="5">
        <f>20 / 86400</f>
        <v>2.3148148148148149E-4</v>
      </c>
      <c r="L269" s="5">
        <f>40 / 86400</f>
        <v>4.6296296296296298E-4</v>
      </c>
    </row>
    <row r="270" spans="1:12" x14ac:dyDescent="0.25">
      <c r="A270" s="3">
        <v>45714.378923611112</v>
      </c>
      <c r="B270" t="s">
        <v>255</v>
      </c>
      <c r="C270" s="3">
        <v>45714.380150462966</v>
      </c>
      <c r="D270" t="s">
        <v>256</v>
      </c>
      <c r="E270" s="4">
        <v>0.4681514655947685</v>
      </c>
      <c r="F270" s="4">
        <v>350758.22450520349</v>
      </c>
      <c r="G270" s="4">
        <v>350758.69265666907</v>
      </c>
      <c r="H270" s="5">
        <f t="shared" si="1"/>
        <v>0</v>
      </c>
      <c r="I270" t="s">
        <v>138</v>
      </c>
      <c r="J270" t="s">
        <v>28</v>
      </c>
      <c r="K270" s="5">
        <f>106 / 86400</f>
        <v>1.2268518518518518E-3</v>
      </c>
      <c r="L270" s="5">
        <f>20 / 86400</f>
        <v>2.3148148148148149E-4</v>
      </c>
    </row>
    <row r="271" spans="1:12" x14ac:dyDescent="0.25">
      <c r="A271" s="3">
        <v>45714.380381944444</v>
      </c>
      <c r="B271" t="s">
        <v>256</v>
      </c>
      <c r="C271" s="3">
        <v>45714.382349537038</v>
      </c>
      <c r="D271" t="s">
        <v>257</v>
      </c>
      <c r="E271" s="4">
        <v>1.3309643074274062</v>
      </c>
      <c r="F271" s="4">
        <v>350758.71972194157</v>
      </c>
      <c r="G271" s="4">
        <v>350760.05068624904</v>
      </c>
      <c r="H271" s="5">
        <f t="shared" si="1"/>
        <v>0</v>
      </c>
      <c r="I271" t="s">
        <v>167</v>
      </c>
      <c r="J271" t="s">
        <v>136</v>
      </c>
      <c r="K271" s="5">
        <f>170 / 86400</f>
        <v>1.9675925925925924E-3</v>
      </c>
      <c r="L271" s="5">
        <f>60 / 86400</f>
        <v>6.9444444444444447E-4</v>
      </c>
    </row>
    <row r="272" spans="1:12" x14ac:dyDescent="0.25">
      <c r="A272" s="3">
        <v>45714.383043981477</v>
      </c>
      <c r="B272" t="s">
        <v>258</v>
      </c>
      <c r="C272" s="3">
        <v>45714.383738425924</v>
      </c>
      <c r="D272" t="s">
        <v>259</v>
      </c>
      <c r="E272" s="4">
        <v>0.28008322483301162</v>
      </c>
      <c r="F272" s="4">
        <v>350760.10962948727</v>
      </c>
      <c r="G272" s="4">
        <v>350760.38971271209</v>
      </c>
      <c r="H272" s="5">
        <f t="shared" si="1"/>
        <v>0</v>
      </c>
      <c r="I272" t="s">
        <v>154</v>
      </c>
      <c r="J272" t="s">
        <v>61</v>
      </c>
      <c r="K272" s="5">
        <f>60 / 86400</f>
        <v>6.9444444444444447E-4</v>
      </c>
      <c r="L272" s="5">
        <f>114 / 86400</f>
        <v>1.3194444444444445E-3</v>
      </c>
    </row>
    <row r="273" spans="1:12" x14ac:dyDescent="0.25">
      <c r="A273" s="3">
        <v>45714.385057870371</v>
      </c>
      <c r="B273" t="s">
        <v>259</v>
      </c>
      <c r="C273" s="3">
        <v>45714.385289351849</v>
      </c>
      <c r="D273" t="s">
        <v>259</v>
      </c>
      <c r="E273" s="4">
        <v>8.6758935451507566E-3</v>
      </c>
      <c r="F273" s="4">
        <v>350760.42286927102</v>
      </c>
      <c r="G273" s="4">
        <v>350760.43154516461</v>
      </c>
      <c r="H273" s="5">
        <f t="shared" si="1"/>
        <v>0</v>
      </c>
      <c r="I273" t="s">
        <v>77</v>
      </c>
      <c r="J273" t="s">
        <v>32</v>
      </c>
      <c r="K273" s="5">
        <f>20 / 86400</f>
        <v>2.3148148148148149E-4</v>
      </c>
      <c r="L273" s="5">
        <f>16 / 86400</f>
        <v>1.8518518518518518E-4</v>
      </c>
    </row>
    <row r="274" spans="1:12" x14ac:dyDescent="0.25">
      <c r="A274" s="3">
        <v>45714.385474537034</v>
      </c>
      <c r="B274" t="s">
        <v>259</v>
      </c>
      <c r="C274" s="3">
        <v>45714.386400462958</v>
      </c>
      <c r="D274" t="s">
        <v>260</v>
      </c>
      <c r="E274" s="4">
        <v>0.48137000852823258</v>
      </c>
      <c r="F274" s="4">
        <v>350760.44097394991</v>
      </c>
      <c r="G274" s="4">
        <v>350760.92234395846</v>
      </c>
      <c r="H274" s="5">
        <f t="shared" si="1"/>
        <v>0</v>
      </c>
      <c r="I274" t="s">
        <v>213</v>
      </c>
      <c r="J274" t="s">
        <v>140</v>
      </c>
      <c r="K274" s="5">
        <f>80 / 86400</f>
        <v>9.2592592592592596E-4</v>
      </c>
      <c r="L274" s="5">
        <f>9 / 86400</f>
        <v>1.0416666666666667E-4</v>
      </c>
    </row>
    <row r="275" spans="1:12" x14ac:dyDescent="0.25">
      <c r="A275" s="3">
        <v>45714.386504629627</v>
      </c>
      <c r="B275" t="s">
        <v>260</v>
      </c>
      <c r="C275" s="3">
        <v>45714.387106481481</v>
      </c>
      <c r="D275" t="s">
        <v>261</v>
      </c>
      <c r="E275" s="4">
        <v>0.17545840859413148</v>
      </c>
      <c r="F275" s="4">
        <v>350760.92528218275</v>
      </c>
      <c r="G275" s="4">
        <v>350761.10074059136</v>
      </c>
      <c r="H275" s="5">
        <f t="shared" si="1"/>
        <v>0</v>
      </c>
      <c r="I275" t="s">
        <v>197</v>
      </c>
      <c r="J275" t="s">
        <v>98</v>
      </c>
      <c r="K275" s="5">
        <f>52 / 86400</f>
        <v>6.018518518518519E-4</v>
      </c>
      <c r="L275" s="5">
        <f>20 / 86400</f>
        <v>2.3148148148148149E-4</v>
      </c>
    </row>
    <row r="276" spans="1:12" x14ac:dyDescent="0.25">
      <c r="A276" s="3">
        <v>45714.387337962966</v>
      </c>
      <c r="B276" t="s">
        <v>262</v>
      </c>
      <c r="C276" s="3">
        <v>45714.387569444443</v>
      </c>
      <c r="D276" t="s">
        <v>262</v>
      </c>
      <c r="E276" s="4">
        <v>3.9221312999725344E-3</v>
      </c>
      <c r="F276" s="4">
        <v>350761.33852714038</v>
      </c>
      <c r="G276" s="4">
        <v>350761.3424492717</v>
      </c>
      <c r="H276" s="5">
        <f t="shared" si="1"/>
        <v>0</v>
      </c>
      <c r="I276" t="s">
        <v>78</v>
      </c>
      <c r="J276" t="s">
        <v>78</v>
      </c>
      <c r="K276" s="5">
        <f>20 / 86400</f>
        <v>2.3148148148148149E-4</v>
      </c>
      <c r="L276" s="5">
        <f>20 / 86400</f>
        <v>2.3148148148148149E-4</v>
      </c>
    </row>
    <row r="277" spans="1:12" x14ac:dyDescent="0.25">
      <c r="A277" s="3">
        <v>45714.387800925921</v>
      </c>
      <c r="B277" t="s">
        <v>263</v>
      </c>
      <c r="C277" s="3">
        <v>45714.388032407413</v>
      </c>
      <c r="D277" t="s">
        <v>263</v>
      </c>
      <c r="E277" s="4">
        <v>2.6662857353687286E-2</v>
      </c>
      <c r="F277" s="4">
        <v>350761.37101387471</v>
      </c>
      <c r="G277" s="4">
        <v>350761.39767673204</v>
      </c>
      <c r="H277" s="5">
        <f t="shared" si="1"/>
        <v>0</v>
      </c>
      <c r="I277" t="s">
        <v>78</v>
      </c>
      <c r="J277" t="s">
        <v>77</v>
      </c>
      <c r="K277" s="5">
        <f>20 / 86400</f>
        <v>2.3148148148148149E-4</v>
      </c>
      <c r="L277" s="5">
        <f>30 / 86400</f>
        <v>3.4722222222222224E-4</v>
      </c>
    </row>
    <row r="278" spans="1:12" x14ac:dyDescent="0.25">
      <c r="A278" s="3">
        <v>45714.388379629629</v>
      </c>
      <c r="B278" t="s">
        <v>263</v>
      </c>
      <c r="C278" s="3">
        <v>45714.388611111106</v>
      </c>
      <c r="D278" t="s">
        <v>263</v>
      </c>
      <c r="E278" s="4">
        <v>0.10065145844221116</v>
      </c>
      <c r="F278" s="4">
        <v>350761.45261103951</v>
      </c>
      <c r="G278" s="4">
        <v>350761.55326249794</v>
      </c>
      <c r="H278" s="5">
        <f t="shared" si="1"/>
        <v>0</v>
      </c>
      <c r="I278" t="s">
        <v>140</v>
      </c>
      <c r="J278" t="s">
        <v>20</v>
      </c>
      <c r="K278" s="5">
        <f>20 / 86400</f>
        <v>2.3148148148148149E-4</v>
      </c>
      <c r="L278" s="5">
        <f>33 / 86400</f>
        <v>3.8194444444444446E-4</v>
      </c>
    </row>
    <row r="279" spans="1:12" x14ac:dyDescent="0.25">
      <c r="A279" s="3">
        <v>45714.38899305556</v>
      </c>
      <c r="B279" t="s">
        <v>264</v>
      </c>
      <c r="C279" s="3">
        <v>45714.391446759255</v>
      </c>
      <c r="D279" t="s">
        <v>265</v>
      </c>
      <c r="E279" s="4">
        <v>0.73261136829853057</v>
      </c>
      <c r="F279" s="4">
        <v>350761.56813631789</v>
      </c>
      <c r="G279" s="4">
        <v>350762.30074768618</v>
      </c>
      <c r="H279" s="5">
        <f t="shared" si="1"/>
        <v>0</v>
      </c>
      <c r="I279" t="s">
        <v>266</v>
      </c>
      <c r="J279" t="s">
        <v>98</v>
      </c>
      <c r="K279" s="5">
        <f>212 / 86400</f>
        <v>2.4537037037037036E-3</v>
      </c>
      <c r="L279" s="5">
        <f>20 / 86400</f>
        <v>2.3148148148148149E-4</v>
      </c>
    </row>
    <row r="280" spans="1:12" x14ac:dyDescent="0.25">
      <c r="A280" s="3">
        <v>45714.39167824074</v>
      </c>
      <c r="B280" t="s">
        <v>265</v>
      </c>
      <c r="C280" s="3">
        <v>45714.391909722224</v>
      </c>
      <c r="D280" t="s">
        <v>265</v>
      </c>
      <c r="E280" s="4">
        <v>1.1726834774017335E-3</v>
      </c>
      <c r="F280" s="4">
        <v>350762.30365474953</v>
      </c>
      <c r="G280" s="4">
        <v>350762.30482743296</v>
      </c>
      <c r="H280" s="5">
        <f t="shared" si="1"/>
        <v>0</v>
      </c>
      <c r="I280" t="s">
        <v>78</v>
      </c>
      <c r="J280" t="s">
        <v>22</v>
      </c>
      <c r="K280" s="5">
        <f>20 / 86400</f>
        <v>2.3148148148148149E-4</v>
      </c>
      <c r="L280" s="5">
        <f>60 / 86400</f>
        <v>6.9444444444444447E-4</v>
      </c>
    </row>
    <row r="281" spans="1:12" x14ac:dyDescent="0.25">
      <c r="A281" s="3">
        <v>45714.392604166671</v>
      </c>
      <c r="B281" t="s">
        <v>267</v>
      </c>
      <c r="C281" s="3">
        <v>45714.392916666664</v>
      </c>
      <c r="D281" t="s">
        <v>267</v>
      </c>
      <c r="E281" s="4">
        <v>1.7176926076412202E-2</v>
      </c>
      <c r="F281" s="4">
        <v>350762.32819774334</v>
      </c>
      <c r="G281" s="4">
        <v>350762.34537466941</v>
      </c>
      <c r="H281" s="5">
        <f t="shared" si="1"/>
        <v>0</v>
      </c>
      <c r="I281" t="s">
        <v>31</v>
      </c>
      <c r="J281" t="s">
        <v>32</v>
      </c>
      <c r="K281" s="5">
        <f>27 / 86400</f>
        <v>3.1250000000000001E-4</v>
      </c>
      <c r="L281" s="5">
        <f>40 / 86400</f>
        <v>4.6296296296296298E-4</v>
      </c>
    </row>
    <row r="282" spans="1:12" x14ac:dyDescent="0.25">
      <c r="A282" s="3">
        <v>45714.393379629633</v>
      </c>
      <c r="B282" t="s">
        <v>267</v>
      </c>
      <c r="C282" s="3">
        <v>45714.393611111111</v>
      </c>
      <c r="D282" t="s">
        <v>267</v>
      </c>
      <c r="E282" s="4">
        <v>1.8082586526870727E-3</v>
      </c>
      <c r="F282" s="4">
        <v>350762.35560071474</v>
      </c>
      <c r="G282" s="4">
        <v>350762.35740897339</v>
      </c>
      <c r="H282" s="5">
        <f t="shared" si="1"/>
        <v>0</v>
      </c>
      <c r="I282" t="s">
        <v>78</v>
      </c>
      <c r="J282" t="s">
        <v>22</v>
      </c>
      <c r="K282" s="5">
        <f>20 / 86400</f>
        <v>2.3148148148148149E-4</v>
      </c>
      <c r="L282" s="5">
        <f>20 / 86400</f>
        <v>2.3148148148148149E-4</v>
      </c>
    </row>
    <row r="283" spans="1:12" x14ac:dyDescent="0.25">
      <c r="A283" s="3">
        <v>45714.393842592588</v>
      </c>
      <c r="B283" t="s">
        <v>267</v>
      </c>
      <c r="C283" s="3">
        <v>45714.394074074073</v>
      </c>
      <c r="D283" t="s">
        <v>268</v>
      </c>
      <c r="E283" s="4">
        <v>1.8768304228782652E-2</v>
      </c>
      <c r="F283" s="4">
        <v>350762.35740897339</v>
      </c>
      <c r="G283" s="4">
        <v>350762.37617727765</v>
      </c>
      <c r="H283" s="5">
        <f t="shared" si="1"/>
        <v>0</v>
      </c>
      <c r="I283" t="s">
        <v>78</v>
      </c>
      <c r="J283" t="s">
        <v>102</v>
      </c>
      <c r="K283" s="5">
        <f>20 / 86400</f>
        <v>2.3148148148148149E-4</v>
      </c>
      <c r="L283" s="5">
        <f>60 / 86400</f>
        <v>6.9444444444444447E-4</v>
      </c>
    </row>
    <row r="284" spans="1:12" x14ac:dyDescent="0.25">
      <c r="A284" s="3">
        <v>45714.394768518519</v>
      </c>
      <c r="B284" t="s">
        <v>35</v>
      </c>
      <c r="C284" s="3">
        <v>45714.395000000004</v>
      </c>
      <c r="D284" t="s">
        <v>215</v>
      </c>
      <c r="E284" s="4">
        <v>3.3241866886615755E-2</v>
      </c>
      <c r="F284" s="4">
        <v>350762.40810938308</v>
      </c>
      <c r="G284" s="4">
        <v>350762.44135124993</v>
      </c>
      <c r="H284" s="5">
        <f t="shared" si="1"/>
        <v>0</v>
      </c>
      <c r="I284" t="s">
        <v>70</v>
      </c>
      <c r="J284" t="s">
        <v>135</v>
      </c>
      <c r="K284" s="5">
        <f>20 / 86400</f>
        <v>2.3148148148148149E-4</v>
      </c>
      <c r="L284" s="5">
        <f>20 / 86400</f>
        <v>2.3148148148148149E-4</v>
      </c>
    </row>
    <row r="285" spans="1:12" x14ac:dyDescent="0.25">
      <c r="A285" s="3">
        <v>45714.395231481481</v>
      </c>
      <c r="B285" t="s">
        <v>215</v>
      </c>
      <c r="C285" s="3">
        <v>45714.396840277783</v>
      </c>
      <c r="D285" t="s">
        <v>269</v>
      </c>
      <c r="E285" s="4">
        <v>0.18599006634950638</v>
      </c>
      <c r="F285" s="4">
        <v>350762.44646589248</v>
      </c>
      <c r="G285" s="4">
        <v>350762.63245595887</v>
      </c>
      <c r="H285" s="5">
        <f t="shared" si="1"/>
        <v>0</v>
      </c>
      <c r="I285" t="s">
        <v>70</v>
      </c>
      <c r="J285" t="s">
        <v>77</v>
      </c>
      <c r="K285" s="5">
        <f>139 / 86400</f>
        <v>1.6087962962962963E-3</v>
      </c>
      <c r="L285" s="5">
        <f>6 / 86400</f>
        <v>6.9444444444444444E-5</v>
      </c>
    </row>
    <row r="286" spans="1:12" x14ac:dyDescent="0.25">
      <c r="A286" s="3">
        <v>45714.396909722222</v>
      </c>
      <c r="B286" t="s">
        <v>269</v>
      </c>
      <c r="C286" s="3">
        <v>45714.397372685184</v>
      </c>
      <c r="D286" t="s">
        <v>270</v>
      </c>
      <c r="E286" s="4">
        <v>5.3639952242374417E-2</v>
      </c>
      <c r="F286" s="4">
        <v>350762.63560387376</v>
      </c>
      <c r="G286" s="4">
        <v>350762.68924382597</v>
      </c>
      <c r="H286" s="5">
        <f t="shared" si="1"/>
        <v>0</v>
      </c>
      <c r="I286" t="s">
        <v>135</v>
      </c>
      <c r="J286" t="s">
        <v>77</v>
      </c>
      <c r="K286" s="5">
        <f>40 / 86400</f>
        <v>4.6296296296296298E-4</v>
      </c>
      <c r="L286" s="5">
        <f>15 / 86400</f>
        <v>1.7361111111111112E-4</v>
      </c>
    </row>
    <row r="287" spans="1:12" x14ac:dyDescent="0.25">
      <c r="A287" s="3">
        <v>45714.397546296299</v>
      </c>
      <c r="B287" t="s">
        <v>269</v>
      </c>
      <c r="C287" s="3">
        <v>45714.401319444441</v>
      </c>
      <c r="D287" t="s">
        <v>271</v>
      </c>
      <c r="E287" s="4">
        <v>1.2533654136061669</v>
      </c>
      <c r="F287" s="4">
        <v>350762.6952818904</v>
      </c>
      <c r="G287" s="4">
        <v>350763.94864730397</v>
      </c>
      <c r="H287" s="5">
        <f t="shared" si="1"/>
        <v>0</v>
      </c>
      <c r="I287" t="s">
        <v>174</v>
      </c>
      <c r="J287" t="s">
        <v>52</v>
      </c>
      <c r="K287" s="5">
        <f>326 / 86400</f>
        <v>3.7731481481481483E-3</v>
      </c>
      <c r="L287" s="5">
        <f>140 / 86400</f>
        <v>1.6203703703703703E-3</v>
      </c>
    </row>
    <row r="288" spans="1:12" x14ac:dyDescent="0.25">
      <c r="A288" s="3">
        <v>45714.402939814812</v>
      </c>
      <c r="B288" t="s">
        <v>271</v>
      </c>
      <c r="C288" s="3">
        <v>45714.403171296297</v>
      </c>
      <c r="D288" t="s">
        <v>271</v>
      </c>
      <c r="E288" s="4">
        <v>1.2753061652183532E-3</v>
      </c>
      <c r="F288" s="4">
        <v>350763.95997901296</v>
      </c>
      <c r="G288" s="4">
        <v>350763.96125431912</v>
      </c>
      <c r="H288" s="5">
        <f t="shared" si="1"/>
        <v>0</v>
      </c>
      <c r="I288" t="s">
        <v>78</v>
      </c>
      <c r="J288" t="s">
        <v>22</v>
      </c>
      <c r="K288" s="5">
        <f>20 / 86400</f>
        <v>2.3148148148148149E-4</v>
      </c>
      <c r="L288" s="5">
        <f>9 / 86400</f>
        <v>1.0416666666666667E-4</v>
      </c>
    </row>
    <row r="289" spans="1:12" x14ac:dyDescent="0.25">
      <c r="A289" s="3">
        <v>45714.403275462959</v>
      </c>
      <c r="B289" t="s">
        <v>271</v>
      </c>
      <c r="C289" s="3">
        <v>45714.403506944444</v>
      </c>
      <c r="D289" t="s">
        <v>272</v>
      </c>
      <c r="E289" s="4">
        <v>7.8273071646690374E-3</v>
      </c>
      <c r="F289" s="4">
        <v>350763.96579448553</v>
      </c>
      <c r="G289" s="4">
        <v>350763.97362179268</v>
      </c>
      <c r="H289" s="5">
        <f t="shared" si="1"/>
        <v>0</v>
      </c>
      <c r="I289" t="s">
        <v>157</v>
      </c>
      <c r="J289" t="s">
        <v>78</v>
      </c>
      <c r="K289" s="5">
        <f>20 / 86400</f>
        <v>2.3148148148148149E-4</v>
      </c>
      <c r="L289" s="5">
        <f>10 / 86400</f>
        <v>1.1574074074074075E-4</v>
      </c>
    </row>
    <row r="290" spans="1:12" x14ac:dyDescent="0.25">
      <c r="A290" s="3">
        <v>45714.403622685189</v>
      </c>
      <c r="B290" t="s">
        <v>272</v>
      </c>
      <c r="C290" s="3">
        <v>45714.404085648144</v>
      </c>
      <c r="D290" t="s">
        <v>271</v>
      </c>
      <c r="E290" s="4">
        <v>4.4195415914058685E-2</v>
      </c>
      <c r="F290" s="4">
        <v>350763.97666209791</v>
      </c>
      <c r="G290" s="4">
        <v>350764.02085751382</v>
      </c>
      <c r="H290" s="5">
        <f t="shared" si="1"/>
        <v>0</v>
      </c>
      <c r="I290" t="s">
        <v>157</v>
      </c>
      <c r="J290" t="s">
        <v>152</v>
      </c>
      <c r="K290" s="5">
        <f>40 / 86400</f>
        <v>4.6296296296296298E-4</v>
      </c>
      <c r="L290" s="5">
        <f>80 / 86400</f>
        <v>9.2592592592592596E-4</v>
      </c>
    </row>
    <row r="291" spans="1:12" x14ac:dyDescent="0.25">
      <c r="A291" s="3">
        <v>45714.405011574076</v>
      </c>
      <c r="B291" t="s">
        <v>271</v>
      </c>
      <c r="C291" s="3">
        <v>45714.405706018515</v>
      </c>
      <c r="D291" t="s">
        <v>272</v>
      </c>
      <c r="E291" s="4">
        <v>7.3509591639041902E-2</v>
      </c>
      <c r="F291" s="4">
        <v>350764.02559089492</v>
      </c>
      <c r="G291" s="4">
        <v>350764.09910048655</v>
      </c>
      <c r="H291" s="5">
        <f t="shared" si="1"/>
        <v>0</v>
      </c>
      <c r="I291" t="s">
        <v>157</v>
      </c>
      <c r="J291" t="s">
        <v>152</v>
      </c>
      <c r="K291" s="5">
        <f>60 / 86400</f>
        <v>6.9444444444444447E-4</v>
      </c>
      <c r="L291" s="5">
        <f>83 / 86400</f>
        <v>9.6064814814814819E-4</v>
      </c>
    </row>
    <row r="292" spans="1:12" x14ac:dyDescent="0.25">
      <c r="A292" s="3">
        <v>45714.406666666662</v>
      </c>
      <c r="B292" t="s">
        <v>272</v>
      </c>
      <c r="C292" s="3">
        <v>45714.408321759256</v>
      </c>
      <c r="D292" t="s">
        <v>273</v>
      </c>
      <c r="E292" s="4">
        <v>1.0438568258285523</v>
      </c>
      <c r="F292" s="4">
        <v>350764.108014873</v>
      </c>
      <c r="G292" s="4">
        <v>350765.15187169879</v>
      </c>
      <c r="H292" s="5">
        <f t="shared" si="1"/>
        <v>0</v>
      </c>
      <c r="I292" t="s">
        <v>117</v>
      </c>
      <c r="J292" t="s">
        <v>170</v>
      </c>
      <c r="K292" s="5">
        <f>143 / 86400</f>
        <v>1.6550925925925926E-3</v>
      </c>
      <c r="L292" s="5">
        <f>20 / 86400</f>
        <v>2.3148148148148149E-4</v>
      </c>
    </row>
    <row r="293" spans="1:12" x14ac:dyDescent="0.25">
      <c r="A293" s="3">
        <v>45714.408553240741</v>
      </c>
      <c r="B293" t="s">
        <v>273</v>
      </c>
      <c r="C293" s="3">
        <v>45714.40924768518</v>
      </c>
      <c r="D293" t="s">
        <v>274</v>
      </c>
      <c r="E293" s="4">
        <v>0.41434182453155516</v>
      </c>
      <c r="F293" s="4">
        <v>350765.19737534941</v>
      </c>
      <c r="G293" s="4">
        <v>350765.61171717395</v>
      </c>
      <c r="H293" s="5">
        <f t="shared" si="1"/>
        <v>0</v>
      </c>
      <c r="I293" t="s">
        <v>275</v>
      </c>
      <c r="J293" t="s">
        <v>131</v>
      </c>
      <c r="K293" s="5">
        <f>60 / 86400</f>
        <v>6.9444444444444447E-4</v>
      </c>
      <c r="L293" s="5">
        <f>13 / 86400</f>
        <v>1.5046296296296297E-4</v>
      </c>
    </row>
    <row r="294" spans="1:12" x14ac:dyDescent="0.25">
      <c r="A294" s="3">
        <v>45714.409398148149</v>
      </c>
      <c r="B294" t="s">
        <v>274</v>
      </c>
      <c r="C294" s="3">
        <v>45714.410960648151</v>
      </c>
      <c r="D294" t="s">
        <v>74</v>
      </c>
      <c r="E294" s="4">
        <v>1.06478759431839</v>
      </c>
      <c r="F294" s="4">
        <v>350765.61223732407</v>
      </c>
      <c r="G294" s="4">
        <v>350766.67702491838</v>
      </c>
      <c r="H294" s="5">
        <f t="shared" si="1"/>
        <v>0</v>
      </c>
      <c r="I294" t="s">
        <v>67</v>
      </c>
      <c r="J294" t="s">
        <v>136</v>
      </c>
      <c r="K294" s="5">
        <f>135 / 86400</f>
        <v>1.5625000000000001E-3</v>
      </c>
      <c r="L294" s="5">
        <f>22 / 86400</f>
        <v>2.5462962962962961E-4</v>
      </c>
    </row>
    <row r="295" spans="1:12" x14ac:dyDescent="0.25">
      <c r="A295" s="3">
        <v>45714.411215277782</v>
      </c>
      <c r="B295" t="s">
        <v>74</v>
      </c>
      <c r="C295" s="3">
        <v>45714.411678240736</v>
      </c>
      <c r="D295" t="s">
        <v>74</v>
      </c>
      <c r="E295" s="4">
        <v>9.155462789535522E-2</v>
      </c>
      <c r="F295" s="4">
        <v>350766.68752231903</v>
      </c>
      <c r="G295" s="4">
        <v>350766.7790769469</v>
      </c>
      <c r="H295" s="5">
        <f t="shared" si="1"/>
        <v>0</v>
      </c>
      <c r="I295" t="s">
        <v>135</v>
      </c>
      <c r="J295" t="s">
        <v>157</v>
      </c>
      <c r="K295" s="5">
        <f>40 / 86400</f>
        <v>4.6296296296296298E-4</v>
      </c>
      <c r="L295" s="5">
        <f>60 / 86400</f>
        <v>6.9444444444444447E-4</v>
      </c>
    </row>
    <row r="296" spans="1:12" x14ac:dyDescent="0.25">
      <c r="A296" s="3">
        <v>45714.412372685183</v>
      </c>
      <c r="B296" t="s">
        <v>74</v>
      </c>
      <c r="C296" s="3">
        <v>45714.413935185185</v>
      </c>
      <c r="D296" t="s">
        <v>74</v>
      </c>
      <c r="E296" s="4">
        <v>0.21329790437221527</v>
      </c>
      <c r="F296" s="4">
        <v>350766.79300594964</v>
      </c>
      <c r="G296" s="4">
        <v>350767.006303854</v>
      </c>
      <c r="H296" s="5">
        <f t="shared" si="1"/>
        <v>0</v>
      </c>
      <c r="I296" t="s">
        <v>31</v>
      </c>
      <c r="J296" t="s">
        <v>135</v>
      </c>
      <c r="K296" s="5">
        <f>135 / 86400</f>
        <v>1.5625000000000001E-3</v>
      </c>
      <c r="L296" s="5">
        <f>60 / 86400</f>
        <v>6.9444444444444447E-4</v>
      </c>
    </row>
    <row r="297" spans="1:12" x14ac:dyDescent="0.25">
      <c r="A297" s="3">
        <v>45714.414629629631</v>
      </c>
      <c r="B297" t="s">
        <v>74</v>
      </c>
      <c r="C297" s="3">
        <v>45714.415092592593</v>
      </c>
      <c r="D297" t="s">
        <v>276</v>
      </c>
      <c r="E297" s="4">
        <v>1.0258115530014038E-2</v>
      </c>
      <c r="F297" s="4">
        <v>350767.05971567909</v>
      </c>
      <c r="G297" s="4">
        <v>350767.06997379463</v>
      </c>
      <c r="H297" s="5">
        <f t="shared" si="1"/>
        <v>0</v>
      </c>
      <c r="I297" t="s">
        <v>77</v>
      </c>
      <c r="J297" t="s">
        <v>78</v>
      </c>
      <c r="K297" s="5">
        <f>40 / 86400</f>
        <v>4.6296296296296298E-4</v>
      </c>
      <c r="L297" s="5">
        <f>40 / 86400</f>
        <v>4.6296296296296298E-4</v>
      </c>
    </row>
    <row r="298" spans="1:12" x14ac:dyDescent="0.25">
      <c r="A298" s="3">
        <v>45714.415555555555</v>
      </c>
      <c r="B298" t="s">
        <v>277</v>
      </c>
      <c r="C298" s="3">
        <v>45714.41578703704</v>
      </c>
      <c r="D298" t="s">
        <v>277</v>
      </c>
      <c r="E298" s="4">
        <v>0</v>
      </c>
      <c r="F298" s="4">
        <v>350767.23609081755</v>
      </c>
      <c r="G298" s="4">
        <v>350767.23609081755</v>
      </c>
      <c r="H298" s="5">
        <f t="shared" si="1"/>
        <v>0</v>
      </c>
      <c r="I298" t="s">
        <v>42</v>
      </c>
      <c r="J298" t="s">
        <v>22</v>
      </c>
      <c r="K298" s="5">
        <f>20 / 86400</f>
        <v>2.3148148148148149E-4</v>
      </c>
      <c r="L298" s="5">
        <f>60 / 86400</f>
        <v>6.9444444444444447E-4</v>
      </c>
    </row>
    <row r="299" spans="1:12" x14ac:dyDescent="0.25">
      <c r="A299" s="3">
        <v>45714.416481481487</v>
      </c>
      <c r="B299" t="s">
        <v>278</v>
      </c>
      <c r="C299" s="3">
        <v>45714.418333333335</v>
      </c>
      <c r="D299" t="s">
        <v>279</v>
      </c>
      <c r="E299" s="4">
        <v>0.1236090476512909</v>
      </c>
      <c r="F299" s="4">
        <v>350767.31443069974</v>
      </c>
      <c r="G299" s="4">
        <v>350767.43803974742</v>
      </c>
      <c r="H299" s="5">
        <f t="shared" si="1"/>
        <v>0</v>
      </c>
      <c r="I299" t="s">
        <v>77</v>
      </c>
      <c r="J299" t="s">
        <v>102</v>
      </c>
      <c r="K299" s="5">
        <f>160 / 86400</f>
        <v>1.8518518518518519E-3</v>
      </c>
      <c r="L299" s="5">
        <f>40 / 86400</f>
        <v>4.6296296296296298E-4</v>
      </c>
    </row>
    <row r="300" spans="1:12" x14ac:dyDescent="0.25">
      <c r="A300" s="3">
        <v>45714.418796296297</v>
      </c>
      <c r="B300" t="s">
        <v>280</v>
      </c>
      <c r="C300" s="3">
        <v>45714.419027777782</v>
      </c>
      <c r="D300" t="s">
        <v>210</v>
      </c>
      <c r="E300" s="4">
        <v>5.0408498644828794E-3</v>
      </c>
      <c r="F300" s="4">
        <v>350767.4629954024</v>
      </c>
      <c r="G300" s="4">
        <v>350767.46803625225</v>
      </c>
      <c r="H300" s="5">
        <f t="shared" si="1"/>
        <v>0</v>
      </c>
      <c r="I300" t="s">
        <v>78</v>
      </c>
      <c r="J300" t="s">
        <v>78</v>
      </c>
      <c r="K300" s="5">
        <f>20 / 86400</f>
        <v>2.3148148148148149E-4</v>
      </c>
      <c r="L300" s="5">
        <f>40 / 86400</f>
        <v>4.6296296296296298E-4</v>
      </c>
    </row>
    <row r="301" spans="1:12" x14ac:dyDescent="0.25">
      <c r="A301" s="3">
        <v>45714.419490740736</v>
      </c>
      <c r="B301" t="s">
        <v>210</v>
      </c>
      <c r="C301" s="3">
        <v>45714.421215277776</v>
      </c>
      <c r="D301" t="s">
        <v>281</v>
      </c>
      <c r="E301" s="4">
        <v>0.42828612875938415</v>
      </c>
      <c r="F301" s="4">
        <v>350767.50872906839</v>
      </c>
      <c r="G301" s="4">
        <v>350767.93701519718</v>
      </c>
      <c r="H301" s="5">
        <f t="shared" si="1"/>
        <v>0</v>
      </c>
      <c r="I301" t="s">
        <v>131</v>
      </c>
      <c r="J301" t="s">
        <v>132</v>
      </c>
      <c r="K301" s="5">
        <f>149 / 86400</f>
        <v>1.724537037037037E-3</v>
      </c>
      <c r="L301" s="5">
        <f>31 / 86400</f>
        <v>3.5879629629629629E-4</v>
      </c>
    </row>
    <row r="302" spans="1:12" x14ac:dyDescent="0.25">
      <c r="A302" s="3">
        <v>45714.421574074076</v>
      </c>
      <c r="B302" t="s">
        <v>281</v>
      </c>
      <c r="C302" s="3">
        <v>45714.422731481478</v>
      </c>
      <c r="D302" t="s">
        <v>281</v>
      </c>
      <c r="E302" s="4">
        <v>0.48133699792623519</v>
      </c>
      <c r="F302" s="4">
        <v>350767.96369560866</v>
      </c>
      <c r="G302" s="4">
        <v>350768.4450326066</v>
      </c>
      <c r="H302" s="5">
        <f t="shared" si="1"/>
        <v>0</v>
      </c>
      <c r="I302" t="s">
        <v>148</v>
      </c>
      <c r="J302" t="s">
        <v>61</v>
      </c>
      <c r="K302" s="5">
        <f>100 / 86400</f>
        <v>1.1574074074074073E-3</v>
      </c>
      <c r="L302" s="5">
        <f>100 / 86400</f>
        <v>1.1574074074074073E-3</v>
      </c>
    </row>
    <row r="303" spans="1:12" x14ac:dyDescent="0.25">
      <c r="A303" s="3">
        <v>45714.423888888894</v>
      </c>
      <c r="B303" t="s">
        <v>281</v>
      </c>
      <c r="C303" s="3">
        <v>45714.424351851849</v>
      </c>
      <c r="D303" t="s">
        <v>281</v>
      </c>
      <c r="E303" s="4">
        <v>2.1595108628273012E-2</v>
      </c>
      <c r="F303" s="4">
        <v>350768.46535036684</v>
      </c>
      <c r="G303" s="4">
        <v>350768.48694547545</v>
      </c>
      <c r="H303" s="5">
        <f t="shared" si="1"/>
        <v>0</v>
      </c>
      <c r="I303" t="s">
        <v>77</v>
      </c>
      <c r="J303" t="s">
        <v>32</v>
      </c>
      <c r="K303" s="5">
        <f>40 / 86400</f>
        <v>4.6296296296296298E-4</v>
      </c>
      <c r="L303" s="5">
        <f>20 / 86400</f>
        <v>2.3148148148148149E-4</v>
      </c>
    </row>
    <row r="304" spans="1:12" x14ac:dyDescent="0.25">
      <c r="A304" s="3">
        <v>45714.424583333333</v>
      </c>
      <c r="B304" t="s">
        <v>282</v>
      </c>
      <c r="C304" s="3">
        <v>45714.425335648149</v>
      </c>
      <c r="D304" t="s">
        <v>282</v>
      </c>
      <c r="E304" s="4">
        <v>1.3460801422595977E-2</v>
      </c>
      <c r="F304" s="4">
        <v>350768.49167631514</v>
      </c>
      <c r="G304" s="4">
        <v>350768.50513711653</v>
      </c>
      <c r="H304" s="5">
        <f t="shared" si="1"/>
        <v>0</v>
      </c>
      <c r="I304" t="s">
        <v>77</v>
      </c>
      <c r="J304" t="s">
        <v>78</v>
      </c>
      <c r="K304" s="5">
        <f>65 / 86400</f>
        <v>7.5231481481481482E-4</v>
      </c>
      <c r="L304" s="5">
        <f>24 / 86400</f>
        <v>2.7777777777777778E-4</v>
      </c>
    </row>
    <row r="305" spans="1:12" x14ac:dyDescent="0.25">
      <c r="A305" s="3">
        <v>45714.425613425927</v>
      </c>
      <c r="B305" t="s">
        <v>282</v>
      </c>
      <c r="C305" s="3">
        <v>45714.426539351851</v>
      </c>
      <c r="D305" t="s">
        <v>281</v>
      </c>
      <c r="E305" s="4">
        <v>0.4219996625185013</v>
      </c>
      <c r="F305" s="4">
        <v>350768.51960363425</v>
      </c>
      <c r="G305" s="4">
        <v>350768.94160329679</v>
      </c>
      <c r="H305" s="5">
        <f t="shared" si="1"/>
        <v>0</v>
      </c>
      <c r="I305" t="s">
        <v>178</v>
      </c>
      <c r="J305" t="s">
        <v>25</v>
      </c>
      <c r="K305" s="5">
        <f>80 / 86400</f>
        <v>9.2592592592592596E-4</v>
      </c>
      <c r="L305" s="5">
        <f>16 / 86400</f>
        <v>1.8518518518518518E-4</v>
      </c>
    </row>
    <row r="306" spans="1:12" x14ac:dyDescent="0.25">
      <c r="A306" s="3">
        <v>45714.426724537036</v>
      </c>
      <c r="B306" t="s">
        <v>281</v>
      </c>
      <c r="C306" s="3">
        <v>45714.428576388891</v>
      </c>
      <c r="D306" t="s">
        <v>283</v>
      </c>
      <c r="E306" s="4">
        <v>1.5193343153595924</v>
      </c>
      <c r="F306" s="4">
        <v>350768.95507384674</v>
      </c>
      <c r="G306" s="4">
        <v>350770.47440816212</v>
      </c>
      <c r="H306" s="5">
        <f t="shared" si="1"/>
        <v>0</v>
      </c>
      <c r="I306" t="s">
        <v>213</v>
      </c>
      <c r="J306" t="s">
        <v>203</v>
      </c>
      <c r="K306" s="5">
        <f>160 / 86400</f>
        <v>1.8518518518518519E-3</v>
      </c>
      <c r="L306" s="5">
        <f>20 / 86400</f>
        <v>2.3148148148148149E-4</v>
      </c>
    </row>
    <row r="307" spans="1:12" x14ac:dyDescent="0.25">
      <c r="A307" s="3">
        <v>45714.428807870368</v>
      </c>
      <c r="B307" t="s">
        <v>283</v>
      </c>
      <c r="C307" s="3">
        <v>45714.429502314815</v>
      </c>
      <c r="D307" t="s">
        <v>284</v>
      </c>
      <c r="E307" s="4">
        <v>0.39977015721797943</v>
      </c>
      <c r="F307" s="4">
        <v>350770.48982719134</v>
      </c>
      <c r="G307" s="4">
        <v>350770.88959734858</v>
      </c>
      <c r="H307" s="5">
        <f t="shared" si="1"/>
        <v>0</v>
      </c>
      <c r="I307" t="s">
        <v>182</v>
      </c>
      <c r="J307" t="s">
        <v>37</v>
      </c>
      <c r="K307" s="5">
        <f>60 / 86400</f>
        <v>6.9444444444444447E-4</v>
      </c>
      <c r="L307" s="5">
        <f>4 / 86400</f>
        <v>4.6296296296296294E-5</v>
      </c>
    </row>
    <row r="308" spans="1:12" x14ac:dyDescent="0.25">
      <c r="A308" s="3">
        <v>45714.429548611108</v>
      </c>
      <c r="B308" t="s">
        <v>284</v>
      </c>
      <c r="C308" s="3">
        <v>45714.429780092592</v>
      </c>
      <c r="D308" t="s">
        <v>284</v>
      </c>
      <c r="E308" s="4">
        <v>1.2739413380622863E-3</v>
      </c>
      <c r="F308" s="4">
        <v>350770.89239704103</v>
      </c>
      <c r="G308" s="4">
        <v>350770.89367098233</v>
      </c>
      <c r="H308" s="5">
        <f t="shared" si="1"/>
        <v>0</v>
      </c>
      <c r="I308" t="s">
        <v>77</v>
      </c>
      <c r="J308" t="s">
        <v>22</v>
      </c>
      <c r="K308" s="5">
        <f>20 / 86400</f>
        <v>2.3148148148148149E-4</v>
      </c>
      <c r="L308" s="5">
        <f>40 / 86400</f>
        <v>4.6296296296296298E-4</v>
      </c>
    </row>
    <row r="309" spans="1:12" x14ac:dyDescent="0.25">
      <c r="A309" s="3">
        <v>45714.430243055554</v>
      </c>
      <c r="B309" t="s">
        <v>285</v>
      </c>
      <c r="C309" s="3">
        <v>45714.433020833334</v>
      </c>
      <c r="D309" t="s">
        <v>286</v>
      </c>
      <c r="E309" s="4">
        <v>1.7505699162483215</v>
      </c>
      <c r="F309" s="4">
        <v>350770.91921602591</v>
      </c>
      <c r="G309" s="4">
        <v>350772.66978594213</v>
      </c>
      <c r="H309" s="5">
        <f t="shared" si="1"/>
        <v>0</v>
      </c>
      <c r="I309" t="s">
        <v>143</v>
      </c>
      <c r="J309" t="s">
        <v>170</v>
      </c>
      <c r="K309" s="5">
        <f>240 / 86400</f>
        <v>2.7777777777777779E-3</v>
      </c>
      <c r="L309" s="5">
        <f>55 / 86400</f>
        <v>6.3657407407407413E-4</v>
      </c>
    </row>
    <row r="310" spans="1:12" x14ac:dyDescent="0.25">
      <c r="A310" s="3">
        <v>45714.433657407411</v>
      </c>
      <c r="B310" t="s">
        <v>286</v>
      </c>
      <c r="C310" s="3">
        <v>45714.434120370366</v>
      </c>
      <c r="D310" t="s">
        <v>189</v>
      </c>
      <c r="E310" s="4">
        <v>0.2104036986231804</v>
      </c>
      <c r="F310" s="4">
        <v>350772.6859069693</v>
      </c>
      <c r="G310" s="4">
        <v>350772.89631066791</v>
      </c>
      <c r="H310" s="5">
        <f t="shared" si="1"/>
        <v>0</v>
      </c>
      <c r="I310" t="s">
        <v>154</v>
      </c>
      <c r="J310" t="s">
        <v>25</v>
      </c>
      <c r="K310" s="5">
        <f>40 / 86400</f>
        <v>4.6296296296296298E-4</v>
      </c>
      <c r="L310" s="5">
        <f>26 / 86400</f>
        <v>3.0092592592592595E-4</v>
      </c>
    </row>
    <row r="311" spans="1:12" x14ac:dyDescent="0.25">
      <c r="A311" s="3">
        <v>45714.434421296297</v>
      </c>
      <c r="B311" t="s">
        <v>189</v>
      </c>
      <c r="C311" s="3">
        <v>45714.435717592598</v>
      </c>
      <c r="D311" t="s">
        <v>287</v>
      </c>
      <c r="E311" s="4">
        <v>1.1115730702280999</v>
      </c>
      <c r="F311" s="4">
        <v>350772.90727578406</v>
      </c>
      <c r="G311" s="4">
        <v>350774.01884885429</v>
      </c>
      <c r="H311" s="5">
        <f t="shared" si="1"/>
        <v>0</v>
      </c>
      <c r="I311" t="s">
        <v>84</v>
      </c>
      <c r="J311" t="s">
        <v>288</v>
      </c>
      <c r="K311" s="5">
        <f>112 / 86400</f>
        <v>1.2962962962962963E-3</v>
      </c>
      <c r="L311" s="5">
        <f>40 / 86400</f>
        <v>4.6296296296296298E-4</v>
      </c>
    </row>
    <row r="312" spans="1:12" x14ac:dyDescent="0.25">
      <c r="A312" s="3">
        <v>45714.436180555553</v>
      </c>
      <c r="B312" t="s">
        <v>289</v>
      </c>
      <c r="C312" s="3">
        <v>45714.437534722223</v>
      </c>
      <c r="D312" t="s">
        <v>290</v>
      </c>
      <c r="E312" s="4">
        <v>0.27023409891128541</v>
      </c>
      <c r="F312" s="4">
        <v>350774.05758518772</v>
      </c>
      <c r="G312" s="4">
        <v>350774.32781928667</v>
      </c>
      <c r="H312" s="5">
        <f t="shared" si="1"/>
        <v>0</v>
      </c>
      <c r="I312" t="s">
        <v>46</v>
      </c>
      <c r="J312" t="s">
        <v>157</v>
      </c>
      <c r="K312" s="5">
        <f>117 / 86400</f>
        <v>1.3541666666666667E-3</v>
      </c>
      <c r="L312" s="5">
        <f>20 / 86400</f>
        <v>2.3148148148148149E-4</v>
      </c>
    </row>
    <row r="313" spans="1:12" x14ac:dyDescent="0.25">
      <c r="A313" s="3">
        <v>45714.4377662037</v>
      </c>
      <c r="B313" t="s">
        <v>291</v>
      </c>
      <c r="C313" s="3">
        <v>45714.43822916667</v>
      </c>
      <c r="D313" t="s">
        <v>290</v>
      </c>
      <c r="E313" s="4">
        <v>3.8750004410743714E-2</v>
      </c>
      <c r="F313" s="4">
        <v>350774.34103964502</v>
      </c>
      <c r="G313" s="4">
        <v>350774.37978964945</v>
      </c>
      <c r="H313" s="5">
        <f t="shared" si="1"/>
        <v>0</v>
      </c>
      <c r="I313" t="s">
        <v>135</v>
      </c>
      <c r="J313" t="s">
        <v>102</v>
      </c>
      <c r="K313" s="5">
        <f>40 / 86400</f>
        <v>4.6296296296296298E-4</v>
      </c>
      <c r="L313" s="5">
        <f>20 / 86400</f>
        <v>2.3148148148148149E-4</v>
      </c>
    </row>
    <row r="314" spans="1:12" x14ac:dyDescent="0.25">
      <c r="A314" s="3">
        <v>45714.438460648147</v>
      </c>
      <c r="B314" t="s">
        <v>290</v>
      </c>
      <c r="C314" s="3">
        <v>45714.439039351855</v>
      </c>
      <c r="D314" t="s">
        <v>292</v>
      </c>
      <c r="E314" s="4">
        <v>0.14988919448852539</v>
      </c>
      <c r="F314" s="4">
        <v>350774.38269915013</v>
      </c>
      <c r="G314" s="4">
        <v>350774.53258834465</v>
      </c>
      <c r="H314" s="5">
        <f t="shared" si="1"/>
        <v>0</v>
      </c>
      <c r="I314" t="s">
        <v>184</v>
      </c>
      <c r="J314" t="s">
        <v>31</v>
      </c>
      <c r="K314" s="5">
        <f>50 / 86400</f>
        <v>5.7870370370370367E-4</v>
      </c>
      <c r="L314" s="5">
        <f>20 / 86400</f>
        <v>2.3148148148148149E-4</v>
      </c>
    </row>
    <row r="315" spans="1:12" x14ac:dyDescent="0.25">
      <c r="A315" s="3">
        <v>45714.439270833333</v>
      </c>
      <c r="B315" t="s">
        <v>293</v>
      </c>
      <c r="C315" s="3">
        <v>45714.440694444449</v>
      </c>
      <c r="D315" t="s">
        <v>294</v>
      </c>
      <c r="E315" s="4">
        <v>0.60472703945636752</v>
      </c>
      <c r="F315" s="4">
        <v>350774.53690904909</v>
      </c>
      <c r="G315" s="4">
        <v>350775.14163608855</v>
      </c>
      <c r="H315" s="5">
        <f t="shared" si="1"/>
        <v>0</v>
      </c>
      <c r="I315" t="s">
        <v>184</v>
      </c>
      <c r="J315" t="s">
        <v>20</v>
      </c>
      <c r="K315" s="5">
        <f>123 / 86400</f>
        <v>1.4236111111111112E-3</v>
      </c>
      <c r="L315" s="5">
        <f>2 / 86400</f>
        <v>2.3148148148148147E-5</v>
      </c>
    </row>
    <row r="316" spans="1:12" x14ac:dyDescent="0.25">
      <c r="A316" s="3">
        <v>45714.440717592588</v>
      </c>
      <c r="B316" t="s">
        <v>294</v>
      </c>
      <c r="C316" s="3">
        <v>45714.441180555557</v>
      </c>
      <c r="D316" t="s">
        <v>189</v>
      </c>
      <c r="E316" s="4">
        <v>0.14968199360370635</v>
      </c>
      <c r="F316" s="4">
        <v>350775.14454960282</v>
      </c>
      <c r="G316" s="4">
        <v>350775.2942315964</v>
      </c>
      <c r="H316" s="5">
        <f t="shared" ref="H316:H379" si="2">0 / 86400</f>
        <v>0</v>
      </c>
      <c r="I316" t="s">
        <v>46</v>
      </c>
      <c r="J316" t="s">
        <v>42</v>
      </c>
      <c r="K316" s="5">
        <f>40 / 86400</f>
        <v>4.6296296296296298E-4</v>
      </c>
      <c r="L316" s="5">
        <f>20 / 86400</f>
        <v>2.3148148148148149E-4</v>
      </c>
    </row>
    <row r="317" spans="1:12" x14ac:dyDescent="0.25">
      <c r="A317" s="3">
        <v>45714.441412037035</v>
      </c>
      <c r="B317" t="s">
        <v>295</v>
      </c>
      <c r="C317" s="3">
        <v>45714.442106481481</v>
      </c>
      <c r="D317" t="s">
        <v>92</v>
      </c>
      <c r="E317" s="4">
        <v>0.62653578734397886</v>
      </c>
      <c r="F317" s="4">
        <v>350775.32155586197</v>
      </c>
      <c r="G317" s="4">
        <v>350775.94809164928</v>
      </c>
      <c r="H317" s="5">
        <f t="shared" si="2"/>
        <v>0</v>
      </c>
      <c r="I317" t="s">
        <v>296</v>
      </c>
      <c r="J317" t="s">
        <v>138</v>
      </c>
      <c r="K317" s="5">
        <f>60 / 86400</f>
        <v>6.9444444444444447E-4</v>
      </c>
      <c r="L317" s="5">
        <f>20 / 86400</f>
        <v>2.3148148148148149E-4</v>
      </c>
    </row>
    <row r="318" spans="1:12" x14ac:dyDescent="0.25">
      <c r="A318" s="3">
        <v>45714.442337962959</v>
      </c>
      <c r="B318" t="s">
        <v>92</v>
      </c>
      <c r="C318" s="3">
        <v>45714.442800925928</v>
      </c>
      <c r="D318" t="s">
        <v>297</v>
      </c>
      <c r="E318" s="4">
        <v>7.5724953532218933E-2</v>
      </c>
      <c r="F318" s="4">
        <v>350775.9871039018</v>
      </c>
      <c r="G318" s="4">
        <v>350776.06282885536</v>
      </c>
      <c r="H318" s="5">
        <f t="shared" si="2"/>
        <v>0</v>
      </c>
      <c r="I318" t="s">
        <v>52</v>
      </c>
      <c r="J318" t="s">
        <v>147</v>
      </c>
      <c r="K318" s="5">
        <f>40 / 86400</f>
        <v>4.6296296296296298E-4</v>
      </c>
      <c r="L318" s="5">
        <f>20 / 86400</f>
        <v>2.3148148148148149E-4</v>
      </c>
    </row>
    <row r="319" spans="1:12" x14ac:dyDescent="0.25">
      <c r="A319" s="3">
        <v>45714.443032407406</v>
      </c>
      <c r="B319" t="s">
        <v>297</v>
      </c>
      <c r="C319" s="3">
        <v>45714.446273148147</v>
      </c>
      <c r="D319" t="s">
        <v>168</v>
      </c>
      <c r="E319" s="4">
        <v>1.9605240786075593</v>
      </c>
      <c r="F319" s="4">
        <v>350776.07117118506</v>
      </c>
      <c r="G319" s="4">
        <v>350778.03169526369</v>
      </c>
      <c r="H319" s="5">
        <f t="shared" si="2"/>
        <v>0</v>
      </c>
      <c r="I319" t="s">
        <v>183</v>
      </c>
      <c r="J319" t="s">
        <v>131</v>
      </c>
      <c r="K319" s="5">
        <f>280 / 86400</f>
        <v>3.2407407407407406E-3</v>
      </c>
      <c r="L319" s="5">
        <f>3 / 86400</f>
        <v>3.4722222222222222E-5</v>
      </c>
    </row>
    <row r="320" spans="1:12" x14ac:dyDescent="0.25">
      <c r="A320" s="3">
        <v>45714.44630787037</v>
      </c>
      <c r="B320" t="s">
        <v>168</v>
      </c>
      <c r="C320" s="3">
        <v>45714.447233796294</v>
      </c>
      <c r="D320" t="s">
        <v>168</v>
      </c>
      <c r="E320" s="4">
        <v>0.51114045137166975</v>
      </c>
      <c r="F320" s="4">
        <v>350778.03460817219</v>
      </c>
      <c r="G320" s="4">
        <v>350778.54574862355</v>
      </c>
      <c r="H320" s="5">
        <f t="shared" si="2"/>
        <v>0</v>
      </c>
      <c r="I320" t="s">
        <v>138</v>
      </c>
      <c r="J320" t="s">
        <v>134</v>
      </c>
      <c r="K320" s="5">
        <f>80 / 86400</f>
        <v>9.2592592592592596E-4</v>
      </c>
      <c r="L320" s="5">
        <f>78 / 86400</f>
        <v>9.0277777777777774E-4</v>
      </c>
    </row>
    <row r="321" spans="1:12" x14ac:dyDescent="0.25">
      <c r="A321" s="3">
        <v>45714.448136574079</v>
      </c>
      <c r="B321" t="s">
        <v>168</v>
      </c>
      <c r="C321" s="3">
        <v>45714.449606481481</v>
      </c>
      <c r="D321" t="s">
        <v>168</v>
      </c>
      <c r="E321" s="4">
        <v>0.91636529999971394</v>
      </c>
      <c r="F321" s="4">
        <v>350778.56958875421</v>
      </c>
      <c r="G321" s="4">
        <v>350779.48595405422</v>
      </c>
      <c r="H321" s="5">
        <f t="shared" si="2"/>
        <v>0</v>
      </c>
      <c r="I321" t="s">
        <v>298</v>
      </c>
      <c r="J321" t="s">
        <v>170</v>
      </c>
      <c r="K321" s="5">
        <f>127 / 86400</f>
        <v>1.4699074074074074E-3</v>
      </c>
      <c r="L321" s="5">
        <f>40 / 86400</f>
        <v>4.6296296296296298E-4</v>
      </c>
    </row>
    <row r="322" spans="1:12" x14ac:dyDescent="0.25">
      <c r="A322" s="3">
        <v>45714.450069444443</v>
      </c>
      <c r="B322" t="s">
        <v>168</v>
      </c>
      <c r="C322" s="3">
        <v>45714.450995370367</v>
      </c>
      <c r="D322" t="s">
        <v>168</v>
      </c>
      <c r="E322" s="4">
        <v>0.59945812213420868</v>
      </c>
      <c r="F322" s="4">
        <v>350779.59985957277</v>
      </c>
      <c r="G322" s="4">
        <v>350780.19931769487</v>
      </c>
      <c r="H322" s="5">
        <f t="shared" si="2"/>
        <v>0</v>
      </c>
      <c r="I322" t="s">
        <v>299</v>
      </c>
      <c r="J322" t="s">
        <v>186</v>
      </c>
      <c r="K322" s="5">
        <f>80 / 86400</f>
        <v>9.2592592592592596E-4</v>
      </c>
      <c r="L322" s="5">
        <f>20 / 86400</f>
        <v>2.3148148148148149E-4</v>
      </c>
    </row>
    <row r="323" spans="1:12" x14ac:dyDescent="0.25">
      <c r="A323" s="3">
        <v>45714.451226851852</v>
      </c>
      <c r="B323" t="s">
        <v>168</v>
      </c>
      <c r="C323" s="3">
        <v>45714.451689814814</v>
      </c>
      <c r="D323" t="s">
        <v>300</v>
      </c>
      <c r="E323" s="4">
        <v>0.12062078177928924</v>
      </c>
      <c r="F323" s="4">
        <v>350780.2029483323</v>
      </c>
      <c r="G323" s="4">
        <v>350780.32356911409</v>
      </c>
      <c r="H323" s="5">
        <f t="shared" si="2"/>
        <v>0</v>
      </c>
      <c r="I323" t="s">
        <v>64</v>
      </c>
      <c r="J323" t="s">
        <v>31</v>
      </c>
      <c r="K323" s="5">
        <f>40 / 86400</f>
        <v>4.6296296296296298E-4</v>
      </c>
      <c r="L323" s="5">
        <f>20 / 86400</f>
        <v>2.3148148148148149E-4</v>
      </c>
    </row>
    <row r="324" spans="1:12" x14ac:dyDescent="0.25">
      <c r="A324" s="3">
        <v>45714.451921296291</v>
      </c>
      <c r="B324" t="s">
        <v>168</v>
      </c>
      <c r="C324" s="3">
        <v>45714.452384259261</v>
      </c>
      <c r="D324" t="s">
        <v>168</v>
      </c>
      <c r="E324" s="4">
        <v>6.117267549037933E-2</v>
      </c>
      <c r="F324" s="4">
        <v>350780.33823656209</v>
      </c>
      <c r="G324" s="4">
        <v>350780.39940923755</v>
      </c>
      <c r="H324" s="5">
        <f t="shared" si="2"/>
        <v>0</v>
      </c>
      <c r="I324" t="s">
        <v>77</v>
      </c>
      <c r="J324" t="s">
        <v>135</v>
      </c>
      <c r="K324" s="5">
        <f>40 / 86400</f>
        <v>4.6296296296296298E-4</v>
      </c>
      <c r="L324" s="5">
        <f>4 / 86400</f>
        <v>4.6296296296296294E-5</v>
      </c>
    </row>
    <row r="325" spans="1:12" x14ac:dyDescent="0.25">
      <c r="A325" s="3">
        <v>45714.452430555553</v>
      </c>
      <c r="B325" t="s">
        <v>168</v>
      </c>
      <c r="C325" s="3">
        <v>45714.452893518523</v>
      </c>
      <c r="D325" t="s">
        <v>168</v>
      </c>
      <c r="E325" s="4">
        <v>6.5571980595588678E-2</v>
      </c>
      <c r="F325" s="4">
        <v>350780.40275921579</v>
      </c>
      <c r="G325" s="4">
        <v>350780.46833119635</v>
      </c>
      <c r="H325" s="5">
        <f t="shared" si="2"/>
        <v>0</v>
      </c>
      <c r="I325" t="s">
        <v>157</v>
      </c>
      <c r="J325" t="s">
        <v>135</v>
      </c>
      <c r="K325" s="5">
        <f>40 / 86400</f>
        <v>4.6296296296296298E-4</v>
      </c>
      <c r="L325" s="5">
        <f>20 / 86400</f>
        <v>2.3148148148148149E-4</v>
      </c>
    </row>
    <row r="326" spans="1:12" x14ac:dyDescent="0.25">
      <c r="A326" s="3">
        <v>45714.453125</v>
      </c>
      <c r="B326" t="s">
        <v>168</v>
      </c>
      <c r="C326" s="3">
        <v>45714.454050925924</v>
      </c>
      <c r="D326" t="s">
        <v>301</v>
      </c>
      <c r="E326" s="4">
        <v>5.861854821443558E-2</v>
      </c>
      <c r="F326" s="4">
        <v>350780.47585079144</v>
      </c>
      <c r="G326" s="4">
        <v>350780.53446933965</v>
      </c>
      <c r="H326" s="5">
        <f t="shared" si="2"/>
        <v>0</v>
      </c>
      <c r="I326" t="s">
        <v>147</v>
      </c>
      <c r="J326" t="s">
        <v>102</v>
      </c>
      <c r="K326" s="5">
        <f>80 / 86400</f>
        <v>9.2592592592592596E-4</v>
      </c>
      <c r="L326" s="5">
        <f>20 / 86400</f>
        <v>2.3148148148148149E-4</v>
      </c>
    </row>
    <row r="327" spans="1:12" x14ac:dyDescent="0.25">
      <c r="A327" s="3">
        <v>45714.454282407409</v>
      </c>
      <c r="B327" t="s">
        <v>168</v>
      </c>
      <c r="C327" s="3">
        <v>45714.454513888893</v>
      </c>
      <c r="D327" t="s">
        <v>168</v>
      </c>
      <c r="E327" s="4">
        <v>1.6461011111736298E-2</v>
      </c>
      <c r="F327" s="4">
        <v>350780.55806813412</v>
      </c>
      <c r="G327" s="4">
        <v>350780.57452914526</v>
      </c>
      <c r="H327" s="5">
        <f t="shared" si="2"/>
        <v>0</v>
      </c>
      <c r="I327" t="s">
        <v>77</v>
      </c>
      <c r="J327" t="s">
        <v>102</v>
      </c>
      <c r="K327" s="5">
        <f>20 / 86400</f>
        <v>2.3148148148148149E-4</v>
      </c>
      <c r="L327" s="5">
        <f>40 / 86400</f>
        <v>4.6296296296296298E-4</v>
      </c>
    </row>
    <row r="328" spans="1:12" x14ac:dyDescent="0.25">
      <c r="A328" s="3">
        <v>45714.454976851848</v>
      </c>
      <c r="B328" t="s">
        <v>168</v>
      </c>
      <c r="C328" s="3">
        <v>45714.457291666666</v>
      </c>
      <c r="D328" t="s">
        <v>168</v>
      </c>
      <c r="E328" s="4">
        <v>1.5474752466678618</v>
      </c>
      <c r="F328" s="4">
        <v>350780.59333526494</v>
      </c>
      <c r="G328" s="4">
        <v>350782.1408105116</v>
      </c>
      <c r="H328" s="5">
        <f t="shared" si="2"/>
        <v>0</v>
      </c>
      <c r="I328" t="s">
        <v>117</v>
      </c>
      <c r="J328" t="s">
        <v>136</v>
      </c>
      <c r="K328" s="5">
        <f>200 / 86400</f>
        <v>2.3148148148148147E-3</v>
      </c>
      <c r="L328" s="5">
        <f>20 / 86400</f>
        <v>2.3148148148148149E-4</v>
      </c>
    </row>
    <row r="329" spans="1:12" x14ac:dyDescent="0.25">
      <c r="A329" s="3">
        <v>45714.457523148143</v>
      </c>
      <c r="B329" t="s">
        <v>302</v>
      </c>
      <c r="C329" s="3">
        <v>45714.458449074074</v>
      </c>
      <c r="D329" t="s">
        <v>303</v>
      </c>
      <c r="E329" s="4">
        <v>0.90123883044719699</v>
      </c>
      <c r="F329" s="4">
        <v>350782.21011959173</v>
      </c>
      <c r="G329" s="4">
        <v>350783.11135842215</v>
      </c>
      <c r="H329" s="5">
        <f t="shared" si="2"/>
        <v>0</v>
      </c>
      <c r="I329" t="s">
        <v>304</v>
      </c>
      <c r="J329" t="s">
        <v>174</v>
      </c>
      <c r="K329" s="5">
        <f>80 / 86400</f>
        <v>9.2592592592592596E-4</v>
      </c>
      <c r="L329" s="5">
        <f>20 / 86400</f>
        <v>2.3148148148148149E-4</v>
      </c>
    </row>
    <row r="330" spans="1:12" x14ac:dyDescent="0.25">
      <c r="A330" s="3">
        <v>45714.458680555559</v>
      </c>
      <c r="B330" t="s">
        <v>305</v>
      </c>
      <c r="C330" s="3">
        <v>45714.459837962961</v>
      </c>
      <c r="D330" t="s">
        <v>122</v>
      </c>
      <c r="E330" s="4">
        <v>0.83422990715503698</v>
      </c>
      <c r="F330" s="4">
        <v>350783.1187238014</v>
      </c>
      <c r="G330" s="4">
        <v>350783.95295370853</v>
      </c>
      <c r="H330" s="5">
        <f t="shared" si="2"/>
        <v>0</v>
      </c>
      <c r="I330" t="s">
        <v>185</v>
      </c>
      <c r="J330" t="s">
        <v>197</v>
      </c>
      <c r="K330" s="5">
        <f>100 / 86400</f>
        <v>1.1574074074074073E-3</v>
      </c>
      <c r="L330" s="5">
        <f>40 / 86400</f>
        <v>4.6296296296296298E-4</v>
      </c>
    </row>
    <row r="331" spans="1:12" x14ac:dyDescent="0.25">
      <c r="A331" s="3">
        <v>45714.46030092593</v>
      </c>
      <c r="B331" t="s">
        <v>122</v>
      </c>
      <c r="C331" s="3">
        <v>45714.463310185187</v>
      </c>
      <c r="D331" t="s">
        <v>142</v>
      </c>
      <c r="E331" s="4">
        <v>2.4769777905941011</v>
      </c>
      <c r="F331" s="4">
        <v>350783.97158005153</v>
      </c>
      <c r="G331" s="4">
        <v>350786.44855784212</v>
      </c>
      <c r="H331" s="5">
        <f t="shared" si="2"/>
        <v>0</v>
      </c>
      <c r="I331" t="s">
        <v>56</v>
      </c>
      <c r="J331" t="s">
        <v>203</v>
      </c>
      <c r="K331" s="5">
        <f>260 / 86400</f>
        <v>3.0092592592592593E-3</v>
      </c>
      <c r="L331" s="5">
        <f>9 / 86400</f>
        <v>1.0416666666666667E-4</v>
      </c>
    </row>
    <row r="332" spans="1:12" x14ac:dyDescent="0.25">
      <c r="A332" s="3">
        <v>45714.463414351849</v>
      </c>
      <c r="B332" t="s">
        <v>144</v>
      </c>
      <c r="C332" s="3">
        <v>45714.463645833333</v>
      </c>
      <c r="D332" t="s">
        <v>144</v>
      </c>
      <c r="E332" s="4">
        <v>4.8125606179237369E-3</v>
      </c>
      <c r="F332" s="4">
        <v>350786.45408004749</v>
      </c>
      <c r="G332" s="4">
        <v>350786.45889260812</v>
      </c>
      <c r="H332" s="5">
        <f t="shared" si="2"/>
        <v>0</v>
      </c>
      <c r="I332" t="s">
        <v>77</v>
      </c>
      <c r="J332" t="s">
        <v>78</v>
      </c>
      <c r="K332" s="5">
        <f>20 / 86400</f>
        <v>2.3148148148148149E-4</v>
      </c>
      <c r="L332" s="5">
        <f>22 / 86400</f>
        <v>2.5462962962962961E-4</v>
      </c>
    </row>
    <row r="333" spans="1:12" x14ac:dyDescent="0.25">
      <c r="A333" s="3">
        <v>45714.463900462964</v>
      </c>
      <c r="B333" t="s">
        <v>144</v>
      </c>
      <c r="C333" s="3">
        <v>45714.467141203699</v>
      </c>
      <c r="D333" t="s">
        <v>59</v>
      </c>
      <c r="E333" s="4">
        <v>3.8706805083751679</v>
      </c>
      <c r="F333" s="4">
        <v>350786.46387365932</v>
      </c>
      <c r="G333" s="4">
        <v>350790.3345541677</v>
      </c>
      <c r="H333" s="5">
        <f t="shared" si="2"/>
        <v>0</v>
      </c>
      <c r="I333" t="s">
        <v>85</v>
      </c>
      <c r="J333" t="s">
        <v>213</v>
      </c>
      <c r="K333" s="5">
        <f>280 / 86400</f>
        <v>3.2407407407407406E-3</v>
      </c>
      <c r="L333" s="5">
        <f>20 / 86400</f>
        <v>2.3148148148148149E-4</v>
      </c>
    </row>
    <row r="334" spans="1:12" x14ac:dyDescent="0.25">
      <c r="A334" s="3">
        <v>45714.467372685191</v>
      </c>
      <c r="B334" t="s">
        <v>59</v>
      </c>
      <c r="C334" s="3">
        <v>45714.472233796296</v>
      </c>
      <c r="D334" t="s">
        <v>306</v>
      </c>
      <c r="E334" s="4">
        <v>3.7601697392463684</v>
      </c>
      <c r="F334" s="4">
        <v>350790.40938741376</v>
      </c>
      <c r="G334" s="4">
        <v>350794.16955715301</v>
      </c>
      <c r="H334" s="5">
        <f t="shared" si="2"/>
        <v>0</v>
      </c>
      <c r="I334" t="s">
        <v>185</v>
      </c>
      <c r="J334" t="s">
        <v>155</v>
      </c>
      <c r="K334" s="5">
        <f>420 / 86400</f>
        <v>4.8611111111111112E-3</v>
      </c>
      <c r="L334" s="5">
        <f>20 / 86400</f>
        <v>2.3148148148148149E-4</v>
      </c>
    </row>
    <row r="335" spans="1:12" x14ac:dyDescent="0.25">
      <c r="A335" s="3">
        <v>45714.47246527778</v>
      </c>
      <c r="B335" t="s">
        <v>306</v>
      </c>
      <c r="C335" s="3">
        <v>45714.472928240742</v>
      </c>
      <c r="D335" t="s">
        <v>306</v>
      </c>
      <c r="E335" s="4">
        <v>0.21523545247316361</v>
      </c>
      <c r="F335" s="4">
        <v>350794.36876895011</v>
      </c>
      <c r="G335" s="4">
        <v>350794.58400440257</v>
      </c>
      <c r="H335" s="5">
        <f t="shared" si="2"/>
        <v>0</v>
      </c>
      <c r="I335" t="s">
        <v>178</v>
      </c>
      <c r="J335" t="s">
        <v>25</v>
      </c>
      <c r="K335" s="5">
        <f>40 / 86400</f>
        <v>4.6296296296296298E-4</v>
      </c>
      <c r="L335" s="5">
        <f>2 / 86400</f>
        <v>2.3148148148148147E-5</v>
      </c>
    </row>
    <row r="336" spans="1:12" x14ac:dyDescent="0.25">
      <c r="A336" s="3">
        <v>45714.472951388889</v>
      </c>
      <c r="B336" t="s">
        <v>306</v>
      </c>
      <c r="C336" s="3">
        <v>45714.477500000001</v>
      </c>
      <c r="D336" t="s">
        <v>307</v>
      </c>
      <c r="E336" s="4">
        <v>4.9927945070862769</v>
      </c>
      <c r="F336" s="4">
        <v>350794.58630534488</v>
      </c>
      <c r="G336" s="4">
        <v>350799.57909985195</v>
      </c>
      <c r="H336" s="5">
        <f t="shared" si="2"/>
        <v>0</v>
      </c>
      <c r="I336" t="s">
        <v>24</v>
      </c>
      <c r="J336" t="s">
        <v>220</v>
      </c>
      <c r="K336" s="5">
        <f>393 / 86400</f>
        <v>4.5486111111111109E-3</v>
      </c>
      <c r="L336" s="5">
        <f>20 / 86400</f>
        <v>2.3148148148148149E-4</v>
      </c>
    </row>
    <row r="337" spans="1:12" x14ac:dyDescent="0.25">
      <c r="A337" s="3">
        <v>45714.477731481486</v>
      </c>
      <c r="B337" t="s">
        <v>308</v>
      </c>
      <c r="C337" s="3">
        <v>45714.478425925925</v>
      </c>
      <c r="D337" t="s">
        <v>309</v>
      </c>
      <c r="E337" s="4">
        <v>0.35812771403789523</v>
      </c>
      <c r="F337" s="4">
        <v>350799.61583998468</v>
      </c>
      <c r="G337" s="4">
        <v>350799.97396769869</v>
      </c>
      <c r="H337" s="5">
        <f t="shared" si="2"/>
        <v>0</v>
      </c>
      <c r="I337" t="s">
        <v>136</v>
      </c>
      <c r="J337" t="s">
        <v>151</v>
      </c>
      <c r="K337" s="5">
        <f>60 / 86400</f>
        <v>6.9444444444444447E-4</v>
      </c>
      <c r="L337" s="5">
        <f>20 / 86400</f>
        <v>2.3148148148148149E-4</v>
      </c>
    </row>
    <row r="338" spans="1:12" x14ac:dyDescent="0.25">
      <c r="A338" s="3">
        <v>45714.47865740741</v>
      </c>
      <c r="B338" t="s">
        <v>309</v>
      </c>
      <c r="C338" s="3">
        <v>45714.480173611111</v>
      </c>
      <c r="D338" t="s">
        <v>310</v>
      </c>
      <c r="E338" s="4">
        <v>0.56487283873558047</v>
      </c>
      <c r="F338" s="4">
        <v>350800.02691807784</v>
      </c>
      <c r="G338" s="4">
        <v>350800.59179091657</v>
      </c>
      <c r="H338" s="5">
        <f t="shared" si="2"/>
        <v>0</v>
      </c>
      <c r="I338" t="s">
        <v>101</v>
      </c>
      <c r="J338" t="s">
        <v>28</v>
      </c>
      <c r="K338" s="5">
        <f>131 / 86400</f>
        <v>1.5162037037037036E-3</v>
      </c>
      <c r="L338" s="5">
        <f>20 / 86400</f>
        <v>2.3148148148148149E-4</v>
      </c>
    </row>
    <row r="339" spans="1:12" x14ac:dyDescent="0.25">
      <c r="A339" s="3">
        <v>45714.480405092589</v>
      </c>
      <c r="B339" t="s">
        <v>310</v>
      </c>
      <c r="C339" s="3">
        <v>45714.482210648144</v>
      </c>
      <c r="D339" t="s">
        <v>311</v>
      </c>
      <c r="E339" s="4">
        <v>0.77195971256494522</v>
      </c>
      <c r="F339" s="4">
        <v>350800.59549319354</v>
      </c>
      <c r="G339" s="4">
        <v>350801.36745290615</v>
      </c>
      <c r="H339" s="5">
        <f t="shared" si="2"/>
        <v>0</v>
      </c>
      <c r="I339" t="s">
        <v>138</v>
      </c>
      <c r="J339" t="s">
        <v>20</v>
      </c>
      <c r="K339" s="5">
        <f>156 / 86400</f>
        <v>1.8055555555555555E-3</v>
      </c>
      <c r="L339" s="5">
        <f>20 / 86400</f>
        <v>2.3148148148148149E-4</v>
      </c>
    </row>
    <row r="340" spans="1:12" x14ac:dyDescent="0.25">
      <c r="A340" s="3">
        <v>45714.482442129629</v>
      </c>
      <c r="B340" t="s">
        <v>312</v>
      </c>
      <c r="C340" s="3">
        <v>45714.4846875</v>
      </c>
      <c r="D340" t="s">
        <v>313</v>
      </c>
      <c r="E340" s="4">
        <v>0.80453271782398228</v>
      </c>
      <c r="F340" s="4">
        <v>350801.47962450213</v>
      </c>
      <c r="G340" s="4">
        <v>350802.28415721992</v>
      </c>
      <c r="H340" s="5">
        <f t="shared" si="2"/>
        <v>0</v>
      </c>
      <c r="I340" t="s">
        <v>155</v>
      </c>
      <c r="J340" t="s">
        <v>46</v>
      </c>
      <c r="K340" s="5">
        <f>194 / 86400</f>
        <v>2.2453703703703702E-3</v>
      </c>
      <c r="L340" s="5">
        <f>10 / 86400</f>
        <v>1.1574074074074075E-4</v>
      </c>
    </row>
    <row r="341" spans="1:12" x14ac:dyDescent="0.25">
      <c r="A341" s="3">
        <v>45714.484803240739</v>
      </c>
      <c r="B341" t="s">
        <v>21</v>
      </c>
      <c r="C341" s="3">
        <v>45714.488182870366</v>
      </c>
      <c r="D341" t="s">
        <v>137</v>
      </c>
      <c r="E341" s="4">
        <v>2.1209776145815851</v>
      </c>
      <c r="F341" s="4">
        <v>350802.30330277479</v>
      </c>
      <c r="G341" s="4">
        <v>350804.42428038939</v>
      </c>
      <c r="H341" s="5">
        <f t="shared" si="2"/>
        <v>0</v>
      </c>
      <c r="I341" t="s">
        <v>314</v>
      </c>
      <c r="J341" t="s">
        <v>170</v>
      </c>
      <c r="K341" s="5">
        <f>292 / 86400</f>
        <v>3.3796296296296296E-3</v>
      </c>
      <c r="L341" s="5">
        <f>23 / 86400</f>
        <v>2.6620370370370372E-4</v>
      </c>
    </row>
    <row r="342" spans="1:12" x14ac:dyDescent="0.25">
      <c r="A342" s="3">
        <v>45714.488449074073</v>
      </c>
      <c r="B342" t="s">
        <v>137</v>
      </c>
      <c r="C342" s="3">
        <v>45714.489837962959</v>
      </c>
      <c r="D342" t="s">
        <v>315</v>
      </c>
      <c r="E342" s="4">
        <v>0.82050535994768148</v>
      </c>
      <c r="F342" s="4">
        <v>350804.42881298828</v>
      </c>
      <c r="G342" s="4">
        <v>350805.24931834824</v>
      </c>
      <c r="H342" s="5">
        <f t="shared" si="2"/>
        <v>0</v>
      </c>
      <c r="I342" t="s">
        <v>275</v>
      </c>
      <c r="J342" t="s">
        <v>131</v>
      </c>
      <c r="K342" s="5">
        <f>120 / 86400</f>
        <v>1.3888888888888889E-3</v>
      </c>
      <c r="L342" s="5">
        <f>40 / 86400</f>
        <v>4.6296296296296298E-4</v>
      </c>
    </row>
    <row r="343" spans="1:12" x14ac:dyDescent="0.25">
      <c r="A343" s="3">
        <v>45714.490300925929</v>
      </c>
      <c r="B343" t="s">
        <v>316</v>
      </c>
      <c r="C343" s="3">
        <v>45714.490532407406</v>
      </c>
      <c r="D343" t="s">
        <v>317</v>
      </c>
      <c r="E343" s="4">
        <v>0.17630311387777328</v>
      </c>
      <c r="F343" s="4">
        <v>350805.36550276109</v>
      </c>
      <c r="G343" s="4">
        <v>350805.54180587496</v>
      </c>
      <c r="H343" s="5">
        <f t="shared" si="2"/>
        <v>0</v>
      </c>
      <c r="I343" t="s">
        <v>275</v>
      </c>
      <c r="J343" t="s">
        <v>155</v>
      </c>
      <c r="K343" s="5">
        <f>20 / 86400</f>
        <v>2.3148148148148149E-4</v>
      </c>
      <c r="L343" s="5">
        <f>20 / 86400</f>
        <v>2.3148148148148149E-4</v>
      </c>
    </row>
    <row r="344" spans="1:12" x14ac:dyDescent="0.25">
      <c r="A344" s="3">
        <v>45714.490763888884</v>
      </c>
      <c r="B344" t="s">
        <v>160</v>
      </c>
      <c r="C344" s="3">
        <v>45714.491226851853</v>
      </c>
      <c r="D344" t="s">
        <v>160</v>
      </c>
      <c r="E344" s="4">
        <v>0.34384442055225373</v>
      </c>
      <c r="F344" s="4">
        <v>350805.58726772654</v>
      </c>
      <c r="G344" s="4">
        <v>350805.93111214711</v>
      </c>
      <c r="H344" s="5">
        <f t="shared" si="2"/>
        <v>0</v>
      </c>
      <c r="I344" t="s">
        <v>91</v>
      </c>
      <c r="J344" t="s">
        <v>184</v>
      </c>
      <c r="K344" s="5">
        <f>40 / 86400</f>
        <v>4.6296296296296298E-4</v>
      </c>
      <c r="L344" s="5">
        <f>21 / 86400</f>
        <v>2.4305555555555555E-4</v>
      </c>
    </row>
    <row r="345" spans="1:12" x14ac:dyDescent="0.25">
      <c r="A345" s="3">
        <v>45714.491469907407</v>
      </c>
      <c r="B345" t="s">
        <v>318</v>
      </c>
      <c r="C345" s="3">
        <v>45714.491793981477</v>
      </c>
      <c r="D345" t="s">
        <v>319</v>
      </c>
      <c r="E345" s="4">
        <v>5.7126448333263399E-2</v>
      </c>
      <c r="F345" s="4">
        <v>350806.09802776261</v>
      </c>
      <c r="G345" s="4">
        <v>350806.15515421092</v>
      </c>
      <c r="H345" s="5">
        <f t="shared" si="2"/>
        <v>0</v>
      </c>
      <c r="I345" t="s">
        <v>220</v>
      </c>
      <c r="J345" t="s">
        <v>147</v>
      </c>
      <c r="K345" s="5">
        <f>28 / 86400</f>
        <v>3.2407407407407406E-4</v>
      </c>
      <c r="L345" s="5">
        <f>9 / 86400</f>
        <v>1.0416666666666667E-4</v>
      </c>
    </row>
    <row r="346" spans="1:12" x14ac:dyDescent="0.25">
      <c r="A346" s="3">
        <v>45714.491898148146</v>
      </c>
      <c r="B346" t="s">
        <v>156</v>
      </c>
      <c r="C346" s="3">
        <v>45714.492847222224</v>
      </c>
      <c r="D346" t="s">
        <v>160</v>
      </c>
      <c r="E346" s="4">
        <v>0.53991272914409638</v>
      </c>
      <c r="F346" s="4">
        <v>350806.15911658388</v>
      </c>
      <c r="G346" s="4">
        <v>350806.69902931305</v>
      </c>
      <c r="H346" s="5">
        <f t="shared" si="2"/>
        <v>0</v>
      </c>
      <c r="I346" t="s">
        <v>154</v>
      </c>
      <c r="J346" t="s">
        <v>37</v>
      </c>
      <c r="K346" s="5">
        <f>82 / 86400</f>
        <v>9.4907407407407408E-4</v>
      </c>
      <c r="L346" s="5">
        <f>20 / 86400</f>
        <v>2.3148148148148149E-4</v>
      </c>
    </row>
    <row r="347" spans="1:12" x14ac:dyDescent="0.25">
      <c r="A347" s="3">
        <v>45714.493078703701</v>
      </c>
      <c r="B347" t="s">
        <v>160</v>
      </c>
      <c r="C347" s="3">
        <v>45714.493310185186</v>
      </c>
      <c r="D347" t="s">
        <v>160</v>
      </c>
      <c r="E347" s="4">
        <v>7.7961239814758297E-3</v>
      </c>
      <c r="F347" s="4">
        <v>350806.70072947128</v>
      </c>
      <c r="G347" s="4">
        <v>350806.70852559526</v>
      </c>
      <c r="H347" s="5">
        <f t="shared" si="2"/>
        <v>0</v>
      </c>
      <c r="I347" t="s">
        <v>32</v>
      </c>
      <c r="J347" t="s">
        <v>78</v>
      </c>
      <c r="K347" s="5">
        <f>20 / 86400</f>
        <v>2.3148148148148149E-4</v>
      </c>
      <c r="L347" s="5">
        <f>1560 / 86400</f>
        <v>1.8055555555555554E-2</v>
      </c>
    </row>
    <row r="348" spans="1:12" x14ac:dyDescent="0.25">
      <c r="A348" s="3">
        <v>45714.511365740742</v>
      </c>
      <c r="B348" t="s">
        <v>160</v>
      </c>
      <c r="C348" s="3">
        <v>45714.511597222227</v>
      </c>
      <c r="D348" t="s">
        <v>160</v>
      </c>
      <c r="E348" s="4">
        <v>3.3251560330390928E-3</v>
      </c>
      <c r="F348" s="4">
        <v>350806.79734594416</v>
      </c>
      <c r="G348" s="4">
        <v>350806.80067110021</v>
      </c>
      <c r="H348" s="5">
        <f t="shared" si="2"/>
        <v>0</v>
      </c>
      <c r="I348" t="s">
        <v>78</v>
      </c>
      <c r="J348" t="s">
        <v>78</v>
      </c>
      <c r="K348" s="5">
        <f>20 / 86400</f>
        <v>2.3148148148148149E-4</v>
      </c>
      <c r="L348" s="5">
        <f>537 / 86400</f>
        <v>6.2152777777777779E-3</v>
      </c>
    </row>
    <row r="349" spans="1:12" x14ac:dyDescent="0.25">
      <c r="A349" s="3">
        <v>45714.517812499995</v>
      </c>
      <c r="B349" t="s">
        <v>160</v>
      </c>
      <c r="C349" s="3">
        <v>45714.520381944443</v>
      </c>
      <c r="D349" t="s">
        <v>125</v>
      </c>
      <c r="E349" s="4">
        <v>0.93133837944269182</v>
      </c>
      <c r="F349" s="4">
        <v>350806.83349758544</v>
      </c>
      <c r="G349" s="4">
        <v>350807.76483596483</v>
      </c>
      <c r="H349" s="5">
        <f t="shared" si="2"/>
        <v>0</v>
      </c>
      <c r="I349" t="s">
        <v>155</v>
      </c>
      <c r="J349" t="s">
        <v>46</v>
      </c>
      <c r="K349" s="5">
        <f>222 / 86400</f>
        <v>2.5694444444444445E-3</v>
      </c>
      <c r="L349" s="5">
        <f>498 / 86400</f>
        <v>5.7638888888888887E-3</v>
      </c>
    </row>
    <row r="350" spans="1:12" x14ac:dyDescent="0.25">
      <c r="A350" s="3">
        <v>45714.526145833333</v>
      </c>
      <c r="B350" t="s">
        <v>125</v>
      </c>
      <c r="C350" s="3">
        <v>45714.526365740741</v>
      </c>
      <c r="D350" t="s">
        <v>125</v>
      </c>
      <c r="E350" s="4">
        <v>1.8406811118125914E-2</v>
      </c>
      <c r="F350" s="4">
        <v>350807.78449534893</v>
      </c>
      <c r="G350" s="4">
        <v>350807.80290216004</v>
      </c>
      <c r="H350" s="5">
        <f t="shared" si="2"/>
        <v>0</v>
      </c>
      <c r="I350" t="s">
        <v>147</v>
      </c>
      <c r="J350" t="s">
        <v>102</v>
      </c>
      <c r="K350" s="5">
        <f>19 / 86400</f>
        <v>2.199074074074074E-4</v>
      </c>
      <c r="L350" s="5">
        <f>2343 / 86400</f>
        <v>2.7118055555555555E-2</v>
      </c>
    </row>
    <row r="351" spans="1:12" x14ac:dyDescent="0.25">
      <c r="A351" s="3">
        <v>45714.553483796291</v>
      </c>
      <c r="B351" t="s">
        <v>125</v>
      </c>
      <c r="C351" s="3">
        <v>45714.554803240739</v>
      </c>
      <c r="D351" t="s">
        <v>320</v>
      </c>
      <c r="E351" s="4">
        <v>0.24294784528017044</v>
      </c>
      <c r="F351" s="4">
        <v>350807.82066706114</v>
      </c>
      <c r="G351" s="4">
        <v>350808.06361490645</v>
      </c>
      <c r="H351" s="5">
        <f t="shared" si="2"/>
        <v>0</v>
      </c>
      <c r="I351" t="s">
        <v>132</v>
      </c>
      <c r="J351" t="s">
        <v>157</v>
      </c>
      <c r="K351" s="5">
        <f>114 / 86400</f>
        <v>1.3194444444444445E-3</v>
      </c>
      <c r="L351" s="5">
        <f>16 / 86400</f>
        <v>1.8518518518518518E-4</v>
      </c>
    </row>
    <row r="352" spans="1:12" x14ac:dyDescent="0.25">
      <c r="A352" s="3">
        <v>45714.554988425924</v>
      </c>
      <c r="B352" t="s">
        <v>320</v>
      </c>
      <c r="C352" s="3">
        <v>45714.55604166667</v>
      </c>
      <c r="D352" t="s">
        <v>113</v>
      </c>
      <c r="E352" s="4">
        <v>0.52518611019849781</v>
      </c>
      <c r="F352" s="4">
        <v>350808.06833183358</v>
      </c>
      <c r="G352" s="4">
        <v>350808.59351794381</v>
      </c>
      <c r="H352" s="5">
        <f t="shared" si="2"/>
        <v>0</v>
      </c>
      <c r="I352" t="s">
        <v>69</v>
      </c>
      <c r="J352" t="s">
        <v>151</v>
      </c>
      <c r="K352" s="5">
        <f>91 / 86400</f>
        <v>1.0532407407407407E-3</v>
      </c>
      <c r="L352" s="5">
        <f>868 / 86400</f>
        <v>1.0046296296296296E-2</v>
      </c>
    </row>
    <row r="353" spans="1:12" x14ac:dyDescent="0.25">
      <c r="A353" s="3">
        <v>45714.566087962958</v>
      </c>
      <c r="B353" t="s">
        <v>113</v>
      </c>
      <c r="C353" s="3">
        <v>45714.566990740743</v>
      </c>
      <c r="D353" t="s">
        <v>321</v>
      </c>
      <c r="E353" s="4">
        <v>0.33896495324373244</v>
      </c>
      <c r="F353" s="4">
        <v>350808.60416537977</v>
      </c>
      <c r="G353" s="4">
        <v>350808.94313033303</v>
      </c>
      <c r="H353" s="5">
        <f t="shared" si="2"/>
        <v>0</v>
      </c>
      <c r="I353" t="s">
        <v>203</v>
      </c>
      <c r="J353" t="s">
        <v>28</v>
      </c>
      <c r="K353" s="5">
        <f>78 / 86400</f>
        <v>9.0277777777777774E-4</v>
      </c>
      <c r="L353" s="5">
        <f>20 / 86400</f>
        <v>2.3148148148148149E-4</v>
      </c>
    </row>
    <row r="354" spans="1:12" x14ac:dyDescent="0.25">
      <c r="A354" s="3">
        <v>45714.56722222222</v>
      </c>
      <c r="B354" t="s">
        <v>321</v>
      </c>
      <c r="C354" s="3">
        <v>45714.567743055552</v>
      </c>
      <c r="D354" t="s">
        <v>156</v>
      </c>
      <c r="E354" s="4">
        <v>4.3639172017574307E-2</v>
      </c>
      <c r="F354" s="4">
        <v>350808.94592056598</v>
      </c>
      <c r="G354" s="4">
        <v>350808.98955973797</v>
      </c>
      <c r="H354" s="5">
        <f t="shared" si="2"/>
        <v>0</v>
      </c>
      <c r="I354" t="s">
        <v>98</v>
      </c>
      <c r="J354" t="s">
        <v>102</v>
      </c>
      <c r="K354" s="5">
        <f>45 / 86400</f>
        <v>5.2083333333333333E-4</v>
      </c>
      <c r="L354" s="5">
        <f>168 / 86400</f>
        <v>1.9444444444444444E-3</v>
      </c>
    </row>
    <row r="355" spans="1:12" x14ac:dyDescent="0.25">
      <c r="A355" s="3">
        <v>45714.569687499999</v>
      </c>
      <c r="B355" t="s">
        <v>156</v>
      </c>
      <c r="C355" s="3">
        <v>45714.570486111115</v>
      </c>
      <c r="D355" t="s">
        <v>160</v>
      </c>
      <c r="E355" s="4">
        <v>0.42194727188348768</v>
      </c>
      <c r="F355" s="4">
        <v>350809.01045974821</v>
      </c>
      <c r="G355" s="4">
        <v>350809.43240702007</v>
      </c>
      <c r="H355" s="5">
        <f t="shared" si="2"/>
        <v>0</v>
      </c>
      <c r="I355" t="s">
        <v>182</v>
      </c>
      <c r="J355" t="s">
        <v>140</v>
      </c>
      <c r="K355" s="5">
        <f>69 / 86400</f>
        <v>7.9861111111111116E-4</v>
      </c>
      <c r="L355" s="5">
        <f>19 / 86400</f>
        <v>2.199074074074074E-4</v>
      </c>
    </row>
    <row r="356" spans="1:12" x14ac:dyDescent="0.25">
      <c r="A356" s="3">
        <v>45714.570706018523</v>
      </c>
      <c r="B356" t="s">
        <v>160</v>
      </c>
      <c r="C356" s="3">
        <v>45714.571168981478</v>
      </c>
      <c r="D356" t="s">
        <v>317</v>
      </c>
      <c r="E356" s="4">
        <v>0.17510636025667189</v>
      </c>
      <c r="F356" s="4">
        <v>350809.43553430599</v>
      </c>
      <c r="G356" s="4">
        <v>350809.61064066627</v>
      </c>
      <c r="H356" s="5">
        <f t="shared" si="2"/>
        <v>0</v>
      </c>
      <c r="I356" t="s">
        <v>206</v>
      </c>
      <c r="J356" t="s">
        <v>28</v>
      </c>
      <c r="K356" s="5">
        <f>40 / 86400</f>
        <v>4.6296296296296298E-4</v>
      </c>
      <c r="L356" s="5">
        <f>20 / 86400</f>
        <v>2.3148148148148149E-4</v>
      </c>
    </row>
    <row r="357" spans="1:12" x14ac:dyDescent="0.25">
      <c r="A357" s="3">
        <v>45714.571400462963</v>
      </c>
      <c r="B357" t="s">
        <v>322</v>
      </c>
      <c r="C357" s="3">
        <v>45714.571863425925</v>
      </c>
      <c r="D357" t="s">
        <v>322</v>
      </c>
      <c r="E357" s="4">
        <v>4.8197080731391909E-2</v>
      </c>
      <c r="F357" s="4">
        <v>350809.76498392678</v>
      </c>
      <c r="G357" s="4">
        <v>350809.81318100751</v>
      </c>
      <c r="H357" s="5">
        <f t="shared" si="2"/>
        <v>0</v>
      </c>
      <c r="I357" t="s">
        <v>69</v>
      </c>
      <c r="J357" t="s">
        <v>152</v>
      </c>
      <c r="K357" s="5">
        <f>40 / 86400</f>
        <v>4.6296296296296298E-4</v>
      </c>
      <c r="L357" s="5">
        <f>20 / 86400</f>
        <v>2.3148148148148149E-4</v>
      </c>
    </row>
    <row r="358" spans="1:12" x14ac:dyDescent="0.25">
      <c r="A358" s="3">
        <v>45714.572094907402</v>
      </c>
      <c r="B358" t="s">
        <v>315</v>
      </c>
      <c r="C358" s="3">
        <v>45714.572326388894</v>
      </c>
      <c r="D358" t="s">
        <v>315</v>
      </c>
      <c r="E358" s="4">
        <v>5.2263860404491422E-2</v>
      </c>
      <c r="F358" s="4">
        <v>350809.89108440006</v>
      </c>
      <c r="G358" s="4">
        <v>350809.94334826048</v>
      </c>
      <c r="H358" s="5">
        <f t="shared" si="2"/>
        <v>0</v>
      </c>
      <c r="I358" t="s">
        <v>170</v>
      </c>
      <c r="J358" t="s">
        <v>70</v>
      </c>
      <c r="K358" s="5">
        <f>20 / 86400</f>
        <v>2.3148148148148149E-4</v>
      </c>
      <c r="L358" s="5">
        <f>20 / 86400</f>
        <v>2.3148148148148149E-4</v>
      </c>
    </row>
    <row r="359" spans="1:12" x14ac:dyDescent="0.25">
      <c r="A359" s="3">
        <v>45714.572557870371</v>
      </c>
      <c r="B359" t="s">
        <v>315</v>
      </c>
      <c r="C359" s="3">
        <v>45714.572789351849</v>
      </c>
      <c r="D359" t="s">
        <v>315</v>
      </c>
      <c r="E359" s="4">
        <v>0.1920014499425888</v>
      </c>
      <c r="F359" s="4">
        <v>350810.02556490793</v>
      </c>
      <c r="G359" s="4">
        <v>350810.21756635787</v>
      </c>
      <c r="H359" s="5">
        <f t="shared" si="2"/>
        <v>0</v>
      </c>
      <c r="I359" t="s">
        <v>206</v>
      </c>
      <c r="J359" t="s">
        <v>275</v>
      </c>
      <c r="K359" s="5">
        <f>20 / 86400</f>
        <v>2.3148148148148149E-4</v>
      </c>
      <c r="L359" s="5">
        <f>20 / 86400</f>
        <v>2.3148148148148149E-4</v>
      </c>
    </row>
    <row r="360" spans="1:12" x14ac:dyDescent="0.25">
      <c r="A360" s="3">
        <v>45714.573020833333</v>
      </c>
      <c r="B360" t="s">
        <v>21</v>
      </c>
      <c r="C360" s="3">
        <v>45714.574178240742</v>
      </c>
      <c r="D360" t="s">
        <v>323</v>
      </c>
      <c r="E360" s="4">
        <v>0.6192413334846496</v>
      </c>
      <c r="F360" s="4">
        <v>350810.34151631111</v>
      </c>
      <c r="G360" s="4">
        <v>350810.96075764461</v>
      </c>
      <c r="H360" s="5">
        <f t="shared" si="2"/>
        <v>0</v>
      </c>
      <c r="I360" t="s">
        <v>200</v>
      </c>
      <c r="J360" t="s">
        <v>140</v>
      </c>
      <c r="K360" s="5">
        <f>100 / 86400</f>
        <v>1.1574074074074073E-3</v>
      </c>
      <c r="L360" s="5">
        <f>40 / 86400</f>
        <v>4.6296296296296298E-4</v>
      </c>
    </row>
    <row r="361" spans="1:12" x14ac:dyDescent="0.25">
      <c r="A361" s="3">
        <v>45714.574641203704</v>
      </c>
      <c r="B361" t="s">
        <v>323</v>
      </c>
      <c r="C361" s="3">
        <v>45714.577719907407</v>
      </c>
      <c r="D361" t="s">
        <v>21</v>
      </c>
      <c r="E361" s="4">
        <v>1.780931148648262</v>
      </c>
      <c r="F361" s="4">
        <v>350811.03852482676</v>
      </c>
      <c r="G361" s="4">
        <v>350812.81945597543</v>
      </c>
      <c r="H361" s="5">
        <f t="shared" si="2"/>
        <v>0</v>
      </c>
      <c r="I361" t="s">
        <v>220</v>
      </c>
      <c r="J361" t="s">
        <v>37</v>
      </c>
      <c r="K361" s="5">
        <f>266 / 86400</f>
        <v>3.0787037037037037E-3</v>
      </c>
      <c r="L361" s="5">
        <f>20 / 86400</f>
        <v>2.3148148148148149E-4</v>
      </c>
    </row>
    <row r="362" spans="1:12" x14ac:dyDescent="0.25">
      <c r="A362" s="3">
        <v>45714.577951388885</v>
      </c>
      <c r="B362" t="s">
        <v>21</v>
      </c>
      <c r="C362" s="3">
        <v>45714.579074074078</v>
      </c>
      <c r="D362" t="s">
        <v>324</v>
      </c>
      <c r="E362" s="4">
        <v>0.34601855599880216</v>
      </c>
      <c r="F362" s="4">
        <v>350812.90796686884</v>
      </c>
      <c r="G362" s="4">
        <v>350813.25398542482</v>
      </c>
      <c r="H362" s="5">
        <f t="shared" si="2"/>
        <v>0</v>
      </c>
      <c r="I362" t="s">
        <v>170</v>
      </c>
      <c r="J362" t="s">
        <v>42</v>
      </c>
      <c r="K362" s="5">
        <f>97 / 86400</f>
        <v>1.1226851851851851E-3</v>
      </c>
      <c r="L362" s="5">
        <f>33 / 86400</f>
        <v>3.8194444444444446E-4</v>
      </c>
    </row>
    <row r="363" spans="1:12" x14ac:dyDescent="0.25">
      <c r="A363" s="3">
        <v>45714.579456018517</v>
      </c>
      <c r="B363" t="s">
        <v>324</v>
      </c>
      <c r="C363" s="3">
        <v>45714.582476851851</v>
      </c>
      <c r="D363" t="s">
        <v>310</v>
      </c>
      <c r="E363" s="4">
        <v>1.2274197444319725</v>
      </c>
      <c r="F363" s="4">
        <v>350813.2871480597</v>
      </c>
      <c r="G363" s="4">
        <v>350814.51456780412</v>
      </c>
      <c r="H363" s="5">
        <f t="shared" si="2"/>
        <v>0</v>
      </c>
      <c r="I363" t="s">
        <v>138</v>
      </c>
      <c r="J363" t="s">
        <v>61</v>
      </c>
      <c r="K363" s="5">
        <f>261 / 86400</f>
        <v>3.0208333333333333E-3</v>
      </c>
      <c r="L363" s="5">
        <f>20 / 86400</f>
        <v>2.3148148148148149E-4</v>
      </c>
    </row>
    <row r="364" spans="1:12" x14ac:dyDescent="0.25">
      <c r="A364" s="3">
        <v>45714.582708333328</v>
      </c>
      <c r="B364" t="s">
        <v>310</v>
      </c>
      <c r="C364" s="3">
        <v>45714.58388888889</v>
      </c>
      <c r="D364" t="s">
        <v>309</v>
      </c>
      <c r="E364" s="4">
        <v>0.55342826068401341</v>
      </c>
      <c r="F364" s="4">
        <v>350814.51905375312</v>
      </c>
      <c r="G364" s="4">
        <v>350815.07248201384</v>
      </c>
      <c r="H364" s="5">
        <f t="shared" si="2"/>
        <v>0</v>
      </c>
      <c r="I364" t="s">
        <v>200</v>
      </c>
      <c r="J364" t="s">
        <v>64</v>
      </c>
      <c r="K364" s="5">
        <f>102 / 86400</f>
        <v>1.1805555555555556E-3</v>
      </c>
      <c r="L364" s="5">
        <f>20 / 86400</f>
        <v>2.3148148148148149E-4</v>
      </c>
    </row>
    <row r="365" spans="1:12" x14ac:dyDescent="0.25">
      <c r="A365" s="3">
        <v>45714.584120370375</v>
      </c>
      <c r="B365" t="s">
        <v>309</v>
      </c>
      <c r="C365" s="3">
        <v>45714.584814814814</v>
      </c>
      <c r="D365" t="s">
        <v>307</v>
      </c>
      <c r="E365" s="4">
        <v>0.25305355006456376</v>
      </c>
      <c r="F365" s="4">
        <v>350815.18367274571</v>
      </c>
      <c r="G365" s="4">
        <v>350815.4367262958</v>
      </c>
      <c r="H365" s="5">
        <f t="shared" si="2"/>
        <v>0</v>
      </c>
      <c r="I365" t="s">
        <v>69</v>
      </c>
      <c r="J365" t="s">
        <v>46</v>
      </c>
      <c r="K365" s="5">
        <f>60 / 86400</f>
        <v>6.9444444444444447E-4</v>
      </c>
      <c r="L365" s="5">
        <f>15 / 86400</f>
        <v>1.7361111111111112E-4</v>
      </c>
    </row>
    <row r="366" spans="1:12" x14ac:dyDescent="0.25">
      <c r="A366" s="3">
        <v>45714.584988425922</v>
      </c>
      <c r="B366" t="s">
        <v>307</v>
      </c>
      <c r="C366" s="3">
        <v>45714.586585648147</v>
      </c>
      <c r="D366" t="s">
        <v>325</v>
      </c>
      <c r="E366" s="4">
        <v>1.5723013191819191</v>
      </c>
      <c r="F366" s="4">
        <v>350815.49078187003</v>
      </c>
      <c r="G366" s="4">
        <v>350817.06308318919</v>
      </c>
      <c r="H366" s="5">
        <f t="shared" si="2"/>
        <v>0</v>
      </c>
      <c r="I366" t="s">
        <v>326</v>
      </c>
      <c r="J366" t="s">
        <v>174</v>
      </c>
      <c r="K366" s="5">
        <f>138 / 86400</f>
        <v>1.5972222222222223E-3</v>
      </c>
      <c r="L366" s="5">
        <f>20 / 86400</f>
        <v>2.3148148148148149E-4</v>
      </c>
    </row>
    <row r="367" spans="1:12" x14ac:dyDescent="0.25">
      <c r="A367" s="3">
        <v>45714.586817129632</v>
      </c>
      <c r="B367" t="s">
        <v>325</v>
      </c>
      <c r="C367" s="3">
        <v>45714.589363425926</v>
      </c>
      <c r="D367" t="s">
        <v>327</v>
      </c>
      <c r="E367" s="4">
        <v>2.4464144777059555</v>
      </c>
      <c r="F367" s="4">
        <v>350817.19412676984</v>
      </c>
      <c r="G367" s="4">
        <v>350819.64054124756</v>
      </c>
      <c r="H367" s="5">
        <f t="shared" si="2"/>
        <v>0</v>
      </c>
      <c r="I367" t="s">
        <v>326</v>
      </c>
      <c r="J367" t="s">
        <v>101</v>
      </c>
      <c r="K367" s="5">
        <f>220 / 86400</f>
        <v>2.5462962962962965E-3</v>
      </c>
      <c r="L367" s="5">
        <f>20 / 86400</f>
        <v>2.3148148148148149E-4</v>
      </c>
    </row>
    <row r="368" spans="1:12" x14ac:dyDescent="0.25">
      <c r="A368" s="3">
        <v>45714.589594907404</v>
      </c>
      <c r="B368" t="s">
        <v>327</v>
      </c>
      <c r="C368" s="3">
        <v>45714.594409722224</v>
      </c>
      <c r="D368" t="s">
        <v>175</v>
      </c>
      <c r="E368" s="4">
        <v>3.7735538686513901</v>
      </c>
      <c r="F368" s="4">
        <v>350819.64609909279</v>
      </c>
      <c r="G368" s="4">
        <v>350823.41965296143</v>
      </c>
      <c r="H368" s="5">
        <f t="shared" si="2"/>
        <v>0</v>
      </c>
      <c r="I368" t="s">
        <v>112</v>
      </c>
      <c r="J368" t="s">
        <v>91</v>
      </c>
      <c r="K368" s="5">
        <f>416 / 86400</f>
        <v>4.8148148148148152E-3</v>
      </c>
      <c r="L368" s="5">
        <f>24 / 86400</f>
        <v>2.7777777777777778E-4</v>
      </c>
    </row>
    <row r="369" spans="1:12" x14ac:dyDescent="0.25">
      <c r="A369" s="3">
        <v>45714.594687500001</v>
      </c>
      <c r="B369" t="s">
        <v>175</v>
      </c>
      <c r="C369" s="3">
        <v>45714.595613425925</v>
      </c>
      <c r="D369" t="s">
        <v>306</v>
      </c>
      <c r="E369" s="4">
        <v>0.61815256118774409</v>
      </c>
      <c r="F369" s="4">
        <v>350823.42865331919</v>
      </c>
      <c r="G369" s="4">
        <v>350824.04680588038</v>
      </c>
      <c r="H369" s="5">
        <f t="shared" si="2"/>
        <v>0</v>
      </c>
      <c r="I369" t="s">
        <v>314</v>
      </c>
      <c r="J369" t="s">
        <v>136</v>
      </c>
      <c r="K369" s="5">
        <f>80 / 86400</f>
        <v>9.2592592592592596E-4</v>
      </c>
      <c r="L369" s="5">
        <f>20 / 86400</f>
        <v>2.3148148148148149E-4</v>
      </c>
    </row>
    <row r="370" spans="1:12" x14ac:dyDescent="0.25">
      <c r="A370" s="3">
        <v>45714.59584490741</v>
      </c>
      <c r="B370" t="s">
        <v>306</v>
      </c>
      <c r="C370" s="3">
        <v>45714.596307870372</v>
      </c>
      <c r="D370" t="s">
        <v>59</v>
      </c>
      <c r="E370" s="4">
        <v>0.52031950950622563</v>
      </c>
      <c r="F370" s="4">
        <v>350824.21732045751</v>
      </c>
      <c r="G370" s="4">
        <v>350824.737639967</v>
      </c>
      <c r="H370" s="5">
        <f t="shared" si="2"/>
        <v>0</v>
      </c>
      <c r="I370" t="s">
        <v>183</v>
      </c>
      <c r="J370" t="s">
        <v>180</v>
      </c>
      <c r="K370" s="5">
        <f>40 / 86400</f>
        <v>4.6296296296296298E-4</v>
      </c>
      <c r="L370" s="5">
        <f>20 / 86400</f>
        <v>2.3148148148148149E-4</v>
      </c>
    </row>
    <row r="371" spans="1:12" x14ac:dyDescent="0.25">
      <c r="A371" s="3">
        <v>45714.596539351856</v>
      </c>
      <c r="B371" t="s">
        <v>177</v>
      </c>
      <c r="C371" s="3">
        <v>45714.596770833334</v>
      </c>
      <c r="D371" t="s">
        <v>177</v>
      </c>
      <c r="E371" s="4">
        <v>2.4997649967670441E-2</v>
      </c>
      <c r="F371" s="4">
        <v>350824.74593974766</v>
      </c>
      <c r="G371" s="4">
        <v>350824.77093739767</v>
      </c>
      <c r="H371" s="5">
        <f t="shared" si="2"/>
        <v>0</v>
      </c>
      <c r="I371" t="s">
        <v>77</v>
      </c>
      <c r="J371" t="s">
        <v>152</v>
      </c>
      <c r="K371" s="5">
        <f>20 / 86400</f>
        <v>2.3148148148148149E-4</v>
      </c>
      <c r="L371" s="5">
        <f>20 / 86400</f>
        <v>2.3148148148148149E-4</v>
      </c>
    </row>
    <row r="372" spans="1:12" x14ac:dyDescent="0.25">
      <c r="A372" s="3">
        <v>45714.597002314811</v>
      </c>
      <c r="B372" t="s">
        <v>177</v>
      </c>
      <c r="C372" s="3">
        <v>45714.597696759258</v>
      </c>
      <c r="D372" t="s">
        <v>177</v>
      </c>
      <c r="E372" s="4">
        <v>0.77810587233304973</v>
      </c>
      <c r="F372" s="4">
        <v>350824.91411221604</v>
      </c>
      <c r="G372" s="4">
        <v>350825.69221808837</v>
      </c>
      <c r="H372" s="5">
        <f t="shared" si="2"/>
        <v>0</v>
      </c>
      <c r="I372" t="s">
        <v>326</v>
      </c>
      <c r="J372" t="s">
        <v>180</v>
      </c>
      <c r="K372" s="5">
        <f>60 / 86400</f>
        <v>6.9444444444444447E-4</v>
      </c>
      <c r="L372" s="5">
        <f>40 / 86400</f>
        <v>4.6296296296296298E-4</v>
      </c>
    </row>
    <row r="373" spans="1:12" x14ac:dyDescent="0.25">
      <c r="A373" s="3">
        <v>45714.598159722227</v>
      </c>
      <c r="B373" t="s">
        <v>177</v>
      </c>
      <c r="C373" s="3">
        <v>45714.599780092598</v>
      </c>
      <c r="D373" t="s">
        <v>59</v>
      </c>
      <c r="E373" s="4">
        <v>1.499736477136612</v>
      </c>
      <c r="F373" s="4">
        <v>350825.83401022188</v>
      </c>
      <c r="G373" s="4">
        <v>350827.33374669903</v>
      </c>
      <c r="H373" s="5">
        <f t="shared" si="2"/>
        <v>0</v>
      </c>
      <c r="I373" t="s">
        <v>60</v>
      </c>
      <c r="J373" t="s">
        <v>206</v>
      </c>
      <c r="K373" s="5">
        <f>140 / 86400</f>
        <v>1.6203703703703703E-3</v>
      </c>
      <c r="L373" s="5">
        <f>4 / 86400</f>
        <v>4.6296296296296294E-5</v>
      </c>
    </row>
    <row r="374" spans="1:12" x14ac:dyDescent="0.25">
      <c r="A374" s="3">
        <v>45714.599826388891</v>
      </c>
      <c r="B374" t="s">
        <v>59</v>
      </c>
      <c r="C374" s="3">
        <v>45714.600520833337</v>
      </c>
      <c r="D374" t="s">
        <v>328</v>
      </c>
      <c r="E374" s="4">
        <v>0.57192238128185269</v>
      </c>
      <c r="F374" s="4">
        <v>350827.34047524194</v>
      </c>
      <c r="G374" s="4">
        <v>350827.91239762324</v>
      </c>
      <c r="H374" s="5">
        <f t="shared" si="2"/>
        <v>0</v>
      </c>
      <c r="I374" t="s">
        <v>296</v>
      </c>
      <c r="J374" t="s">
        <v>203</v>
      </c>
      <c r="K374" s="5">
        <f>60 / 86400</f>
        <v>6.9444444444444447E-4</v>
      </c>
      <c r="L374" s="5">
        <f>20 / 86400</f>
        <v>2.3148148148148149E-4</v>
      </c>
    </row>
    <row r="375" spans="1:12" x14ac:dyDescent="0.25">
      <c r="A375" s="3">
        <v>45714.600752314815</v>
      </c>
      <c r="B375" t="s">
        <v>59</v>
      </c>
      <c r="C375" s="3">
        <v>45714.601678240739</v>
      </c>
      <c r="D375" t="s">
        <v>142</v>
      </c>
      <c r="E375" s="4">
        <v>0.58372570264339452</v>
      </c>
      <c r="F375" s="4">
        <v>350827.97585703252</v>
      </c>
      <c r="G375" s="4">
        <v>350828.55958273518</v>
      </c>
      <c r="H375" s="5">
        <f t="shared" si="2"/>
        <v>0</v>
      </c>
      <c r="I375" t="s">
        <v>174</v>
      </c>
      <c r="J375" t="s">
        <v>170</v>
      </c>
      <c r="K375" s="5">
        <f>80 / 86400</f>
        <v>9.2592592592592596E-4</v>
      </c>
      <c r="L375" s="5">
        <f>20 / 86400</f>
        <v>2.3148148148148149E-4</v>
      </c>
    </row>
    <row r="376" spans="1:12" x14ac:dyDescent="0.25">
      <c r="A376" s="3">
        <v>45714.601909722223</v>
      </c>
      <c r="B376" t="s">
        <v>142</v>
      </c>
      <c r="C376" s="3">
        <v>45714.602141203708</v>
      </c>
      <c r="D376" t="s">
        <v>142</v>
      </c>
      <c r="E376" s="4">
        <v>6.4529991149902344E-3</v>
      </c>
      <c r="F376" s="4">
        <v>350828.56919331901</v>
      </c>
      <c r="G376" s="4">
        <v>350828.57564631815</v>
      </c>
      <c r="H376" s="5">
        <f t="shared" si="2"/>
        <v>0</v>
      </c>
      <c r="I376" t="s">
        <v>32</v>
      </c>
      <c r="J376" t="s">
        <v>78</v>
      </c>
      <c r="K376" s="5">
        <f>20 / 86400</f>
        <v>2.3148148148148149E-4</v>
      </c>
      <c r="L376" s="5">
        <f>40 / 86400</f>
        <v>4.6296296296296298E-4</v>
      </c>
    </row>
    <row r="377" spans="1:12" x14ac:dyDescent="0.25">
      <c r="A377" s="3">
        <v>45714.602604166663</v>
      </c>
      <c r="B377" t="s">
        <v>142</v>
      </c>
      <c r="C377" s="3">
        <v>45714.605740740742</v>
      </c>
      <c r="D377" t="s">
        <v>65</v>
      </c>
      <c r="E377" s="4">
        <v>2.041769210398197</v>
      </c>
      <c r="F377" s="4">
        <v>350828.58094771445</v>
      </c>
      <c r="G377" s="4">
        <v>350830.62271692487</v>
      </c>
      <c r="H377" s="5">
        <f t="shared" si="2"/>
        <v>0</v>
      </c>
      <c r="I377" t="s">
        <v>67</v>
      </c>
      <c r="J377" t="s">
        <v>186</v>
      </c>
      <c r="K377" s="5">
        <f>271 / 86400</f>
        <v>3.1365740740740742E-3</v>
      </c>
      <c r="L377" s="5">
        <f>20 / 86400</f>
        <v>2.3148148148148149E-4</v>
      </c>
    </row>
    <row r="378" spans="1:12" x14ac:dyDescent="0.25">
      <c r="A378" s="3">
        <v>45714.605972222227</v>
      </c>
      <c r="B378" t="s">
        <v>65</v>
      </c>
      <c r="C378" s="3">
        <v>45714.606435185182</v>
      </c>
      <c r="D378" t="s">
        <v>65</v>
      </c>
      <c r="E378" s="4">
        <v>0.36297562247514725</v>
      </c>
      <c r="F378" s="4">
        <v>350830.76146483421</v>
      </c>
      <c r="G378" s="4">
        <v>350831.12444045668</v>
      </c>
      <c r="H378" s="5">
        <f t="shared" si="2"/>
        <v>0</v>
      </c>
      <c r="I378" t="s">
        <v>266</v>
      </c>
      <c r="J378" t="s">
        <v>91</v>
      </c>
      <c r="K378" s="5">
        <f>40 / 86400</f>
        <v>4.6296296296296298E-4</v>
      </c>
      <c r="L378" s="5">
        <f>20 / 86400</f>
        <v>2.3148148148148149E-4</v>
      </c>
    </row>
    <row r="379" spans="1:12" x14ac:dyDescent="0.25">
      <c r="A379" s="3">
        <v>45714.606666666667</v>
      </c>
      <c r="B379" t="s">
        <v>65</v>
      </c>
      <c r="C379" s="3">
        <v>45714.607824074075</v>
      </c>
      <c r="D379" t="s">
        <v>329</v>
      </c>
      <c r="E379" s="4">
        <v>0.81562541919946674</v>
      </c>
      <c r="F379" s="4">
        <v>350831.13385886501</v>
      </c>
      <c r="G379" s="4">
        <v>350831.94948428421</v>
      </c>
      <c r="H379" s="5">
        <f t="shared" si="2"/>
        <v>0</v>
      </c>
      <c r="I379" t="s">
        <v>185</v>
      </c>
      <c r="J379" t="s">
        <v>181</v>
      </c>
      <c r="K379" s="5">
        <f>100 / 86400</f>
        <v>1.1574074074074073E-3</v>
      </c>
      <c r="L379" s="5">
        <f>40 / 86400</f>
        <v>4.6296296296296298E-4</v>
      </c>
    </row>
    <row r="380" spans="1:12" x14ac:dyDescent="0.25">
      <c r="A380" s="3">
        <v>45714.608287037037</v>
      </c>
      <c r="B380" t="s">
        <v>65</v>
      </c>
      <c r="C380" s="3">
        <v>45714.608530092592</v>
      </c>
      <c r="D380" t="s">
        <v>65</v>
      </c>
      <c r="E380" s="4">
        <v>1.2965675294399261E-2</v>
      </c>
      <c r="F380" s="4">
        <v>350831.98061652068</v>
      </c>
      <c r="G380" s="4">
        <v>350831.99358219601</v>
      </c>
      <c r="H380" s="5">
        <f t="shared" ref="H380:H443" si="3">0 / 86400</f>
        <v>0</v>
      </c>
      <c r="I380" t="s">
        <v>147</v>
      </c>
      <c r="J380" t="s">
        <v>32</v>
      </c>
      <c r="K380" s="5">
        <f>21 / 86400</f>
        <v>2.4305555555555555E-4</v>
      </c>
      <c r="L380" s="5">
        <f>40 / 86400</f>
        <v>4.6296296296296298E-4</v>
      </c>
    </row>
    <row r="381" spans="1:12" x14ac:dyDescent="0.25">
      <c r="A381" s="3">
        <v>45714.608993055561</v>
      </c>
      <c r="B381" t="s">
        <v>65</v>
      </c>
      <c r="C381" s="3">
        <v>45714.612233796295</v>
      </c>
      <c r="D381" t="s">
        <v>168</v>
      </c>
      <c r="E381" s="4">
        <v>3.4863933962583542</v>
      </c>
      <c r="F381" s="4">
        <v>350832.12664887583</v>
      </c>
      <c r="G381" s="4">
        <v>350835.6130422721</v>
      </c>
      <c r="H381" s="5">
        <f t="shared" si="3"/>
        <v>0</v>
      </c>
      <c r="I381" t="s">
        <v>24</v>
      </c>
      <c r="J381" t="s">
        <v>200</v>
      </c>
      <c r="K381" s="5">
        <f>280 / 86400</f>
        <v>3.2407407407407406E-3</v>
      </c>
      <c r="L381" s="5">
        <f>40 / 86400</f>
        <v>4.6296296296296298E-4</v>
      </c>
    </row>
    <row r="382" spans="1:12" x14ac:dyDescent="0.25">
      <c r="A382" s="3">
        <v>45714.612696759257</v>
      </c>
      <c r="B382" t="s">
        <v>168</v>
      </c>
      <c r="C382" s="3">
        <v>45714.613622685181</v>
      </c>
      <c r="D382" t="s">
        <v>187</v>
      </c>
      <c r="E382" s="4">
        <v>0.71340947651863096</v>
      </c>
      <c r="F382" s="4">
        <v>350835.83690871886</v>
      </c>
      <c r="G382" s="4">
        <v>350836.55031819543</v>
      </c>
      <c r="H382" s="5">
        <f t="shared" si="3"/>
        <v>0</v>
      </c>
      <c r="I382" t="s">
        <v>176</v>
      </c>
      <c r="J382" t="s">
        <v>155</v>
      </c>
      <c r="K382" s="5">
        <f>80 / 86400</f>
        <v>9.2592592592592596E-4</v>
      </c>
      <c r="L382" s="5">
        <f>80 / 86400</f>
        <v>9.2592592592592596E-4</v>
      </c>
    </row>
    <row r="383" spans="1:12" x14ac:dyDescent="0.25">
      <c r="A383" s="3">
        <v>45714.614548611113</v>
      </c>
      <c r="B383" t="s">
        <v>187</v>
      </c>
      <c r="C383" s="3">
        <v>45714.618715277778</v>
      </c>
      <c r="D383" t="s">
        <v>190</v>
      </c>
      <c r="E383" s="4">
        <v>3.8572485215067864</v>
      </c>
      <c r="F383" s="4">
        <v>350836.56308300968</v>
      </c>
      <c r="G383" s="4">
        <v>350840.42033153115</v>
      </c>
      <c r="H383" s="5">
        <f t="shared" si="3"/>
        <v>0</v>
      </c>
      <c r="I383" t="s">
        <v>51</v>
      </c>
      <c r="J383" t="s">
        <v>206</v>
      </c>
      <c r="K383" s="5">
        <f>360 / 86400</f>
        <v>4.1666666666666666E-3</v>
      </c>
      <c r="L383" s="5">
        <f>20 / 86400</f>
        <v>2.3148148148148149E-4</v>
      </c>
    </row>
    <row r="384" spans="1:12" x14ac:dyDescent="0.25">
      <c r="A384" s="3">
        <v>45714.618946759263</v>
      </c>
      <c r="B384" t="s">
        <v>190</v>
      </c>
      <c r="C384" s="3">
        <v>45714.61917824074</v>
      </c>
      <c r="D384" t="s">
        <v>330</v>
      </c>
      <c r="E384" s="4">
        <v>0.12941115731000899</v>
      </c>
      <c r="F384" s="4">
        <v>350840.46971280017</v>
      </c>
      <c r="G384" s="4">
        <v>350840.59912395745</v>
      </c>
      <c r="H384" s="5">
        <f t="shared" si="3"/>
        <v>0</v>
      </c>
      <c r="I384" t="s">
        <v>186</v>
      </c>
      <c r="J384" t="s">
        <v>134</v>
      </c>
      <c r="K384" s="5">
        <f>20 / 86400</f>
        <v>2.3148148148148149E-4</v>
      </c>
      <c r="L384" s="5">
        <f>6 / 86400</f>
        <v>6.9444444444444444E-5</v>
      </c>
    </row>
    <row r="385" spans="1:12" x14ac:dyDescent="0.25">
      <c r="A385" s="3">
        <v>45714.619247685187</v>
      </c>
      <c r="B385" t="s">
        <v>292</v>
      </c>
      <c r="C385" s="3">
        <v>45714.621215277773</v>
      </c>
      <c r="D385" t="s">
        <v>196</v>
      </c>
      <c r="E385" s="4">
        <v>0.53483960354328153</v>
      </c>
      <c r="F385" s="4">
        <v>350840.60298438877</v>
      </c>
      <c r="G385" s="4">
        <v>350841.13782399229</v>
      </c>
      <c r="H385" s="5">
        <f t="shared" si="3"/>
        <v>0</v>
      </c>
      <c r="I385" t="s">
        <v>136</v>
      </c>
      <c r="J385" t="s">
        <v>31</v>
      </c>
      <c r="K385" s="5">
        <f>170 / 86400</f>
        <v>1.9675925925925924E-3</v>
      </c>
      <c r="L385" s="5">
        <f>3 / 86400</f>
        <v>3.4722222222222222E-5</v>
      </c>
    </row>
    <row r="386" spans="1:12" x14ac:dyDescent="0.25">
      <c r="A386" s="3">
        <v>45714.621249999997</v>
      </c>
      <c r="B386" t="s">
        <v>196</v>
      </c>
      <c r="C386" s="3">
        <v>45714.622557870374</v>
      </c>
      <c r="D386" t="s">
        <v>189</v>
      </c>
      <c r="E386" s="4">
        <v>1.0481888630390168</v>
      </c>
      <c r="F386" s="4">
        <v>350841.14079015324</v>
      </c>
      <c r="G386" s="4">
        <v>350842.18897901633</v>
      </c>
      <c r="H386" s="5">
        <f t="shared" si="3"/>
        <v>0</v>
      </c>
      <c r="I386" t="s">
        <v>56</v>
      </c>
      <c r="J386" t="s">
        <v>91</v>
      </c>
      <c r="K386" s="5">
        <f>113 / 86400</f>
        <v>1.3078703703703703E-3</v>
      </c>
      <c r="L386" s="5">
        <f>20 / 86400</f>
        <v>2.3148148148148149E-4</v>
      </c>
    </row>
    <row r="387" spans="1:12" x14ac:dyDescent="0.25">
      <c r="A387" s="3">
        <v>45714.622789351852</v>
      </c>
      <c r="B387" t="s">
        <v>189</v>
      </c>
      <c r="C387" s="3">
        <v>45714.62394675926</v>
      </c>
      <c r="D387" t="s">
        <v>189</v>
      </c>
      <c r="E387" s="4">
        <v>0.16852930939197541</v>
      </c>
      <c r="F387" s="4">
        <v>350842.21925441572</v>
      </c>
      <c r="G387" s="4">
        <v>350842.38778372511</v>
      </c>
      <c r="H387" s="5">
        <f t="shared" si="3"/>
        <v>0</v>
      </c>
      <c r="I387" t="s">
        <v>64</v>
      </c>
      <c r="J387" t="s">
        <v>135</v>
      </c>
      <c r="K387" s="5">
        <f>100 / 86400</f>
        <v>1.1574074074074073E-3</v>
      </c>
      <c r="L387" s="5">
        <f>60 / 86400</f>
        <v>6.9444444444444447E-4</v>
      </c>
    </row>
    <row r="388" spans="1:12" x14ac:dyDescent="0.25">
      <c r="A388" s="3">
        <v>45714.6246412037</v>
      </c>
      <c r="B388" t="s">
        <v>189</v>
      </c>
      <c r="C388" s="3">
        <v>45714.625104166669</v>
      </c>
      <c r="D388" t="s">
        <v>189</v>
      </c>
      <c r="E388" s="4">
        <v>0.22595381337404252</v>
      </c>
      <c r="F388" s="4">
        <v>350842.39490363363</v>
      </c>
      <c r="G388" s="4">
        <v>350842.62085744704</v>
      </c>
      <c r="H388" s="5">
        <f t="shared" si="3"/>
        <v>0</v>
      </c>
      <c r="I388" t="s">
        <v>203</v>
      </c>
      <c r="J388" t="s">
        <v>64</v>
      </c>
      <c r="K388" s="5">
        <f>40 / 86400</f>
        <v>4.6296296296296298E-4</v>
      </c>
      <c r="L388" s="5">
        <f>60 / 86400</f>
        <v>6.9444444444444447E-4</v>
      </c>
    </row>
    <row r="389" spans="1:12" x14ac:dyDescent="0.25">
      <c r="A389" s="3">
        <v>45714.625798611116</v>
      </c>
      <c r="B389" t="s">
        <v>189</v>
      </c>
      <c r="C389" s="3">
        <v>45714.628113425926</v>
      </c>
      <c r="D389" t="s">
        <v>198</v>
      </c>
      <c r="E389" s="4">
        <v>1.5045504642724992</v>
      </c>
      <c r="F389" s="4">
        <v>350842.62534320541</v>
      </c>
      <c r="G389" s="4">
        <v>350844.12989366968</v>
      </c>
      <c r="H389" s="5">
        <f t="shared" si="3"/>
        <v>0</v>
      </c>
      <c r="I389" t="s">
        <v>173</v>
      </c>
      <c r="J389" t="s">
        <v>186</v>
      </c>
      <c r="K389" s="5">
        <f>200 / 86400</f>
        <v>2.3148148148148147E-3</v>
      </c>
      <c r="L389" s="5">
        <f>20 / 86400</f>
        <v>2.3148148148148149E-4</v>
      </c>
    </row>
    <row r="390" spans="1:12" x14ac:dyDescent="0.25">
      <c r="A390" s="3">
        <v>45714.628344907411</v>
      </c>
      <c r="B390" t="s">
        <v>198</v>
      </c>
      <c r="C390" s="3">
        <v>45714.629502314812</v>
      </c>
      <c r="D390" t="s">
        <v>199</v>
      </c>
      <c r="E390" s="4">
        <v>0.67746334749460224</v>
      </c>
      <c r="F390" s="4">
        <v>350844.13308165432</v>
      </c>
      <c r="G390" s="4">
        <v>350844.81054500182</v>
      </c>
      <c r="H390" s="5">
        <f t="shared" si="3"/>
        <v>0</v>
      </c>
      <c r="I390" t="s">
        <v>101</v>
      </c>
      <c r="J390" t="s">
        <v>37</v>
      </c>
      <c r="K390" s="5">
        <f>100 / 86400</f>
        <v>1.1574074074074073E-3</v>
      </c>
      <c r="L390" s="5">
        <f>20 / 86400</f>
        <v>2.3148148148148149E-4</v>
      </c>
    </row>
    <row r="391" spans="1:12" x14ac:dyDescent="0.25">
      <c r="A391" s="3">
        <v>45714.629733796297</v>
      </c>
      <c r="B391" t="s">
        <v>331</v>
      </c>
      <c r="C391" s="3">
        <v>45714.63217592593</v>
      </c>
      <c r="D391" t="s">
        <v>281</v>
      </c>
      <c r="E391" s="4">
        <v>1.5051604552865028</v>
      </c>
      <c r="F391" s="4">
        <v>350844.96466466109</v>
      </c>
      <c r="G391" s="4">
        <v>350846.46982511639</v>
      </c>
      <c r="H391" s="5">
        <f t="shared" si="3"/>
        <v>0</v>
      </c>
      <c r="I391" t="s">
        <v>213</v>
      </c>
      <c r="J391" t="s">
        <v>170</v>
      </c>
      <c r="K391" s="5">
        <f>211 / 86400</f>
        <v>2.4421296296296296E-3</v>
      </c>
      <c r="L391" s="5">
        <f>54 / 86400</f>
        <v>6.2500000000000001E-4</v>
      </c>
    </row>
    <row r="392" spans="1:12" x14ac:dyDescent="0.25">
      <c r="A392" s="3">
        <v>45714.63280092593</v>
      </c>
      <c r="B392" t="s">
        <v>278</v>
      </c>
      <c r="C392" s="3">
        <v>45714.633287037039</v>
      </c>
      <c r="D392" t="s">
        <v>332</v>
      </c>
      <c r="E392" s="4">
        <v>8.2468360900878904E-2</v>
      </c>
      <c r="F392" s="4">
        <v>350846.52638991905</v>
      </c>
      <c r="G392" s="4">
        <v>350846.60885827994</v>
      </c>
      <c r="H392" s="5">
        <f t="shared" si="3"/>
        <v>0</v>
      </c>
      <c r="I392" t="s">
        <v>77</v>
      </c>
      <c r="J392" t="s">
        <v>147</v>
      </c>
      <c r="K392" s="5">
        <f>42 / 86400</f>
        <v>4.861111111111111E-4</v>
      </c>
      <c r="L392" s="5">
        <f>91 / 86400</f>
        <v>1.0532407407407407E-3</v>
      </c>
    </row>
    <row r="393" spans="1:12" x14ac:dyDescent="0.25">
      <c r="A393" s="3">
        <v>45714.634340277778</v>
      </c>
      <c r="B393" t="s">
        <v>332</v>
      </c>
      <c r="C393" s="3">
        <v>45714.635960648149</v>
      </c>
      <c r="D393" t="s">
        <v>205</v>
      </c>
      <c r="E393" s="4">
        <v>0.59314160794019699</v>
      </c>
      <c r="F393" s="4">
        <v>350846.64450036146</v>
      </c>
      <c r="G393" s="4">
        <v>350847.2376419694</v>
      </c>
      <c r="H393" s="5">
        <f t="shared" si="3"/>
        <v>0</v>
      </c>
      <c r="I393" t="s">
        <v>154</v>
      </c>
      <c r="J393" t="s">
        <v>46</v>
      </c>
      <c r="K393" s="5">
        <f>140 / 86400</f>
        <v>1.6203703703703703E-3</v>
      </c>
      <c r="L393" s="5">
        <f>20 / 86400</f>
        <v>2.3148148148148149E-4</v>
      </c>
    </row>
    <row r="394" spans="1:12" x14ac:dyDescent="0.25">
      <c r="A394" s="3">
        <v>45714.636192129634</v>
      </c>
      <c r="B394" t="s">
        <v>333</v>
      </c>
      <c r="C394" s="3">
        <v>45714.63689814815</v>
      </c>
      <c r="D394" t="s">
        <v>334</v>
      </c>
      <c r="E394" s="4">
        <v>0.15411869651079177</v>
      </c>
      <c r="F394" s="4">
        <v>350847.29823826009</v>
      </c>
      <c r="G394" s="4">
        <v>350847.45235695661</v>
      </c>
      <c r="H394" s="5">
        <f t="shared" si="3"/>
        <v>0</v>
      </c>
      <c r="I394" t="s">
        <v>52</v>
      </c>
      <c r="J394" t="s">
        <v>70</v>
      </c>
      <c r="K394" s="5">
        <f>61 / 86400</f>
        <v>7.0601851851851847E-4</v>
      </c>
      <c r="L394" s="5">
        <f>80 / 86400</f>
        <v>9.2592592592592596E-4</v>
      </c>
    </row>
    <row r="395" spans="1:12" x14ac:dyDescent="0.25">
      <c r="A395" s="3">
        <v>45714.637824074074</v>
      </c>
      <c r="B395" t="s">
        <v>333</v>
      </c>
      <c r="C395" s="3">
        <v>45714.638055555552</v>
      </c>
      <c r="D395" t="s">
        <v>333</v>
      </c>
      <c r="E395" s="4">
        <v>1.4624139189720154E-2</v>
      </c>
      <c r="F395" s="4">
        <v>350847.50536316092</v>
      </c>
      <c r="G395" s="4">
        <v>350847.5199873001</v>
      </c>
      <c r="H395" s="5">
        <f t="shared" si="3"/>
        <v>0</v>
      </c>
      <c r="I395" t="s">
        <v>32</v>
      </c>
      <c r="J395" t="s">
        <v>102</v>
      </c>
      <c r="K395" s="5">
        <f>20 / 86400</f>
        <v>2.3148148148148149E-4</v>
      </c>
      <c r="L395" s="5">
        <f>40 / 86400</f>
        <v>4.6296296296296298E-4</v>
      </c>
    </row>
    <row r="396" spans="1:12" x14ac:dyDescent="0.25">
      <c r="A396" s="3">
        <v>45714.638518518521</v>
      </c>
      <c r="B396" t="s">
        <v>335</v>
      </c>
      <c r="C396" s="3">
        <v>45714.639872685184</v>
      </c>
      <c r="D396" t="s">
        <v>336</v>
      </c>
      <c r="E396" s="4">
        <v>0.46687604206800459</v>
      </c>
      <c r="F396" s="4">
        <v>350847.55388236808</v>
      </c>
      <c r="G396" s="4">
        <v>350848.02075841016</v>
      </c>
      <c r="H396" s="5">
        <f t="shared" si="3"/>
        <v>0</v>
      </c>
      <c r="I396" t="s">
        <v>37</v>
      </c>
      <c r="J396" t="s">
        <v>52</v>
      </c>
      <c r="K396" s="5">
        <f>117 / 86400</f>
        <v>1.3541666666666667E-3</v>
      </c>
      <c r="L396" s="5">
        <f>40 / 86400</f>
        <v>4.6296296296296298E-4</v>
      </c>
    </row>
    <row r="397" spans="1:12" x14ac:dyDescent="0.25">
      <c r="A397" s="3">
        <v>45714.640335648146</v>
      </c>
      <c r="B397" t="s">
        <v>336</v>
      </c>
      <c r="C397" s="3">
        <v>45714.640567129631</v>
      </c>
      <c r="D397" t="s">
        <v>336</v>
      </c>
      <c r="E397" s="4">
        <v>2.5391920983791352E-2</v>
      </c>
      <c r="F397" s="4">
        <v>350848.05127332418</v>
      </c>
      <c r="G397" s="4">
        <v>350848.07666524517</v>
      </c>
      <c r="H397" s="5">
        <f t="shared" si="3"/>
        <v>0</v>
      </c>
      <c r="I397" t="s">
        <v>135</v>
      </c>
      <c r="J397" t="s">
        <v>77</v>
      </c>
      <c r="K397" s="5">
        <f>20 / 86400</f>
        <v>2.3148148148148149E-4</v>
      </c>
      <c r="L397" s="5">
        <f>20 / 86400</f>
        <v>2.3148148148148149E-4</v>
      </c>
    </row>
    <row r="398" spans="1:12" x14ac:dyDescent="0.25">
      <c r="A398" s="3">
        <v>45714.640798611115</v>
      </c>
      <c r="B398" t="s">
        <v>336</v>
      </c>
      <c r="C398" s="3">
        <v>45714.641724537039</v>
      </c>
      <c r="D398" t="s">
        <v>280</v>
      </c>
      <c r="E398" s="4">
        <v>0.13234525531530381</v>
      </c>
      <c r="F398" s="4">
        <v>350848.08824745909</v>
      </c>
      <c r="G398" s="4">
        <v>350848.22059271444</v>
      </c>
      <c r="H398" s="5">
        <f t="shared" si="3"/>
        <v>0</v>
      </c>
      <c r="I398" t="s">
        <v>70</v>
      </c>
      <c r="J398" t="s">
        <v>135</v>
      </c>
      <c r="K398" s="5">
        <f>80 / 86400</f>
        <v>9.2592592592592596E-4</v>
      </c>
      <c r="L398" s="5">
        <f>11 / 86400</f>
        <v>1.273148148148148E-4</v>
      </c>
    </row>
    <row r="399" spans="1:12" x14ac:dyDescent="0.25">
      <c r="A399" s="3">
        <v>45714.641851851848</v>
      </c>
      <c r="B399" t="s">
        <v>280</v>
      </c>
      <c r="C399" s="3">
        <v>45714.643472222218</v>
      </c>
      <c r="D399" t="s">
        <v>279</v>
      </c>
      <c r="E399" s="4">
        <v>0.13382548683881759</v>
      </c>
      <c r="F399" s="4">
        <v>350848.25617655995</v>
      </c>
      <c r="G399" s="4">
        <v>350848.39000204677</v>
      </c>
      <c r="H399" s="5">
        <f t="shared" si="3"/>
        <v>0</v>
      </c>
      <c r="I399" t="s">
        <v>147</v>
      </c>
      <c r="J399" t="s">
        <v>102</v>
      </c>
      <c r="K399" s="5">
        <f>140 / 86400</f>
        <v>1.6203703703703703E-3</v>
      </c>
      <c r="L399" s="5">
        <f>420 / 86400</f>
        <v>4.8611111111111112E-3</v>
      </c>
    </row>
    <row r="400" spans="1:12" x14ac:dyDescent="0.25">
      <c r="A400" s="3">
        <v>45714.648333333331</v>
      </c>
      <c r="B400" t="s">
        <v>210</v>
      </c>
      <c r="C400" s="3">
        <v>45714.649328703701</v>
      </c>
      <c r="D400" t="s">
        <v>334</v>
      </c>
      <c r="E400" s="4">
        <v>0.25579831081628801</v>
      </c>
      <c r="F400" s="4">
        <v>350848.4594716818</v>
      </c>
      <c r="G400" s="4">
        <v>350848.71526999259</v>
      </c>
      <c r="H400" s="5">
        <f t="shared" si="3"/>
        <v>0</v>
      </c>
      <c r="I400" t="s">
        <v>155</v>
      </c>
      <c r="J400" t="s">
        <v>31</v>
      </c>
      <c r="K400" s="5">
        <f>86 / 86400</f>
        <v>9.9537037037037042E-4</v>
      </c>
      <c r="L400" s="5">
        <f>60 / 86400</f>
        <v>6.9444444444444447E-4</v>
      </c>
    </row>
    <row r="401" spans="1:12" x14ac:dyDescent="0.25">
      <c r="A401" s="3">
        <v>45714.650023148148</v>
      </c>
      <c r="B401" t="s">
        <v>333</v>
      </c>
      <c r="C401" s="3">
        <v>45714.650254629625</v>
      </c>
      <c r="D401" t="s">
        <v>335</v>
      </c>
      <c r="E401" s="4">
        <v>4.8339981436729433E-3</v>
      </c>
      <c r="F401" s="4">
        <v>350848.74357638828</v>
      </c>
      <c r="G401" s="4">
        <v>350848.74841038644</v>
      </c>
      <c r="H401" s="5">
        <f t="shared" si="3"/>
        <v>0</v>
      </c>
      <c r="I401" t="s">
        <v>102</v>
      </c>
      <c r="J401" t="s">
        <v>78</v>
      </c>
      <c r="K401" s="5">
        <f>20 / 86400</f>
        <v>2.3148148148148149E-4</v>
      </c>
      <c r="L401" s="5">
        <f>12 / 86400</f>
        <v>1.3888888888888889E-4</v>
      </c>
    </row>
    <row r="402" spans="1:12" x14ac:dyDescent="0.25">
      <c r="A402" s="3">
        <v>45714.650393518517</v>
      </c>
      <c r="B402" t="s">
        <v>335</v>
      </c>
      <c r="C402" s="3">
        <v>45714.650856481487</v>
      </c>
      <c r="D402" t="s">
        <v>335</v>
      </c>
      <c r="E402" s="4">
        <v>5.466322296857834E-2</v>
      </c>
      <c r="F402" s="4">
        <v>350848.75335242233</v>
      </c>
      <c r="G402" s="4">
        <v>350848.80801564525</v>
      </c>
      <c r="H402" s="5">
        <f t="shared" si="3"/>
        <v>0</v>
      </c>
      <c r="I402" t="s">
        <v>147</v>
      </c>
      <c r="J402" t="s">
        <v>77</v>
      </c>
      <c r="K402" s="5">
        <f>40 / 86400</f>
        <v>4.6296296296296298E-4</v>
      </c>
      <c r="L402" s="5">
        <f>49 / 86400</f>
        <v>5.6712962962962967E-4</v>
      </c>
    </row>
    <row r="403" spans="1:12" x14ac:dyDescent="0.25">
      <c r="A403" s="3">
        <v>45714.651423611111</v>
      </c>
      <c r="B403" t="s">
        <v>335</v>
      </c>
      <c r="C403" s="3">
        <v>45714.652812500004</v>
      </c>
      <c r="D403" t="s">
        <v>205</v>
      </c>
      <c r="E403" s="4">
        <v>0.44033464896678925</v>
      </c>
      <c r="F403" s="4">
        <v>350848.8357440054</v>
      </c>
      <c r="G403" s="4">
        <v>350849.27607865434</v>
      </c>
      <c r="H403" s="5">
        <f t="shared" si="3"/>
        <v>0</v>
      </c>
      <c r="I403" t="s">
        <v>181</v>
      </c>
      <c r="J403" t="s">
        <v>42</v>
      </c>
      <c r="K403" s="5">
        <f>120 / 86400</f>
        <v>1.3888888888888889E-3</v>
      </c>
      <c r="L403" s="5">
        <f>80 / 86400</f>
        <v>9.2592592592592596E-4</v>
      </c>
    </row>
    <row r="404" spans="1:12" x14ac:dyDescent="0.25">
      <c r="A404" s="3">
        <v>45714.653738425928</v>
      </c>
      <c r="B404" t="s">
        <v>337</v>
      </c>
      <c r="C404" s="3">
        <v>45714.654432870375</v>
      </c>
      <c r="D404" t="s">
        <v>337</v>
      </c>
      <c r="E404" s="4">
        <v>3.3645992457866668E-2</v>
      </c>
      <c r="F404" s="4">
        <v>350849.32982052758</v>
      </c>
      <c r="G404" s="4">
        <v>350849.36346652004</v>
      </c>
      <c r="H404" s="5">
        <f t="shared" si="3"/>
        <v>0</v>
      </c>
      <c r="I404" t="s">
        <v>32</v>
      </c>
      <c r="J404" t="s">
        <v>32</v>
      </c>
      <c r="K404" s="5">
        <f>60 / 86400</f>
        <v>6.9444444444444447E-4</v>
      </c>
      <c r="L404" s="5">
        <f>60 / 86400</f>
        <v>6.9444444444444447E-4</v>
      </c>
    </row>
    <row r="405" spans="1:12" x14ac:dyDescent="0.25">
      <c r="A405" s="3">
        <v>45714.655127314814</v>
      </c>
      <c r="B405" t="s">
        <v>281</v>
      </c>
      <c r="C405" s="3">
        <v>45714.655358796299</v>
      </c>
      <c r="D405" t="s">
        <v>281</v>
      </c>
      <c r="E405" s="4">
        <v>2.6727356016635895E-2</v>
      </c>
      <c r="F405" s="4">
        <v>350849.41082460154</v>
      </c>
      <c r="G405" s="4">
        <v>350849.43755195756</v>
      </c>
      <c r="H405" s="5">
        <f t="shared" si="3"/>
        <v>0</v>
      </c>
      <c r="I405" t="s">
        <v>102</v>
      </c>
      <c r="J405" t="s">
        <v>77</v>
      </c>
      <c r="K405" s="5">
        <f>20 / 86400</f>
        <v>2.3148148148148149E-4</v>
      </c>
      <c r="L405" s="5">
        <f>20 / 86400</f>
        <v>2.3148148148148149E-4</v>
      </c>
    </row>
    <row r="406" spans="1:12" x14ac:dyDescent="0.25">
      <c r="A406" s="3">
        <v>45714.655590277776</v>
      </c>
      <c r="B406" t="s">
        <v>282</v>
      </c>
      <c r="C406" s="3">
        <v>45714.656747685185</v>
      </c>
      <c r="D406" t="s">
        <v>281</v>
      </c>
      <c r="E406" s="4">
        <v>0.42639724665880202</v>
      </c>
      <c r="F406" s="4">
        <v>350849.46940264187</v>
      </c>
      <c r="G406" s="4">
        <v>350849.89579988853</v>
      </c>
      <c r="H406" s="5">
        <f t="shared" si="3"/>
        <v>0</v>
      </c>
      <c r="I406" t="s">
        <v>91</v>
      </c>
      <c r="J406" t="s">
        <v>46</v>
      </c>
      <c r="K406" s="5">
        <f>100 / 86400</f>
        <v>1.1574074074074073E-3</v>
      </c>
      <c r="L406" s="5">
        <f>20 / 86400</f>
        <v>2.3148148148148149E-4</v>
      </c>
    </row>
    <row r="407" spans="1:12" x14ac:dyDescent="0.25">
      <c r="A407" s="3">
        <v>45714.65697916667</v>
      </c>
      <c r="B407" t="s">
        <v>281</v>
      </c>
      <c r="C407" s="3">
        <v>45714.65929398148</v>
      </c>
      <c r="D407" t="s">
        <v>283</v>
      </c>
      <c r="E407" s="4">
        <v>1.504975324332714</v>
      </c>
      <c r="F407" s="4">
        <v>350849.91285832174</v>
      </c>
      <c r="G407" s="4">
        <v>350851.41783364606</v>
      </c>
      <c r="H407" s="5">
        <f t="shared" si="3"/>
        <v>0</v>
      </c>
      <c r="I407" t="s">
        <v>178</v>
      </c>
      <c r="J407" t="s">
        <v>186</v>
      </c>
      <c r="K407" s="5">
        <f>200 / 86400</f>
        <v>2.3148148148148147E-3</v>
      </c>
      <c r="L407" s="5">
        <f>40 / 86400</f>
        <v>4.6296296296296298E-4</v>
      </c>
    </row>
    <row r="408" spans="1:12" x14ac:dyDescent="0.25">
      <c r="A408" s="3">
        <v>45714.659756944442</v>
      </c>
      <c r="B408" t="s">
        <v>283</v>
      </c>
      <c r="C408" s="3">
        <v>45714.661608796298</v>
      </c>
      <c r="D408" t="s">
        <v>189</v>
      </c>
      <c r="E408" s="4">
        <v>1.1972750041484832</v>
      </c>
      <c r="F408" s="4">
        <v>350851.59729138919</v>
      </c>
      <c r="G408" s="4">
        <v>350852.79456639331</v>
      </c>
      <c r="H408" s="5">
        <f t="shared" si="3"/>
        <v>0</v>
      </c>
      <c r="I408" t="s">
        <v>180</v>
      </c>
      <c r="J408" t="s">
        <v>186</v>
      </c>
      <c r="K408" s="5">
        <f>160 / 86400</f>
        <v>1.8518518518518519E-3</v>
      </c>
      <c r="L408" s="5">
        <f>20 / 86400</f>
        <v>2.3148148148148149E-4</v>
      </c>
    </row>
    <row r="409" spans="1:12" x14ac:dyDescent="0.25">
      <c r="A409" s="3">
        <v>45714.661840277782</v>
      </c>
      <c r="B409" t="s">
        <v>189</v>
      </c>
      <c r="C409" s="3">
        <v>45714.662303240737</v>
      </c>
      <c r="D409" t="s">
        <v>189</v>
      </c>
      <c r="E409" s="4">
        <v>0.17305689072608949</v>
      </c>
      <c r="F409" s="4">
        <v>350852.80793263036</v>
      </c>
      <c r="G409" s="4">
        <v>350852.98098952108</v>
      </c>
      <c r="H409" s="5">
        <f t="shared" si="3"/>
        <v>0</v>
      </c>
      <c r="I409" t="s">
        <v>136</v>
      </c>
      <c r="J409" t="s">
        <v>28</v>
      </c>
      <c r="K409" s="5">
        <f>40 / 86400</f>
        <v>4.6296296296296298E-4</v>
      </c>
      <c r="L409" s="5">
        <f>20 / 86400</f>
        <v>2.3148148148148149E-4</v>
      </c>
    </row>
    <row r="410" spans="1:12" x14ac:dyDescent="0.25">
      <c r="A410" s="3">
        <v>45714.662534722222</v>
      </c>
      <c r="B410" t="s">
        <v>189</v>
      </c>
      <c r="C410" s="3">
        <v>45714.663460648153</v>
      </c>
      <c r="D410" t="s">
        <v>196</v>
      </c>
      <c r="E410" s="4">
        <v>0.56050832700729369</v>
      </c>
      <c r="F410" s="4">
        <v>350853.06863045105</v>
      </c>
      <c r="G410" s="4">
        <v>350853.62913877802</v>
      </c>
      <c r="H410" s="5">
        <f t="shared" si="3"/>
        <v>0</v>
      </c>
      <c r="I410" t="s">
        <v>101</v>
      </c>
      <c r="J410" t="s">
        <v>131</v>
      </c>
      <c r="K410" s="5">
        <f>80 / 86400</f>
        <v>9.2592592592592596E-4</v>
      </c>
      <c r="L410" s="5">
        <f>20 / 86400</f>
        <v>2.3148148148148149E-4</v>
      </c>
    </row>
    <row r="411" spans="1:12" x14ac:dyDescent="0.25">
      <c r="A411" s="3">
        <v>45714.66369212963</v>
      </c>
      <c r="B411" t="s">
        <v>189</v>
      </c>
      <c r="C411" s="3">
        <v>45714.66611111111</v>
      </c>
      <c r="D411" t="s">
        <v>196</v>
      </c>
      <c r="E411" s="4">
        <v>1.4760620539784433</v>
      </c>
      <c r="F411" s="4">
        <v>350853.70485464251</v>
      </c>
      <c r="G411" s="4">
        <v>350855.1809166965</v>
      </c>
      <c r="H411" s="5">
        <f t="shared" si="3"/>
        <v>0</v>
      </c>
      <c r="I411" t="s">
        <v>112</v>
      </c>
      <c r="J411" t="s">
        <v>131</v>
      </c>
      <c r="K411" s="5">
        <f>209 / 86400</f>
        <v>2.4189814814814816E-3</v>
      </c>
      <c r="L411" s="5">
        <f>51 / 86400</f>
        <v>5.9027777777777778E-4</v>
      </c>
    </row>
    <row r="412" spans="1:12" x14ac:dyDescent="0.25">
      <c r="A412" s="3">
        <v>45714.666701388887</v>
      </c>
      <c r="B412" t="s">
        <v>196</v>
      </c>
      <c r="C412" s="3">
        <v>45714.667164351849</v>
      </c>
      <c r="D412" t="s">
        <v>338</v>
      </c>
      <c r="E412" s="4">
        <v>3.1624049901962277E-2</v>
      </c>
      <c r="F412" s="4">
        <v>350855.23173248576</v>
      </c>
      <c r="G412" s="4">
        <v>350855.2633565357</v>
      </c>
      <c r="H412" s="5">
        <f t="shared" si="3"/>
        <v>0</v>
      </c>
      <c r="I412" t="s">
        <v>147</v>
      </c>
      <c r="J412" t="s">
        <v>102</v>
      </c>
      <c r="K412" s="5">
        <f>40 / 86400</f>
        <v>4.6296296296296298E-4</v>
      </c>
      <c r="L412" s="5">
        <f>40 / 86400</f>
        <v>4.6296296296296298E-4</v>
      </c>
    </row>
    <row r="413" spans="1:12" x14ac:dyDescent="0.25">
      <c r="A413" s="3">
        <v>45714.667627314819</v>
      </c>
      <c r="B413" t="s">
        <v>339</v>
      </c>
      <c r="C413" s="3">
        <v>45714.667858796296</v>
      </c>
      <c r="D413" t="s">
        <v>338</v>
      </c>
      <c r="E413" s="4">
        <v>1.3406122744083404E-2</v>
      </c>
      <c r="F413" s="4">
        <v>350855.31503726414</v>
      </c>
      <c r="G413" s="4">
        <v>350855.32844338694</v>
      </c>
      <c r="H413" s="5">
        <f t="shared" si="3"/>
        <v>0</v>
      </c>
      <c r="I413" t="s">
        <v>78</v>
      </c>
      <c r="J413" t="s">
        <v>32</v>
      </c>
      <c r="K413" s="5">
        <f>20 / 86400</f>
        <v>2.3148148148148149E-4</v>
      </c>
      <c r="L413" s="5">
        <f>4 / 86400</f>
        <v>4.6296296296296294E-5</v>
      </c>
    </row>
    <row r="414" spans="1:12" x14ac:dyDescent="0.25">
      <c r="A414" s="3">
        <v>45714.667905092589</v>
      </c>
      <c r="B414" t="s">
        <v>338</v>
      </c>
      <c r="C414" s="3">
        <v>45714.668136574073</v>
      </c>
      <c r="D414" t="s">
        <v>290</v>
      </c>
      <c r="E414" s="4">
        <v>0.11754831832647324</v>
      </c>
      <c r="F414" s="4">
        <v>350855.335080738</v>
      </c>
      <c r="G414" s="4">
        <v>350855.45262905635</v>
      </c>
      <c r="H414" s="5">
        <f t="shared" si="3"/>
        <v>0</v>
      </c>
      <c r="I414" t="s">
        <v>77</v>
      </c>
      <c r="J414" t="s">
        <v>151</v>
      </c>
      <c r="K414" s="5">
        <f>20 / 86400</f>
        <v>2.3148148148148149E-4</v>
      </c>
      <c r="L414" s="5">
        <f>20 / 86400</f>
        <v>2.3148148148148149E-4</v>
      </c>
    </row>
    <row r="415" spans="1:12" x14ac:dyDescent="0.25">
      <c r="A415" s="3">
        <v>45714.668368055558</v>
      </c>
      <c r="B415" t="s">
        <v>290</v>
      </c>
      <c r="C415" s="3">
        <v>45714.669062500005</v>
      </c>
      <c r="D415" t="s">
        <v>338</v>
      </c>
      <c r="E415" s="4">
        <v>0.1793106805086136</v>
      </c>
      <c r="F415" s="4">
        <v>350855.51723681687</v>
      </c>
      <c r="G415" s="4">
        <v>350855.69654749741</v>
      </c>
      <c r="H415" s="5">
        <f t="shared" si="3"/>
        <v>0</v>
      </c>
      <c r="I415" t="s">
        <v>20</v>
      </c>
      <c r="J415" t="s">
        <v>31</v>
      </c>
      <c r="K415" s="5">
        <f>60 / 86400</f>
        <v>6.9444444444444447E-4</v>
      </c>
      <c r="L415" s="5">
        <f>20 / 86400</f>
        <v>2.3148148148148149E-4</v>
      </c>
    </row>
    <row r="416" spans="1:12" x14ac:dyDescent="0.25">
      <c r="A416" s="3">
        <v>45714.669293981482</v>
      </c>
      <c r="B416" t="s">
        <v>340</v>
      </c>
      <c r="C416" s="3">
        <v>45714.669756944444</v>
      </c>
      <c r="D416" t="s">
        <v>330</v>
      </c>
      <c r="E416" s="4">
        <v>0.1115206925868988</v>
      </c>
      <c r="F416" s="4">
        <v>350855.74530420505</v>
      </c>
      <c r="G416" s="4">
        <v>350855.85682489764</v>
      </c>
      <c r="H416" s="5">
        <f t="shared" si="3"/>
        <v>0</v>
      </c>
      <c r="I416" t="s">
        <v>140</v>
      </c>
      <c r="J416" t="s">
        <v>132</v>
      </c>
      <c r="K416" s="5">
        <f>40 / 86400</f>
        <v>4.6296296296296298E-4</v>
      </c>
      <c r="L416" s="5">
        <f>40 / 86400</f>
        <v>4.6296296296296298E-4</v>
      </c>
    </row>
    <row r="417" spans="1:12" x14ac:dyDescent="0.25">
      <c r="A417" s="3">
        <v>45714.670219907406</v>
      </c>
      <c r="B417" t="s">
        <v>190</v>
      </c>
      <c r="C417" s="3">
        <v>45714.67114583333</v>
      </c>
      <c r="D417" t="s">
        <v>341</v>
      </c>
      <c r="E417" s="4">
        <v>0.21144487947225571</v>
      </c>
      <c r="F417" s="4">
        <v>350855.99751576979</v>
      </c>
      <c r="G417" s="4">
        <v>350856.20896064927</v>
      </c>
      <c r="H417" s="5">
        <f t="shared" si="3"/>
        <v>0</v>
      </c>
      <c r="I417" t="s">
        <v>138</v>
      </c>
      <c r="J417" t="s">
        <v>132</v>
      </c>
      <c r="K417" s="5">
        <f>80 / 86400</f>
        <v>9.2592592592592596E-4</v>
      </c>
      <c r="L417" s="5">
        <f>5 / 86400</f>
        <v>5.7870370370370373E-5</v>
      </c>
    </row>
    <row r="418" spans="1:12" x14ac:dyDescent="0.25">
      <c r="A418" s="3">
        <v>45714.671203703707</v>
      </c>
      <c r="B418" t="s">
        <v>341</v>
      </c>
      <c r="C418" s="3">
        <v>45714.672361111108</v>
      </c>
      <c r="D418" t="s">
        <v>189</v>
      </c>
      <c r="E418" s="4">
        <v>0.18546906208992003</v>
      </c>
      <c r="F418" s="4">
        <v>350856.21449735976</v>
      </c>
      <c r="G418" s="4">
        <v>350856.39996642183</v>
      </c>
      <c r="H418" s="5">
        <f t="shared" si="3"/>
        <v>0</v>
      </c>
      <c r="I418" t="s">
        <v>25</v>
      </c>
      <c r="J418" t="s">
        <v>147</v>
      </c>
      <c r="K418" s="5">
        <f>100 / 86400</f>
        <v>1.1574074074074073E-3</v>
      </c>
      <c r="L418" s="5">
        <f>61 / 86400</f>
        <v>7.0601851851851847E-4</v>
      </c>
    </row>
    <row r="419" spans="1:12" x14ac:dyDescent="0.25">
      <c r="A419" s="3">
        <v>45714.673067129625</v>
      </c>
      <c r="B419" t="s">
        <v>342</v>
      </c>
      <c r="C419" s="3">
        <v>45714.673530092594</v>
      </c>
      <c r="D419" t="s">
        <v>338</v>
      </c>
      <c r="E419" s="4">
        <v>8.683487623929978E-2</v>
      </c>
      <c r="F419" s="4">
        <v>350856.44703610014</v>
      </c>
      <c r="G419" s="4">
        <v>350856.53387097636</v>
      </c>
      <c r="H419" s="5">
        <f t="shared" si="3"/>
        <v>0</v>
      </c>
      <c r="I419" t="s">
        <v>31</v>
      </c>
      <c r="J419" t="s">
        <v>157</v>
      </c>
      <c r="K419" s="5">
        <f>40 / 86400</f>
        <v>4.6296296296296298E-4</v>
      </c>
      <c r="L419" s="5">
        <f>39 / 86400</f>
        <v>4.5138888888888887E-4</v>
      </c>
    </row>
    <row r="420" spans="1:12" x14ac:dyDescent="0.25">
      <c r="A420" s="3">
        <v>45714.673981481479</v>
      </c>
      <c r="B420" t="s">
        <v>343</v>
      </c>
      <c r="C420" s="3">
        <v>45714.675370370373</v>
      </c>
      <c r="D420" t="s">
        <v>92</v>
      </c>
      <c r="E420" s="4">
        <v>0.70338638865947722</v>
      </c>
      <c r="F420" s="4">
        <v>350856.54576677014</v>
      </c>
      <c r="G420" s="4">
        <v>350857.2491531588</v>
      </c>
      <c r="H420" s="5">
        <f t="shared" si="3"/>
        <v>0</v>
      </c>
      <c r="I420" t="s">
        <v>182</v>
      </c>
      <c r="J420" t="s">
        <v>151</v>
      </c>
      <c r="K420" s="5">
        <f>120 / 86400</f>
        <v>1.3888888888888889E-3</v>
      </c>
      <c r="L420" s="5">
        <f>20 / 86400</f>
        <v>2.3148148148148149E-4</v>
      </c>
    </row>
    <row r="421" spans="1:12" x14ac:dyDescent="0.25">
      <c r="A421" s="3">
        <v>45714.67560185185</v>
      </c>
      <c r="B421" t="s">
        <v>92</v>
      </c>
      <c r="C421" s="3">
        <v>45714.676990740743</v>
      </c>
      <c r="D421" t="s">
        <v>92</v>
      </c>
      <c r="E421" s="4">
        <v>0.78497149014472967</v>
      </c>
      <c r="F421" s="4">
        <v>350857.2753718241</v>
      </c>
      <c r="G421" s="4">
        <v>350858.06034331425</v>
      </c>
      <c r="H421" s="5">
        <f t="shared" si="3"/>
        <v>0</v>
      </c>
      <c r="I421" t="s">
        <v>220</v>
      </c>
      <c r="J421" t="s">
        <v>37</v>
      </c>
      <c r="K421" s="5">
        <f>120 / 86400</f>
        <v>1.3888888888888889E-3</v>
      </c>
      <c r="L421" s="5">
        <f>14 / 86400</f>
        <v>1.6203703703703703E-4</v>
      </c>
    </row>
    <row r="422" spans="1:12" x14ac:dyDescent="0.25">
      <c r="A422" s="3">
        <v>45714.677152777775</v>
      </c>
      <c r="B422" t="s">
        <v>92</v>
      </c>
      <c r="C422" s="3">
        <v>45714.677847222221</v>
      </c>
      <c r="D422" t="s">
        <v>92</v>
      </c>
      <c r="E422" s="4">
        <v>0.37581690269708634</v>
      </c>
      <c r="F422" s="4">
        <v>350858.06885040854</v>
      </c>
      <c r="G422" s="4">
        <v>350858.44466731127</v>
      </c>
      <c r="H422" s="5">
        <f t="shared" si="3"/>
        <v>0</v>
      </c>
      <c r="I422" t="s">
        <v>220</v>
      </c>
      <c r="J422" t="s">
        <v>134</v>
      </c>
      <c r="K422" s="5">
        <f>60 / 86400</f>
        <v>6.9444444444444447E-4</v>
      </c>
      <c r="L422" s="5">
        <f>3 / 86400</f>
        <v>3.4722222222222222E-5</v>
      </c>
    </row>
    <row r="423" spans="1:12" x14ac:dyDescent="0.25">
      <c r="A423" s="3">
        <v>45714.677881944444</v>
      </c>
      <c r="B423" t="s">
        <v>92</v>
      </c>
      <c r="C423" s="3">
        <v>45714.680428240739</v>
      </c>
      <c r="D423" t="s">
        <v>168</v>
      </c>
      <c r="E423" s="4">
        <v>1.3799850398898124</v>
      </c>
      <c r="F423" s="4">
        <v>350858.44700649456</v>
      </c>
      <c r="G423" s="4">
        <v>350859.82699153444</v>
      </c>
      <c r="H423" s="5">
        <f t="shared" si="3"/>
        <v>0</v>
      </c>
      <c r="I423" t="s">
        <v>299</v>
      </c>
      <c r="J423" t="s">
        <v>134</v>
      </c>
      <c r="K423" s="5">
        <f>220 / 86400</f>
        <v>2.5462962962962965E-3</v>
      </c>
      <c r="L423" s="5">
        <f>29 / 86400</f>
        <v>3.3564814814814812E-4</v>
      </c>
    </row>
    <row r="424" spans="1:12" x14ac:dyDescent="0.25">
      <c r="A424" s="3">
        <v>45714.680763888886</v>
      </c>
      <c r="B424" t="s">
        <v>168</v>
      </c>
      <c r="C424" s="3">
        <v>45714.683310185181</v>
      </c>
      <c r="D424" t="s">
        <v>168</v>
      </c>
      <c r="E424" s="4">
        <v>2.3619108397960664</v>
      </c>
      <c r="F424" s="4">
        <v>350859.83157817466</v>
      </c>
      <c r="G424" s="4">
        <v>350862.19348901446</v>
      </c>
      <c r="H424" s="5">
        <f t="shared" si="3"/>
        <v>0</v>
      </c>
      <c r="I424" t="s">
        <v>150</v>
      </c>
      <c r="J424" t="s">
        <v>206</v>
      </c>
      <c r="K424" s="5">
        <f>220 / 86400</f>
        <v>2.5462962962962965E-3</v>
      </c>
      <c r="L424" s="5">
        <f>20 / 86400</f>
        <v>2.3148148148148149E-4</v>
      </c>
    </row>
    <row r="425" spans="1:12" x14ac:dyDescent="0.25">
      <c r="A425" s="3">
        <v>45714.683541666665</v>
      </c>
      <c r="B425" t="s">
        <v>168</v>
      </c>
      <c r="C425" s="3">
        <v>45714.686180555553</v>
      </c>
      <c r="D425" t="s">
        <v>305</v>
      </c>
      <c r="E425" s="4">
        <v>2.2070311886668206</v>
      </c>
      <c r="F425" s="4">
        <v>350862.20994882693</v>
      </c>
      <c r="G425" s="4">
        <v>350864.41698001558</v>
      </c>
      <c r="H425" s="5">
        <f t="shared" si="3"/>
        <v>0</v>
      </c>
      <c r="I425" t="s">
        <v>143</v>
      </c>
      <c r="J425" t="s">
        <v>275</v>
      </c>
      <c r="K425" s="5">
        <f>228 / 86400</f>
        <v>2.638888888888889E-3</v>
      </c>
      <c r="L425" s="5">
        <f>40 / 86400</f>
        <v>4.6296296296296298E-4</v>
      </c>
    </row>
    <row r="426" spans="1:12" x14ac:dyDescent="0.25">
      <c r="A426" s="3">
        <v>45714.686643518522</v>
      </c>
      <c r="B426" t="s">
        <v>81</v>
      </c>
      <c r="C426" s="3">
        <v>45714.688078703708</v>
      </c>
      <c r="D426" t="s">
        <v>109</v>
      </c>
      <c r="E426" s="4">
        <v>0.77362249481678014</v>
      </c>
      <c r="F426" s="4">
        <v>350864.48215499666</v>
      </c>
      <c r="G426" s="4">
        <v>350865.25577749143</v>
      </c>
      <c r="H426" s="5">
        <f t="shared" si="3"/>
        <v>0</v>
      </c>
      <c r="I426" t="s">
        <v>183</v>
      </c>
      <c r="J426" t="s">
        <v>140</v>
      </c>
      <c r="K426" s="5">
        <f>124 / 86400</f>
        <v>1.4351851851851852E-3</v>
      </c>
      <c r="L426" s="5">
        <f>60 / 86400</f>
        <v>6.9444444444444447E-4</v>
      </c>
    </row>
    <row r="427" spans="1:12" x14ac:dyDescent="0.25">
      <c r="A427" s="3">
        <v>45714.688773148147</v>
      </c>
      <c r="B427" t="s">
        <v>122</v>
      </c>
      <c r="C427" s="3">
        <v>45714.691782407404</v>
      </c>
      <c r="D427" t="s">
        <v>66</v>
      </c>
      <c r="E427" s="4">
        <v>2.0437769484519959</v>
      </c>
      <c r="F427" s="4">
        <v>350865.27281144803</v>
      </c>
      <c r="G427" s="4">
        <v>350867.3165883965</v>
      </c>
      <c r="H427" s="5">
        <f t="shared" si="3"/>
        <v>0</v>
      </c>
      <c r="I427" t="s">
        <v>266</v>
      </c>
      <c r="J427" t="s">
        <v>136</v>
      </c>
      <c r="K427" s="5">
        <f>260 / 86400</f>
        <v>3.0092592592592593E-3</v>
      </c>
      <c r="L427" s="5">
        <f>20 / 86400</f>
        <v>2.3148148148148149E-4</v>
      </c>
    </row>
    <row r="428" spans="1:12" x14ac:dyDescent="0.25">
      <c r="A428" s="3">
        <v>45714.692013888889</v>
      </c>
      <c r="B428" t="s">
        <v>66</v>
      </c>
      <c r="C428" s="3">
        <v>45714.692476851851</v>
      </c>
      <c r="D428" t="s">
        <v>144</v>
      </c>
      <c r="E428" s="4">
        <v>0.34570480614900589</v>
      </c>
      <c r="F428" s="4">
        <v>350867.40037994139</v>
      </c>
      <c r="G428" s="4">
        <v>350867.74608474754</v>
      </c>
      <c r="H428" s="5">
        <f t="shared" si="3"/>
        <v>0</v>
      </c>
      <c r="I428" t="s">
        <v>188</v>
      </c>
      <c r="J428" t="s">
        <v>184</v>
      </c>
      <c r="K428" s="5">
        <f>40 / 86400</f>
        <v>4.6296296296296298E-4</v>
      </c>
      <c r="L428" s="5">
        <f>20 / 86400</f>
        <v>2.3148148148148149E-4</v>
      </c>
    </row>
    <row r="429" spans="1:12" x14ac:dyDescent="0.25">
      <c r="A429" s="3">
        <v>45714.692708333328</v>
      </c>
      <c r="B429" t="s">
        <v>144</v>
      </c>
      <c r="C429" s="3">
        <v>45714.692939814813</v>
      </c>
      <c r="D429" t="s">
        <v>144</v>
      </c>
      <c r="E429" s="4">
        <v>3.7015601396560671E-3</v>
      </c>
      <c r="F429" s="4">
        <v>350867.7523083241</v>
      </c>
      <c r="G429" s="4">
        <v>350867.75600988424</v>
      </c>
      <c r="H429" s="5">
        <f t="shared" si="3"/>
        <v>0</v>
      </c>
      <c r="I429" t="s">
        <v>152</v>
      </c>
      <c r="J429" t="s">
        <v>78</v>
      </c>
      <c r="K429" s="5">
        <f>20 / 86400</f>
        <v>2.3148148148148149E-4</v>
      </c>
      <c r="L429" s="5">
        <f>40 / 86400</f>
        <v>4.6296296296296298E-4</v>
      </c>
    </row>
    <row r="430" spans="1:12" x14ac:dyDescent="0.25">
      <c r="A430" s="3">
        <v>45714.693402777775</v>
      </c>
      <c r="B430" t="s">
        <v>144</v>
      </c>
      <c r="C430" s="3">
        <v>45714.697337962964</v>
      </c>
      <c r="D430" t="s">
        <v>59</v>
      </c>
      <c r="E430" s="4">
        <v>3.8723871372342109</v>
      </c>
      <c r="F430" s="4">
        <v>350867.78963586339</v>
      </c>
      <c r="G430" s="4">
        <v>350871.66202300059</v>
      </c>
      <c r="H430" s="5">
        <f t="shared" si="3"/>
        <v>0</v>
      </c>
      <c r="I430" t="s">
        <v>24</v>
      </c>
      <c r="J430" t="s">
        <v>174</v>
      </c>
      <c r="K430" s="5">
        <f>340 / 86400</f>
        <v>3.9351851851851848E-3</v>
      </c>
      <c r="L430" s="5">
        <f>60 / 86400</f>
        <v>6.9444444444444447E-4</v>
      </c>
    </row>
    <row r="431" spans="1:12" x14ac:dyDescent="0.25">
      <c r="A431" s="3">
        <v>45714.69803240741</v>
      </c>
      <c r="B431" t="s">
        <v>344</v>
      </c>
      <c r="C431" s="3">
        <v>45714.699421296296</v>
      </c>
      <c r="D431" t="s">
        <v>345</v>
      </c>
      <c r="E431" s="4">
        <v>1.0084787923097611</v>
      </c>
      <c r="F431" s="4">
        <v>350871.76703565026</v>
      </c>
      <c r="G431" s="4">
        <v>350872.77551444259</v>
      </c>
      <c r="H431" s="5">
        <f t="shared" si="3"/>
        <v>0</v>
      </c>
      <c r="I431" t="s">
        <v>346</v>
      </c>
      <c r="J431" t="s">
        <v>197</v>
      </c>
      <c r="K431" s="5">
        <f>120 / 86400</f>
        <v>1.3888888888888889E-3</v>
      </c>
      <c r="L431" s="5">
        <f>20 / 86400</f>
        <v>2.3148148148148149E-4</v>
      </c>
    </row>
    <row r="432" spans="1:12" x14ac:dyDescent="0.25">
      <c r="A432" s="3">
        <v>45714.699652777781</v>
      </c>
      <c r="B432" t="s">
        <v>347</v>
      </c>
      <c r="C432" s="3">
        <v>45714.70447916667</v>
      </c>
      <c r="D432" t="s">
        <v>327</v>
      </c>
      <c r="E432" s="4">
        <v>3.8353436398506164</v>
      </c>
      <c r="F432" s="4">
        <v>350872.88882536488</v>
      </c>
      <c r="G432" s="4">
        <v>350876.72416900477</v>
      </c>
      <c r="H432" s="5">
        <f t="shared" si="3"/>
        <v>0</v>
      </c>
      <c r="I432" t="s">
        <v>326</v>
      </c>
      <c r="J432" t="s">
        <v>91</v>
      </c>
      <c r="K432" s="5">
        <f>417 / 86400</f>
        <v>4.8263888888888887E-3</v>
      </c>
      <c r="L432" s="5">
        <f>20 / 86400</f>
        <v>2.3148148148148149E-4</v>
      </c>
    </row>
    <row r="433" spans="1:12" x14ac:dyDescent="0.25">
      <c r="A433" s="3">
        <v>45714.704710648148</v>
      </c>
      <c r="B433" t="s">
        <v>327</v>
      </c>
      <c r="C433" s="3">
        <v>45714.705405092594</v>
      </c>
      <c r="D433" t="s">
        <v>348</v>
      </c>
      <c r="E433" s="4">
        <v>0.9739640404582024</v>
      </c>
      <c r="F433" s="4">
        <v>350876.86048528133</v>
      </c>
      <c r="G433" s="4">
        <v>350877.83444932179</v>
      </c>
      <c r="H433" s="5">
        <f t="shared" si="3"/>
        <v>0</v>
      </c>
      <c r="I433" t="s">
        <v>150</v>
      </c>
      <c r="J433" t="s">
        <v>296</v>
      </c>
      <c r="K433" s="5">
        <f>60 / 86400</f>
        <v>6.9444444444444447E-4</v>
      </c>
      <c r="L433" s="5">
        <f>80 / 86400</f>
        <v>9.2592592592592596E-4</v>
      </c>
    </row>
    <row r="434" spans="1:12" x14ac:dyDescent="0.25">
      <c r="A434" s="3">
        <v>45714.706331018519</v>
      </c>
      <c r="B434" t="s">
        <v>349</v>
      </c>
      <c r="C434" s="3">
        <v>45714.706562499996</v>
      </c>
      <c r="D434" t="s">
        <v>349</v>
      </c>
      <c r="E434" s="4">
        <v>4.9161799550056454E-3</v>
      </c>
      <c r="F434" s="4">
        <v>350877.90650585893</v>
      </c>
      <c r="G434" s="4">
        <v>350877.91142203892</v>
      </c>
      <c r="H434" s="5">
        <f t="shared" si="3"/>
        <v>0</v>
      </c>
      <c r="I434" t="s">
        <v>147</v>
      </c>
      <c r="J434" t="s">
        <v>78</v>
      </c>
      <c r="K434" s="5">
        <f>20 / 86400</f>
        <v>2.3148148148148149E-4</v>
      </c>
      <c r="L434" s="5">
        <f>40 / 86400</f>
        <v>4.6296296296296298E-4</v>
      </c>
    </row>
    <row r="435" spans="1:12" x14ac:dyDescent="0.25">
      <c r="A435" s="3">
        <v>45714.707025462965</v>
      </c>
      <c r="B435" t="s">
        <v>349</v>
      </c>
      <c r="C435" s="3">
        <v>45714.713229166664</v>
      </c>
      <c r="D435" t="s">
        <v>350</v>
      </c>
      <c r="E435" s="4">
        <v>4.4112219977974894</v>
      </c>
      <c r="F435" s="4">
        <v>350878.00365076348</v>
      </c>
      <c r="G435" s="4">
        <v>350882.41487276123</v>
      </c>
      <c r="H435" s="5">
        <f t="shared" si="3"/>
        <v>0</v>
      </c>
      <c r="I435" t="s">
        <v>67</v>
      </c>
      <c r="J435" t="s">
        <v>197</v>
      </c>
      <c r="K435" s="5">
        <f>536 / 86400</f>
        <v>6.2037037037037035E-3</v>
      </c>
      <c r="L435" s="5">
        <f>15 / 86400</f>
        <v>1.7361111111111112E-4</v>
      </c>
    </row>
    <row r="436" spans="1:12" x14ac:dyDescent="0.25">
      <c r="A436" s="3">
        <v>45714.713402777779</v>
      </c>
      <c r="B436" t="s">
        <v>350</v>
      </c>
      <c r="C436" s="3">
        <v>45714.715370370366</v>
      </c>
      <c r="D436" t="s">
        <v>351</v>
      </c>
      <c r="E436" s="4">
        <v>0.81416741311550145</v>
      </c>
      <c r="F436" s="4">
        <v>350882.42606610985</v>
      </c>
      <c r="G436" s="4">
        <v>350883.24023352296</v>
      </c>
      <c r="H436" s="5">
        <f t="shared" si="3"/>
        <v>0</v>
      </c>
      <c r="I436" t="s">
        <v>197</v>
      </c>
      <c r="J436" t="s">
        <v>61</v>
      </c>
      <c r="K436" s="5">
        <f>170 / 86400</f>
        <v>1.9675925925925924E-3</v>
      </c>
      <c r="L436" s="5">
        <f>56 / 86400</f>
        <v>6.4814814814814813E-4</v>
      </c>
    </row>
    <row r="437" spans="1:12" x14ac:dyDescent="0.25">
      <c r="A437" s="3">
        <v>45714.71601851852</v>
      </c>
      <c r="B437" t="s">
        <v>351</v>
      </c>
      <c r="C437" s="3">
        <v>45714.716574074075</v>
      </c>
      <c r="D437" t="s">
        <v>307</v>
      </c>
      <c r="E437" s="4">
        <v>0.15319700479507448</v>
      </c>
      <c r="F437" s="4">
        <v>350883.25069994916</v>
      </c>
      <c r="G437" s="4">
        <v>350883.40389695397</v>
      </c>
      <c r="H437" s="5">
        <f t="shared" si="3"/>
        <v>0</v>
      </c>
      <c r="I437" t="s">
        <v>31</v>
      </c>
      <c r="J437" t="s">
        <v>31</v>
      </c>
      <c r="K437" s="5">
        <f>48 / 86400</f>
        <v>5.5555555555555556E-4</v>
      </c>
      <c r="L437" s="5">
        <f>20 / 86400</f>
        <v>2.3148148148148149E-4</v>
      </c>
    </row>
    <row r="438" spans="1:12" x14ac:dyDescent="0.25">
      <c r="A438" s="3">
        <v>45714.716805555552</v>
      </c>
      <c r="B438" t="s">
        <v>307</v>
      </c>
      <c r="C438" s="3">
        <v>45714.717268518521</v>
      </c>
      <c r="D438" t="s">
        <v>352</v>
      </c>
      <c r="E438" s="4">
        <v>0.14642164212465286</v>
      </c>
      <c r="F438" s="4">
        <v>350883.4056238138</v>
      </c>
      <c r="G438" s="4">
        <v>350883.55204545596</v>
      </c>
      <c r="H438" s="5">
        <f t="shared" si="3"/>
        <v>0</v>
      </c>
      <c r="I438" t="s">
        <v>64</v>
      </c>
      <c r="J438" t="s">
        <v>42</v>
      </c>
      <c r="K438" s="5">
        <f>40 / 86400</f>
        <v>4.6296296296296298E-4</v>
      </c>
      <c r="L438" s="5">
        <f>20 / 86400</f>
        <v>2.3148148148148149E-4</v>
      </c>
    </row>
    <row r="439" spans="1:12" x14ac:dyDescent="0.25">
      <c r="A439" s="3">
        <v>45714.717499999999</v>
      </c>
      <c r="B439" t="s">
        <v>352</v>
      </c>
      <c r="C439" s="3">
        <v>45714.718831018516</v>
      </c>
      <c r="D439" t="s">
        <v>353</v>
      </c>
      <c r="E439" s="4">
        <v>0.60827035820484165</v>
      </c>
      <c r="F439" s="4">
        <v>350883.56856176024</v>
      </c>
      <c r="G439" s="4">
        <v>350884.17683211848</v>
      </c>
      <c r="H439" s="5">
        <f t="shared" si="3"/>
        <v>0</v>
      </c>
      <c r="I439" t="s">
        <v>197</v>
      </c>
      <c r="J439" t="s">
        <v>25</v>
      </c>
      <c r="K439" s="5">
        <f>115 / 86400</f>
        <v>1.3310185185185185E-3</v>
      </c>
      <c r="L439" s="5">
        <f>662 / 86400</f>
        <v>7.6620370370370366E-3</v>
      </c>
    </row>
    <row r="440" spans="1:12" x14ac:dyDescent="0.25">
      <c r="A440" s="3">
        <v>45714.726493055554</v>
      </c>
      <c r="B440" t="s">
        <v>353</v>
      </c>
      <c r="C440" s="3">
        <v>45714.726747685185</v>
      </c>
      <c r="D440" t="s">
        <v>353</v>
      </c>
      <c r="E440" s="4">
        <v>2.4296008706092834E-2</v>
      </c>
      <c r="F440" s="4">
        <v>350884.18370284082</v>
      </c>
      <c r="G440" s="4">
        <v>350884.20799884951</v>
      </c>
      <c r="H440" s="5">
        <f t="shared" si="3"/>
        <v>0</v>
      </c>
      <c r="I440" t="s">
        <v>135</v>
      </c>
      <c r="J440" t="s">
        <v>152</v>
      </c>
      <c r="K440" s="5">
        <f>22 / 86400</f>
        <v>2.5462962962962961E-4</v>
      </c>
      <c r="L440" s="5">
        <f>12 / 86400</f>
        <v>1.3888888888888889E-4</v>
      </c>
    </row>
    <row r="441" spans="1:12" x14ac:dyDescent="0.25">
      <c r="A441" s="3">
        <v>45714.726886574077</v>
      </c>
      <c r="B441" t="s">
        <v>307</v>
      </c>
      <c r="C441" s="3">
        <v>45714.727118055554</v>
      </c>
      <c r="D441" t="s">
        <v>354</v>
      </c>
      <c r="E441" s="4">
        <v>5.1276454389095304E-2</v>
      </c>
      <c r="F441" s="4">
        <v>350884.21547567885</v>
      </c>
      <c r="G441" s="4">
        <v>350884.26675213326</v>
      </c>
      <c r="H441" s="5">
        <f t="shared" si="3"/>
        <v>0</v>
      </c>
      <c r="I441" t="s">
        <v>147</v>
      </c>
      <c r="J441" t="s">
        <v>70</v>
      </c>
      <c r="K441" s="5">
        <f>20 / 86400</f>
        <v>2.3148148148148149E-4</v>
      </c>
      <c r="L441" s="5">
        <f>20 / 86400</f>
        <v>2.3148148148148149E-4</v>
      </c>
    </row>
    <row r="442" spans="1:12" x14ac:dyDescent="0.25">
      <c r="A442" s="3">
        <v>45714.727349537032</v>
      </c>
      <c r="B442" t="s">
        <v>350</v>
      </c>
      <c r="C442" s="3">
        <v>45714.732060185182</v>
      </c>
      <c r="D442" t="s">
        <v>324</v>
      </c>
      <c r="E442" s="4">
        <v>1.2314193339347839</v>
      </c>
      <c r="F442" s="4">
        <v>350884.37049029768</v>
      </c>
      <c r="G442" s="4">
        <v>350885.60190963163</v>
      </c>
      <c r="H442" s="5">
        <f t="shared" si="3"/>
        <v>0</v>
      </c>
      <c r="I442" t="s">
        <v>136</v>
      </c>
      <c r="J442" t="s">
        <v>31</v>
      </c>
      <c r="K442" s="5">
        <f>407 / 86400</f>
        <v>4.7106481481481478E-3</v>
      </c>
      <c r="L442" s="5">
        <f>40 / 86400</f>
        <v>4.6296296296296298E-4</v>
      </c>
    </row>
    <row r="443" spans="1:12" x14ac:dyDescent="0.25">
      <c r="A443" s="3">
        <v>45714.732523148152</v>
      </c>
      <c r="B443" t="s">
        <v>324</v>
      </c>
      <c r="C443" s="3">
        <v>45714.733263888891</v>
      </c>
      <c r="D443" t="s">
        <v>324</v>
      </c>
      <c r="E443" s="4">
        <v>3.4071256220340726E-2</v>
      </c>
      <c r="F443" s="4">
        <v>350885.60541096341</v>
      </c>
      <c r="G443" s="4">
        <v>350885.63948221965</v>
      </c>
      <c r="H443" s="5">
        <f t="shared" si="3"/>
        <v>0</v>
      </c>
      <c r="I443" t="s">
        <v>135</v>
      </c>
      <c r="J443" t="s">
        <v>32</v>
      </c>
      <c r="K443" s="5">
        <f>64 / 86400</f>
        <v>7.407407407407407E-4</v>
      </c>
      <c r="L443" s="5">
        <f>340 / 86400</f>
        <v>3.9351851851851848E-3</v>
      </c>
    </row>
    <row r="444" spans="1:12" x14ac:dyDescent="0.25">
      <c r="A444" s="3">
        <v>45714.737199074079</v>
      </c>
      <c r="B444" t="s">
        <v>324</v>
      </c>
      <c r="C444" s="3">
        <v>45714.739259259259</v>
      </c>
      <c r="D444" t="s">
        <v>355</v>
      </c>
      <c r="E444" s="4">
        <v>0.69611180335283285</v>
      </c>
      <c r="F444" s="4">
        <v>350885.67333989032</v>
      </c>
      <c r="G444" s="4">
        <v>350886.36945169367</v>
      </c>
      <c r="H444" s="5">
        <f t="shared" ref="H444:H507" si="4">0 / 86400</f>
        <v>0</v>
      </c>
      <c r="I444" t="s">
        <v>140</v>
      </c>
      <c r="J444" t="s">
        <v>52</v>
      </c>
      <c r="K444" s="5">
        <f>178 / 86400</f>
        <v>2.0601851851851853E-3</v>
      </c>
      <c r="L444" s="5">
        <f>10 / 86400</f>
        <v>1.1574074074074075E-4</v>
      </c>
    </row>
    <row r="445" spans="1:12" x14ac:dyDescent="0.25">
      <c r="A445" s="3">
        <v>45714.739375000005</v>
      </c>
      <c r="B445" t="s">
        <v>356</v>
      </c>
      <c r="C445" s="3">
        <v>45714.739606481482</v>
      </c>
      <c r="D445" t="s">
        <v>350</v>
      </c>
      <c r="E445" s="4">
        <v>0.10367221772670746</v>
      </c>
      <c r="F445" s="4">
        <v>350886.37971553724</v>
      </c>
      <c r="G445" s="4">
        <v>350886.483387755</v>
      </c>
      <c r="H445" s="5">
        <f t="shared" si="4"/>
        <v>0</v>
      </c>
      <c r="I445" t="s">
        <v>135</v>
      </c>
      <c r="J445" t="s">
        <v>25</v>
      </c>
      <c r="K445" s="5">
        <f>20 / 86400</f>
        <v>2.3148148148148149E-4</v>
      </c>
      <c r="L445" s="5">
        <f>20 / 86400</f>
        <v>2.3148148148148149E-4</v>
      </c>
    </row>
    <row r="446" spans="1:12" x14ac:dyDescent="0.25">
      <c r="A446" s="3">
        <v>45714.739837962959</v>
      </c>
      <c r="B446" t="s">
        <v>357</v>
      </c>
      <c r="C446" s="3">
        <v>45714.740300925929</v>
      </c>
      <c r="D446" t="s">
        <v>307</v>
      </c>
      <c r="E446" s="4">
        <v>0.28477530282735825</v>
      </c>
      <c r="F446" s="4">
        <v>350886.59520210669</v>
      </c>
      <c r="G446" s="4">
        <v>350886.87997740955</v>
      </c>
      <c r="H446" s="5">
        <f t="shared" si="4"/>
        <v>0</v>
      </c>
      <c r="I446" t="s">
        <v>174</v>
      </c>
      <c r="J446" t="s">
        <v>170</v>
      </c>
      <c r="K446" s="5">
        <f>40 / 86400</f>
        <v>4.6296296296296298E-4</v>
      </c>
      <c r="L446" s="5">
        <f t="shared" ref="L446:L451" si="5">20 / 86400</f>
        <v>2.3148148148148149E-4</v>
      </c>
    </row>
    <row r="447" spans="1:12" x14ac:dyDescent="0.25">
      <c r="A447" s="3">
        <v>45714.740532407406</v>
      </c>
      <c r="B447" t="s">
        <v>307</v>
      </c>
      <c r="C447" s="3">
        <v>45714.740763888884</v>
      </c>
      <c r="D447" t="s">
        <v>310</v>
      </c>
      <c r="E447" s="4">
        <v>1.2154650390148163E-2</v>
      </c>
      <c r="F447" s="4">
        <v>350886.88989446283</v>
      </c>
      <c r="G447" s="4">
        <v>350886.90204911324</v>
      </c>
      <c r="H447" s="5">
        <f t="shared" si="4"/>
        <v>0</v>
      </c>
      <c r="I447" t="s">
        <v>147</v>
      </c>
      <c r="J447" t="s">
        <v>32</v>
      </c>
      <c r="K447" s="5">
        <f>20 / 86400</f>
        <v>2.3148148148148149E-4</v>
      </c>
      <c r="L447" s="5">
        <f t="shared" si="5"/>
        <v>2.3148148148148149E-4</v>
      </c>
    </row>
    <row r="448" spans="1:12" x14ac:dyDescent="0.25">
      <c r="A448" s="3">
        <v>45714.740995370375</v>
      </c>
      <c r="B448" t="s">
        <v>310</v>
      </c>
      <c r="C448" s="3">
        <v>45714.74145833333</v>
      </c>
      <c r="D448" t="s">
        <v>358</v>
      </c>
      <c r="E448" s="4">
        <v>0.22438366055488587</v>
      </c>
      <c r="F448" s="4">
        <v>350886.92530832614</v>
      </c>
      <c r="G448" s="4">
        <v>350887.14969198668</v>
      </c>
      <c r="H448" s="5">
        <f t="shared" si="4"/>
        <v>0</v>
      </c>
      <c r="I448" t="s">
        <v>91</v>
      </c>
      <c r="J448" t="s">
        <v>64</v>
      </c>
      <c r="K448" s="5">
        <f>40 / 86400</f>
        <v>4.6296296296296298E-4</v>
      </c>
      <c r="L448" s="5">
        <f t="shared" si="5"/>
        <v>2.3148148148148149E-4</v>
      </c>
    </row>
    <row r="449" spans="1:12" x14ac:dyDescent="0.25">
      <c r="A449" s="3">
        <v>45714.741689814815</v>
      </c>
      <c r="B449" t="s">
        <v>359</v>
      </c>
      <c r="C449" s="3">
        <v>45714.742384259254</v>
      </c>
      <c r="D449" t="s">
        <v>309</v>
      </c>
      <c r="E449" s="4">
        <v>0.4239629035592079</v>
      </c>
      <c r="F449" s="4">
        <v>350887.18815752771</v>
      </c>
      <c r="G449" s="4">
        <v>350887.61212043127</v>
      </c>
      <c r="H449" s="5">
        <f t="shared" si="4"/>
        <v>0</v>
      </c>
      <c r="I449" t="s">
        <v>69</v>
      </c>
      <c r="J449" t="s">
        <v>131</v>
      </c>
      <c r="K449" s="5">
        <f>60 / 86400</f>
        <v>6.9444444444444447E-4</v>
      </c>
      <c r="L449" s="5">
        <f t="shared" si="5"/>
        <v>2.3148148148148149E-4</v>
      </c>
    </row>
    <row r="450" spans="1:12" x14ac:dyDescent="0.25">
      <c r="A450" s="3">
        <v>45714.742615740739</v>
      </c>
      <c r="B450" t="s">
        <v>307</v>
      </c>
      <c r="C450" s="3">
        <v>45714.744374999995</v>
      </c>
      <c r="D450" t="s">
        <v>360</v>
      </c>
      <c r="E450" s="4">
        <v>1.5559810287356377</v>
      </c>
      <c r="F450" s="4">
        <v>350887.75435019803</v>
      </c>
      <c r="G450" s="4">
        <v>350889.31033122679</v>
      </c>
      <c r="H450" s="5">
        <f t="shared" si="4"/>
        <v>0</v>
      </c>
      <c r="I450" t="s">
        <v>56</v>
      </c>
      <c r="J450" t="s">
        <v>154</v>
      </c>
      <c r="K450" s="5">
        <f>152 / 86400</f>
        <v>1.7592592592592592E-3</v>
      </c>
      <c r="L450" s="5">
        <f t="shared" si="5"/>
        <v>2.3148148148148149E-4</v>
      </c>
    </row>
    <row r="451" spans="1:12" x14ac:dyDescent="0.25">
      <c r="A451" s="3">
        <v>45714.744606481487</v>
      </c>
      <c r="B451" t="s">
        <v>360</v>
      </c>
      <c r="C451" s="3">
        <v>45714.745532407411</v>
      </c>
      <c r="D451" t="s">
        <v>349</v>
      </c>
      <c r="E451" s="4">
        <v>0.95218565726280213</v>
      </c>
      <c r="F451" s="4">
        <v>350889.33901206014</v>
      </c>
      <c r="G451" s="4">
        <v>350890.29119771742</v>
      </c>
      <c r="H451" s="5">
        <f t="shared" si="4"/>
        <v>0</v>
      </c>
      <c r="I451" t="s">
        <v>143</v>
      </c>
      <c r="J451" t="s">
        <v>182</v>
      </c>
      <c r="K451" s="5">
        <f>80 / 86400</f>
        <v>9.2592592592592596E-4</v>
      </c>
      <c r="L451" s="5">
        <f t="shared" si="5"/>
        <v>2.3148148148148149E-4</v>
      </c>
    </row>
    <row r="452" spans="1:12" x14ac:dyDescent="0.25">
      <c r="A452" s="3">
        <v>45714.745763888888</v>
      </c>
      <c r="B452" t="s">
        <v>349</v>
      </c>
      <c r="C452" s="3">
        <v>45714.748159722221</v>
      </c>
      <c r="D452" t="s">
        <v>306</v>
      </c>
      <c r="E452" s="4">
        <v>2.4847307438850401</v>
      </c>
      <c r="F452" s="4">
        <v>350890.29384294007</v>
      </c>
      <c r="G452" s="4">
        <v>350892.77857368399</v>
      </c>
      <c r="H452" s="5">
        <f t="shared" si="4"/>
        <v>0</v>
      </c>
      <c r="I452" t="s">
        <v>84</v>
      </c>
      <c r="J452" t="s">
        <v>182</v>
      </c>
      <c r="K452" s="5">
        <f>207 / 86400</f>
        <v>2.3958333333333331E-3</v>
      </c>
      <c r="L452" s="5">
        <f>40 / 86400</f>
        <v>4.6296296296296298E-4</v>
      </c>
    </row>
    <row r="453" spans="1:12" x14ac:dyDescent="0.25">
      <c r="A453" s="3">
        <v>45714.748622685191</v>
      </c>
      <c r="B453" t="s">
        <v>306</v>
      </c>
      <c r="C453" s="3">
        <v>45714.749548611115</v>
      </c>
      <c r="D453" t="s">
        <v>306</v>
      </c>
      <c r="E453" s="4">
        <v>0.46308888560533523</v>
      </c>
      <c r="F453" s="4">
        <v>350892.80832255998</v>
      </c>
      <c r="G453" s="4">
        <v>350893.27141144563</v>
      </c>
      <c r="H453" s="5">
        <f t="shared" si="4"/>
        <v>0</v>
      </c>
      <c r="I453" t="s">
        <v>188</v>
      </c>
      <c r="J453" t="s">
        <v>151</v>
      </c>
      <c r="K453" s="5">
        <f>80 / 86400</f>
        <v>9.2592592592592596E-4</v>
      </c>
      <c r="L453" s="5">
        <f>40 / 86400</f>
        <v>4.6296296296296298E-4</v>
      </c>
    </row>
    <row r="454" spans="1:12" x14ac:dyDescent="0.25">
      <c r="A454" s="3">
        <v>45714.75001157407</v>
      </c>
      <c r="B454" t="s">
        <v>306</v>
      </c>
      <c r="C454" s="3">
        <v>45714.75163194444</v>
      </c>
      <c r="D454" t="s">
        <v>306</v>
      </c>
      <c r="E454" s="4">
        <v>0.93660011374950414</v>
      </c>
      <c r="F454" s="4">
        <v>350893.27757836279</v>
      </c>
      <c r="G454" s="4">
        <v>350894.21417847654</v>
      </c>
      <c r="H454" s="5">
        <f t="shared" si="4"/>
        <v>0</v>
      </c>
      <c r="I454" t="s">
        <v>154</v>
      </c>
      <c r="J454" t="s">
        <v>37</v>
      </c>
      <c r="K454" s="5">
        <f>140 / 86400</f>
        <v>1.6203703703703703E-3</v>
      </c>
      <c r="L454" s="5">
        <f>20 / 86400</f>
        <v>2.3148148148148149E-4</v>
      </c>
    </row>
    <row r="455" spans="1:12" x14ac:dyDescent="0.25">
      <c r="A455" s="3">
        <v>45714.751863425925</v>
      </c>
      <c r="B455" t="s">
        <v>306</v>
      </c>
      <c r="C455" s="3">
        <v>45714.75371527778</v>
      </c>
      <c r="D455" t="s">
        <v>175</v>
      </c>
      <c r="E455" s="4">
        <v>1.4466918652653695</v>
      </c>
      <c r="F455" s="4">
        <v>350894.34463972086</v>
      </c>
      <c r="G455" s="4">
        <v>350895.79133158614</v>
      </c>
      <c r="H455" s="5">
        <f t="shared" si="4"/>
        <v>0</v>
      </c>
      <c r="I455" t="s">
        <v>178</v>
      </c>
      <c r="J455" t="s">
        <v>91</v>
      </c>
      <c r="K455" s="5">
        <f>160 / 86400</f>
        <v>1.8518518518518519E-3</v>
      </c>
      <c r="L455" s="5">
        <f>20 / 86400</f>
        <v>2.3148148148148149E-4</v>
      </c>
    </row>
    <row r="456" spans="1:12" x14ac:dyDescent="0.25">
      <c r="A456" s="3">
        <v>45714.753946759258</v>
      </c>
      <c r="B456" t="s">
        <v>175</v>
      </c>
      <c r="C456" s="3">
        <v>45714.754178240742</v>
      </c>
      <c r="D456" t="s">
        <v>175</v>
      </c>
      <c r="E456" s="4">
        <v>1.0986605048179627E-2</v>
      </c>
      <c r="F456" s="4">
        <v>350895.81089950819</v>
      </c>
      <c r="G456" s="4">
        <v>350895.8218861132</v>
      </c>
      <c r="H456" s="5">
        <f t="shared" si="4"/>
        <v>0</v>
      </c>
      <c r="I456" t="s">
        <v>147</v>
      </c>
      <c r="J456" t="s">
        <v>32</v>
      </c>
      <c r="K456" s="5">
        <f>20 / 86400</f>
        <v>2.3148148148148149E-4</v>
      </c>
      <c r="L456" s="5">
        <f>90 / 86400</f>
        <v>1.0416666666666667E-3</v>
      </c>
    </row>
    <row r="457" spans="1:12" x14ac:dyDescent="0.25">
      <c r="A457" s="3">
        <v>45714.755219907413</v>
      </c>
      <c r="B457" t="s">
        <v>175</v>
      </c>
      <c r="C457" s="3">
        <v>45714.755914351852</v>
      </c>
      <c r="D457" t="s">
        <v>306</v>
      </c>
      <c r="E457" s="4">
        <v>0.61377800929546356</v>
      </c>
      <c r="F457" s="4">
        <v>350895.84043474676</v>
      </c>
      <c r="G457" s="4">
        <v>350896.45421275601</v>
      </c>
      <c r="H457" s="5">
        <f t="shared" si="4"/>
        <v>0</v>
      </c>
      <c r="I457" t="s">
        <v>176</v>
      </c>
      <c r="J457" t="s">
        <v>154</v>
      </c>
      <c r="K457" s="5">
        <f>60 / 86400</f>
        <v>6.9444444444444447E-4</v>
      </c>
      <c r="L457" s="5">
        <f>40 / 86400</f>
        <v>4.6296296296296298E-4</v>
      </c>
    </row>
    <row r="458" spans="1:12" x14ac:dyDescent="0.25">
      <c r="A458" s="3">
        <v>45714.756377314814</v>
      </c>
      <c r="B458" t="s">
        <v>361</v>
      </c>
      <c r="C458" s="3">
        <v>45714.757303240738</v>
      </c>
      <c r="D458" t="s">
        <v>59</v>
      </c>
      <c r="E458" s="4">
        <v>0.59811027812957762</v>
      </c>
      <c r="F458" s="4">
        <v>350896.52109811525</v>
      </c>
      <c r="G458" s="4">
        <v>350897.11920839339</v>
      </c>
      <c r="H458" s="5">
        <f t="shared" si="4"/>
        <v>0</v>
      </c>
      <c r="I458" t="s">
        <v>220</v>
      </c>
      <c r="J458" t="s">
        <v>186</v>
      </c>
      <c r="K458" s="5">
        <f>80 / 86400</f>
        <v>9.2592592592592596E-4</v>
      </c>
      <c r="L458" s="5">
        <f>60 / 86400</f>
        <v>6.9444444444444447E-4</v>
      </c>
    </row>
    <row r="459" spans="1:12" x14ac:dyDescent="0.25">
      <c r="A459" s="3">
        <v>45714.757997685185</v>
      </c>
      <c r="B459" t="s">
        <v>177</v>
      </c>
      <c r="C459" s="3">
        <v>45714.758229166662</v>
      </c>
      <c r="D459" t="s">
        <v>177</v>
      </c>
      <c r="E459" s="4">
        <v>6.5177472829818723E-3</v>
      </c>
      <c r="F459" s="4">
        <v>350897.1353790944</v>
      </c>
      <c r="G459" s="4">
        <v>350897.1418968417</v>
      </c>
      <c r="H459" s="5">
        <f t="shared" si="4"/>
        <v>0</v>
      </c>
      <c r="I459" t="s">
        <v>78</v>
      </c>
      <c r="J459" t="s">
        <v>78</v>
      </c>
      <c r="K459" s="5">
        <f>20 / 86400</f>
        <v>2.3148148148148149E-4</v>
      </c>
      <c r="L459" s="5">
        <f>20 / 86400</f>
        <v>2.3148148148148149E-4</v>
      </c>
    </row>
    <row r="460" spans="1:12" x14ac:dyDescent="0.25">
      <c r="A460" s="3">
        <v>45714.758460648147</v>
      </c>
      <c r="B460" t="s">
        <v>177</v>
      </c>
      <c r="C460" s="3">
        <v>45714.762395833328</v>
      </c>
      <c r="D460" t="s">
        <v>104</v>
      </c>
      <c r="E460" s="4">
        <v>3.2972488604784012</v>
      </c>
      <c r="F460" s="4">
        <v>350897.14298595284</v>
      </c>
      <c r="G460" s="4">
        <v>350900.44023481332</v>
      </c>
      <c r="H460" s="5">
        <f t="shared" si="4"/>
        <v>0</v>
      </c>
      <c r="I460" t="s">
        <v>116</v>
      </c>
      <c r="J460" t="s">
        <v>275</v>
      </c>
      <c r="K460" s="5">
        <f>340 / 86400</f>
        <v>3.9351851851851848E-3</v>
      </c>
      <c r="L460" s="5">
        <f>20 / 86400</f>
        <v>2.3148148148148149E-4</v>
      </c>
    </row>
    <row r="461" spans="1:12" x14ac:dyDescent="0.25">
      <c r="A461" s="3">
        <v>45714.76262731482</v>
      </c>
      <c r="B461" t="s">
        <v>104</v>
      </c>
      <c r="C461" s="3">
        <v>45714.764016203699</v>
      </c>
      <c r="D461" t="s">
        <v>144</v>
      </c>
      <c r="E461" s="4">
        <v>0.50566911971569062</v>
      </c>
      <c r="F461" s="4">
        <v>350900.50971834868</v>
      </c>
      <c r="G461" s="4">
        <v>350901.01538746839</v>
      </c>
      <c r="H461" s="5">
        <f t="shared" si="4"/>
        <v>0</v>
      </c>
      <c r="I461" t="s">
        <v>206</v>
      </c>
      <c r="J461" t="s">
        <v>46</v>
      </c>
      <c r="K461" s="5">
        <f>120 / 86400</f>
        <v>1.3888888888888889E-3</v>
      </c>
      <c r="L461" s="5">
        <f>17 / 86400</f>
        <v>1.9675925925925926E-4</v>
      </c>
    </row>
    <row r="462" spans="1:12" x14ac:dyDescent="0.25">
      <c r="A462" s="3">
        <v>45714.764212962968</v>
      </c>
      <c r="B462" t="s">
        <v>144</v>
      </c>
      <c r="C462" s="3">
        <v>45714.765405092592</v>
      </c>
      <c r="D462" t="s">
        <v>142</v>
      </c>
      <c r="E462" s="4">
        <v>0.45167512017488481</v>
      </c>
      <c r="F462" s="4">
        <v>350901.03182318324</v>
      </c>
      <c r="G462" s="4">
        <v>350901.48349830339</v>
      </c>
      <c r="H462" s="5">
        <f t="shared" si="4"/>
        <v>0</v>
      </c>
      <c r="I462" t="s">
        <v>188</v>
      </c>
      <c r="J462" t="s">
        <v>28</v>
      </c>
      <c r="K462" s="5">
        <f>103 / 86400</f>
        <v>1.1921296296296296E-3</v>
      </c>
      <c r="L462" s="5">
        <f>40 / 86400</f>
        <v>4.6296296296296298E-4</v>
      </c>
    </row>
    <row r="463" spans="1:12" x14ac:dyDescent="0.25">
      <c r="A463" s="3">
        <v>45714.765868055554</v>
      </c>
      <c r="B463" t="s">
        <v>142</v>
      </c>
      <c r="C463" s="3">
        <v>45714.766099537039</v>
      </c>
      <c r="D463" t="s">
        <v>142</v>
      </c>
      <c r="E463" s="4">
        <v>7.3967051088809965E-2</v>
      </c>
      <c r="F463" s="4">
        <v>350901.53920082003</v>
      </c>
      <c r="G463" s="4">
        <v>350901.61316787114</v>
      </c>
      <c r="H463" s="5">
        <f t="shared" si="4"/>
        <v>0</v>
      </c>
      <c r="I463" t="s">
        <v>170</v>
      </c>
      <c r="J463" t="s">
        <v>42</v>
      </c>
      <c r="K463" s="5">
        <f>20 / 86400</f>
        <v>2.3148148148148149E-4</v>
      </c>
      <c r="L463" s="5">
        <f>20 / 86400</f>
        <v>2.3148148148148149E-4</v>
      </c>
    </row>
    <row r="464" spans="1:12" x14ac:dyDescent="0.25">
      <c r="A464" s="3">
        <v>45714.766331018516</v>
      </c>
      <c r="B464" t="s">
        <v>142</v>
      </c>
      <c r="C464" s="3">
        <v>45714.766793981486</v>
      </c>
      <c r="D464" t="s">
        <v>142</v>
      </c>
      <c r="E464" s="4">
        <v>0.43315035116672518</v>
      </c>
      <c r="F464" s="4">
        <v>350901.74170123838</v>
      </c>
      <c r="G464" s="4">
        <v>350902.17485158955</v>
      </c>
      <c r="H464" s="5">
        <f t="shared" si="4"/>
        <v>0</v>
      </c>
      <c r="I464" t="s">
        <v>67</v>
      </c>
      <c r="J464" t="s">
        <v>206</v>
      </c>
      <c r="K464" s="5">
        <f>40 / 86400</f>
        <v>4.6296296296296298E-4</v>
      </c>
      <c r="L464" s="5">
        <f>20 / 86400</f>
        <v>2.3148148148148149E-4</v>
      </c>
    </row>
    <row r="465" spans="1:12" x14ac:dyDescent="0.25">
      <c r="A465" s="3">
        <v>45714.767025462963</v>
      </c>
      <c r="B465" t="s">
        <v>142</v>
      </c>
      <c r="C465" s="3">
        <v>45714.768078703702</v>
      </c>
      <c r="D465" t="s">
        <v>65</v>
      </c>
      <c r="E465" s="4">
        <v>0.80330373251438136</v>
      </c>
      <c r="F465" s="4">
        <v>350902.1783657748</v>
      </c>
      <c r="G465" s="4">
        <v>350902.98166950734</v>
      </c>
      <c r="H465" s="5">
        <f t="shared" si="4"/>
        <v>0</v>
      </c>
      <c r="I465" t="s">
        <v>97</v>
      </c>
      <c r="J465" t="s">
        <v>155</v>
      </c>
      <c r="K465" s="5">
        <f>91 / 86400</f>
        <v>1.0532407407407407E-3</v>
      </c>
      <c r="L465" s="5">
        <f>9 / 86400</f>
        <v>1.0416666666666667E-4</v>
      </c>
    </row>
    <row r="466" spans="1:12" x14ac:dyDescent="0.25">
      <c r="A466" s="3">
        <v>45714.768182870372</v>
      </c>
      <c r="B466" t="s">
        <v>65</v>
      </c>
      <c r="C466" s="3">
        <v>45714.768923611111</v>
      </c>
      <c r="D466" t="s">
        <v>65</v>
      </c>
      <c r="E466" s="4">
        <v>0.52368333435058589</v>
      </c>
      <c r="F466" s="4">
        <v>350902.99111680989</v>
      </c>
      <c r="G466" s="4">
        <v>350903.51480014424</v>
      </c>
      <c r="H466" s="5">
        <f t="shared" si="4"/>
        <v>0</v>
      </c>
      <c r="I466" t="s">
        <v>178</v>
      </c>
      <c r="J466" t="s">
        <v>181</v>
      </c>
      <c r="K466" s="5">
        <f>64 / 86400</f>
        <v>7.407407407407407E-4</v>
      </c>
      <c r="L466" s="5">
        <f>20 / 86400</f>
        <v>2.3148148148148149E-4</v>
      </c>
    </row>
    <row r="467" spans="1:12" x14ac:dyDescent="0.25">
      <c r="A467" s="3">
        <v>45714.769155092596</v>
      </c>
      <c r="B467" t="s">
        <v>65</v>
      </c>
      <c r="C467" s="3">
        <v>45714.770312499997</v>
      </c>
      <c r="D467" t="s">
        <v>329</v>
      </c>
      <c r="E467" s="4">
        <v>0.79087085258960721</v>
      </c>
      <c r="F467" s="4">
        <v>350903.53580672143</v>
      </c>
      <c r="G467" s="4">
        <v>350904.32667757402</v>
      </c>
      <c r="H467" s="5">
        <f t="shared" si="4"/>
        <v>0</v>
      </c>
      <c r="I467" t="s">
        <v>57</v>
      </c>
      <c r="J467" t="s">
        <v>136</v>
      </c>
      <c r="K467" s="5">
        <f>100 / 86400</f>
        <v>1.1574074074074073E-3</v>
      </c>
      <c r="L467" s="5">
        <f>10 / 86400</f>
        <v>1.1574074074074075E-4</v>
      </c>
    </row>
    <row r="468" spans="1:12" x14ac:dyDescent="0.25">
      <c r="A468" s="3">
        <v>45714.770428240736</v>
      </c>
      <c r="B468" t="s">
        <v>329</v>
      </c>
      <c r="C468" s="3">
        <v>45714.77065972222</v>
      </c>
      <c r="D468" t="s">
        <v>65</v>
      </c>
      <c r="E468" s="4">
        <v>3.1626044929027555E-2</v>
      </c>
      <c r="F468" s="4">
        <v>350904.33111708687</v>
      </c>
      <c r="G468" s="4">
        <v>350904.36274313182</v>
      </c>
      <c r="H468" s="5">
        <f t="shared" si="4"/>
        <v>0</v>
      </c>
      <c r="I468" t="s">
        <v>147</v>
      </c>
      <c r="J468" t="s">
        <v>135</v>
      </c>
      <c r="K468" s="5">
        <f>20 / 86400</f>
        <v>2.3148148148148149E-4</v>
      </c>
      <c r="L468" s="5">
        <f>20 / 86400</f>
        <v>2.3148148148148149E-4</v>
      </c>
    </row>
    <row r="469" spans="1:12" x14ac:dyDescent="0.25">
      <c r="A469" s="3">
        <v>45714.770891203705</v>
      </c>
      <c r="B469" t="s">
        <v>65</v>
      </c>
      <c r="C469" s="3">
        <v>45714.771122685182</v>
      </c>
      <c r="D469" t="s">
        <v>65</v>
      </c>
      <c r="E469" s="4">
        <v>1.5127163350582123E-2</v>
      </c>
      <c r="F469" s="4">
        <v>350904.38299762044</v>
      </c>
      <c r="G469" s="4">
        <v>350904.39812478382</v>
      </c>
      <c r="H469" s="5">
        <f t="shared" si="4"/>
        <v>0</v>
      </c>
      <c r="I469" t="s">
        <v>42</v>
      </c>
      <c r="J469" t="s">
        <v>102</v>
      </c>
      <c r="K469" s="5">
        <f>20 / 86400</f>
        <v>2.3148148148148149E-4</v>
      </c>
      <c r="L469" s="5">
        <f>20 / 86400</f>
        <v>2.3148148148148149E-4</v>
      </c>
    </row>
    <row r="470" spans="1:12" x14ac:dyDescent="0.25">
      <c r="A470" s="3">
        <v>45714.771354166667</v>
      </c>
      <c r="B470" t="s">
        <v>65</v>
      </c>
      <c r="C470" s="3">
        <v>45714.772511574076</v>
      </c>
      <c r="D470" t="s">
        <v>65</v>
      </c>
      <c r="E470" s="4">
        <v>0.91729594689607619</v>
      </c>
      <c r="F470" s="4">
        <v>350904.39994729206</v>
      </c>
      <c r="G470" s="4">
        <v>350905.31724323891</v>
      </c>
      <c r="H470" s="5">
        <f t="shared" si="4"/>
        <v>0</v>
      </c>
      <c r="I470" t="s">
        <v>116</v>
      </c>
      <c r="J470" t="s">
        <v>91</v>
      </c>
      <c r="K470" s="5">
        <f>100 / 86400</f>
        <v>1.1574074074074073E-3</v>
      </c>
      <c r="L470" s="5">
        <f>60 / 86400</f>
        <v>6.9444444444444447E-4</v>
      </c>
    </row>
    <row r="471" spans="1:12" x14ac:dyDescent="0.25">
      <c r="A471" s="3">
        <v>45714.773206018523</v>
      </c>
      <c r="B471" t="s">
        <v>65</v>
      </c>
      <c r="C471" s="3">
        <v>45714.775289351848</v>
      </c>
      <c r="D471" t="s">
        <v>168</v>
      </c>
      <c r="E471" s="4">
        <v>1.863843029499054</v>
      </c>
      <c r="F471" s="4">
        <v>350905.34144327033</v>
      </c>
      <c r="G471" s="4">
        <v>350907.20528629981</v>
      </c>
      <c r="H471" s="5">
        <f t="shared" si="4"/>
        <v>0</v>
      </c>
      <c r="I471" t="s">
        <v>33</v>
      </c>
      <c r="J471" t="s">
        <v>154</v>
      </c>
      <c r="K471" s="5">
        <f>180 / 86400</f>
        <v>2.0833333333333333E-3</v>
      </c>
      <c r="L471" s="5">
        <f>21 / 86400</f>
        <v>2.4305555555555555E-4</v>
      </c>
    </row>
    <row r="472" spans="1:12" x14ac:dyDescent="0.25">
      <c r="A472" s="3">
        <v>45714.77553240741</v>
      </c>
      <c r="B472" t="s">
        <v>168</v>
      </c>
      <c r="C472" s="3">
        <v>45714.776678240742</v>
      </c>
      <c r="D472" t="s">
        <v>168</v>
      </c>
      <c r="E472" s="4">
        <v>0.82746706771850587</v>
      </c>
      <c r="F472" s="4">
        <v>350907.20983046613</v>
      </c>
      <c r="G472" s="4">
        <v>350908.03729753388</v>
      </c>
      <c r="H472" s="5">
        <f t="shared" si="4"/>
        <v>0</v>
      </c>
      <c r="I472" t="s">
        <v>188</v>
      </c>
      <c r="J472" t="s">
        <v>197</v>
      </c>
      <c r="K472" s="5">
        <f>99 / 86400</f>
        <v>1.1458333333333333E-3</v>
      </c>
      <c r="L472" s="5">
        <f>60 / 86400</f>
        <v>6.9444444444444447E-4</v>
      </c>
    </row>
    <row r="473" spans="1:12" x14ac:dyDescent="0.25">
      <c r="A473" s="3">
        <v>45714.777372685188</v>
      </c>
      <c r="B473" t="s">
        <v>168</v>
      </c>
      <c r="C473" s="3">
        <v>45714.777604166666</v>
      </c>
      <c r="D473" t="s">
        <v>168</v>
      </c>
      <c r="E473" s="4">
        <v>0.2172421367764473</v>
      </c>
      <c r="F473" s="4">
        <v>350908.16004078445</v>
      </c>
      <c r="G473" s="4">
        <v>350908.37728292128</v>
      </c>
      <c r="H473" s="5">
        <f t="shared" si="4"/>
        <v>0</v>
      </c>
      <c r="I473" t="s">
        <v>213</v>
      </c>
      <c r="J473" t="s">
        <v>206</v>
      </c>
      <c r="K473" s="5">
        <f>20 / 86400</f>
        <v>2.3148148148148149E-4</v>
      </c>
      <c r="L473" s="5">
        <f>20 / 86400</f>
        <v>2.3148148148148149E-4</v>
      </c>
    </row>
    <row r="474" spans="1:12" x14ac:dyDescent="0.25">
      <c r="A474" s="3">
        <v>45714.777835648143</v>
      </c>
      <c r="B474" t="s">
        <v>168</v>
      </c>
      <c r="C474" s="3">
        <v>45714.779224537036</v>
      </c>
      <c r="D474" t="s">
        <v>168</v>
      </c>
      <c r="E474" s="4">
        <v>0.4461200655698776</v>
      </c>
      <c r="F474" s="4">
        <v>350908.54217860207</v>
      </c>
      <c r="G474" s="4">
        <v>350908.98829866765</v>
      </c>
      <c r="H474" s="5">
        <f t="shared" si="4"/>
        <v>0</v>
      </c>
      <c r="I474" t="s">
        <v>148</v>
      </c>
      <c r="J474" t="s">
        <v>42</v>
      </c>
      <c r="K474" s="5">
        <f>120 / 86400</f>
        <v>1.3888888888888889E-3</v>
      </c>
      <c r="L474" s="5">
        <f>40 / 86400</f>
        <v>4.6296296296296298E-4</v>
      </c>
    </row>
    <row r="475" spans="1:12" x14ac:dyDescent="0.25">
      <c r="A475" s="3">
        <v>45714.779687499999</v>
      </c>
      <c r="B475" t="s">
        <v>168</v>
      </c>
      <c r="C475" s="3">
        <v>45714.783159722225</v>
      </c>
      <c r="D475" t="s">
        <v>92</v>
      </c>
      <c r="E475" s="4">
        <v>2.4109120523333551</v>
      </c>
      <c r="F475" s="4">
        <v>350908.99142893538</v>
      </c>
      <c r="G475" s="4">
        <v>350911.4023409877</v>
      </c>
      <c r="H475" s="5">
        <f t="shared" si="4"/>
        <v>0</v>
      </c>
      <c r="I475" t="s">
        <v>116</v>
      </c>
      <c r="J475" t="s">
        <v>181</v>
      </c>
      <c r="K475" s="5">
        <f>300 / 86400</f>
        <v>3.472222222222222E-3</v>
      </c>
      <c r="L475" s="5">
        <f>20 / 86400</f>
        <v>2.3148148148148149E-4</v>
      </c>
    </row>
    <row r="476" spans="1:12" x14ac:dyDescent="0.25">
      <c r="A476" s="3">
        <v>45714.783391203702</v>
      </c>
      <c r="B476" t="s">
        <v>92</v>
      </c>
      <c r="C476" s="3">
        <v>45714.785416666666</v>
      </c>
      <c r="D476" t="s">
        <v>295</v>
      </c>
      <c r="E476" s="4">
        <v>0.79507040816545482</v>
      </c>
      <c r="F476" s="4">
        <v>350911.4302271753</v>
      </c>
      <c r="G476" s="4">
        <v>350912.22529758344</v>
      </c>
      <c r="H476" s="5">
        <f t="shared" si="4"/>
        <v>0</v>
      </c>
      <c r="I476" t="s">
        <v>154</v>
      </c>
      <c r="J476" t="s">
        <v>28</v>
      </c>
      <c r="K476" s="5">
        <f>175 / 86400</f>
        <v>2.0254629629629629E-3</v>
      </c>
      <c r="L476" s="5">
        <f>40 / 86400</f>
        <v>4.6296296296296298E-4</v>
      </c>
    </row>
    <row r="477" spans="1:12" x14ac:dyDescent="0.25">
      <c r="A477" s="3">
        <v>45714.785879629635</v>
      </c>
      <c r="B477" t="s">
        <v>338</v>
      </c>
      <c r="C477" s="3">
        <v>45714.786574074074</v>
      </c>
      <c r="D477" t="s">
        <v>341</v>
      </c>
      <c r="E477" s="4">
        <v>0.33770989066362384</v>
      </c>
      <c r="F477" s="4">
        <v>350912.31526999205</v>
      </c>
      <c r="G477" s="4">
        <v>350912.65297988273</v>
      </c>
      <c r="H477" s="5">
        <f t="shared" si="4"/>
        <v>0</v>
      </c>
      <c r="I477" t="s">
        <v>134</v>
      </c>
      <c r="J477" t="s">
        <v>64</v>
      </c>
      <c r="K477" s="5">
        <f>60 / 86400</f>
        <v>6.9444444444444447E-4</v>
      </c>
      <c r="L477" s="5">
        <f>3 / 86400</f>
        <v>3.4722222222222222E-5</v>
      </c>
    </row>
    <row r="478" spans="1:12" x14ac:dyDescent="0.25">
      <c r="A478" s="3">
        <v>45714.786608796298</v>
      </c>
      <c r="B478" t="s">
        <v>341</v>
      </c>
      <c r="C478" s="3">
        <v>45714.789259259254</v>
      </c>
      <c r="D478" t="s">
        <v>338</v>
      </c>
      <c r="E478" s="4">
        <v>0.67896826875209804</v>
      </c>
      <c r="F478" s="4">
        <v>350912.65479252947</v>
      </c>
      <c r="G478" s="4">
        <v>350913.33376079821</v>
      </c>
      <c r="H478" s="5">
        <f t="shared" si="4"/>
        <v>0</v>
      </c>
      <c r="I478" t="s">
        <v>134</v>
      </c>
      <c r="J478" t="s">
        <v>31</v>
      </c>
      <c r="K478" s="5">
        <f>229 / 86400</f>
        <v>2.650462962962963E-3</v>
      </c>
      <c r="L478" s="5">
        <f>7 / 86400</f>
        <v>8.1018518518518516E-5</v>
      </c>
    </row>
    <row r="479" spans="1:12" x14ac:dyDescent="0.25">
      <c r="A479" s="3">
        <v>45714.789340277777</v>
      </c>
      <c r="B479" t="s">
        <v>362</v>
      </c>
      <c r="C479" s="3">
        <v>45714.79042824074</v>
      </c>
      <c r="D479" t="s">
        <v>363</v>
      </c>
      <c r="E479" s="4">
        <v>0.35718593817949296</v>
      </c>
      <c r="F479" s="4">
        <v>350913.41859504679</v>
      </c>
      <c r="G479" s="4">
        <v>350913.77578098502</v>
      </c>
      <c r="H479" s="5">
        <f t="shared" si="4"/>
        <v>0</v>
      </c>
      <c r="I479" t="s">
        <v>170</v>
      </c>
      <c r="J479" t="s">
        <v>52</v>
      </c>
      <c r="K479" s="5">
        <f>94 / 86400</f>
        <v>1.0879629629629629E-3</v>
      </c>
      <c r="L479" s="5">
        <f>20 / 86400</f>
        <v>2.3148148148148149E-4</v>
      </c>
    </row>
    <row r="480" spans="1:12" x14ac:dyDescent="0.25">
      <c r="A480" s="3">
        <v>45714.790659722217</v>
      </c>
      <c r="B480" t="s">
        <v>363</v>
      </c>
      <c r="C480" s="3">
        <v>45714.79210648148</v>
      </c>
      <c r="D480" t="s">
        <v>363</v>
      </c>
      <c r="E480" s="4">
        <v>5.7535600423812866E-2</v>
      </c>
      <c r="F480" s="4">
        <v>350913.7812287822</v>
      </c>
      <c r="G480" s="4">
        <v>350913.83876438258</v>
      </c>
      <c r="H480" s="5">
        <f t="shared" si="4"/>
        <v>0</v>
      </c>
      <c r="I480" t="s">
        <v>77</v>
      </c>
      <c r="J480" t="s">
        <v>32</v>
      </c>
      <c r="K480" s="5">
        <f>125 / 86400</f>
        <v>1.4467592592592592E-3</v>
      </c>
      <c r="L480" s="5">
        <f>225 / 86400</f>
        <v>2.6041666666666665E-3</v>
      </c>
    </row>
    <row r="481" spans="1:12" x14ac:dyDescent="0.25">
      <c r="A481" s="3">
        <v>45714.794710648144</v>
      </c>
      <c r="B481" t="s">
        <v>363</v>
      </c>
      <c r="C481" s="3">
        <v>45714.795497685191</v>
      </c>
      <c r="D481" t="s">
        <v>364</v>
      </c>
      <c r="E481" s="4">
        <v>3.0647228837013245E-2</v>
      </c>
      <c r="F481" s="4">
        <v>350913.90138186072</v>
      </c>
      <c r="G481" s="4">
        <v>350913.93202908954</v>
      </c>
      <c r="H481" s="5">
        <f t="shared" si="4"/>
        <v>0</v>
      </c>
      <c r="I481" t="s">
        <v>135</v>
      </c>
      <c r="J481" t="s">
        <v>32</v>
      </c>
      <c r="K481" s="5">
        <f>68 / 86400</f>
        <v>7.8703703703703705E-4</v>
      </c>
      <c r="L481" s="5">
        <f>40 / 86400</f>
        <v>4.6296296296296298E-4</v>
      </c>
    </row>
    <row r="482" spans="1:12" x14ac:dyDescent="0.25">
      <c r="A482" s="3">
        <v>45714.795960648145</v>
      </c>
      <c r="B482" t="s">
        <v>363</v>
      </c>
      <c r="C482" s="3">
        <v>45714.796423611115</v>
      </c>
      <c r="D482" t="s">
        <v>363</v>
      </c>
      <c r="E482" s="4">
        <v>2.0671542584896088E-2</v>
      </c>
      <c r="F482" s="4">
        <v>350913.94939013169</v>
      </c>
      <c r="G482" s="4">
        <v>350913.97006167431</v>
      </c>
      <c r="H482" s="5">
        <f t="shared" si="4"/>
        <v>0</v>
      </c>
      <c r="I482" t="s">
        <v>152</v>
      </c>
      <c r="J482" t="s">
        <v>32</v>
      </c>
      <c r="K482" s="5">
        <f>40 / 86400</f>
        <v>4.6296296296296298E-4</v>
      </c>
      <c r="L482" s="5">
        <f>40 / 86400</f>
        <v>4.6296296296296298E-4</v>
      </c>
    </row>
    <row r="483" spans="1:12" x14ac:dyDescent="0.25">
      <c r="A483" s="3">
        <v>45714.79688657407</v>
      </c>
      <c r="B483" t="s">
        <v>363</v>
      </c>
      <c r="C483" s="3">
        <v>45714.797418981485</v>
      </c>
      <c r="D483" t="s">
        <v>363</v>
      </c>
      <c r="E483" s="4">
        <v>2.0986986041069029E-2</v>
      </c>
      <c r="F483" s="4">
        <v>350913.97501308814</v>
      </c>
      <c r="G483" s="4">
        <v>350913.9960000742</v>
      </c>
      <c r="H483" s="5">
        <f t="shared" si="4"/>
        <v>0</v>
      </c>
      <c r="I483" t="s">
        <v>77</v>
      </c>
      <c r="J483" t="s">
        <v>32</v>
      </c>
      <c r="K483" s="5">
        <f>46 / 86400</f>
        <v>5.3240740740740744E-4</v>
      </c>
      <c r="L483" s="5">
        <f>14 / 86400</f>
        <v>1.6203703703703703E-4</v>
      </c>
    </row>
    <row r="484" spans="1:12" x14ac:dyDescent="0.25">
      <c r="A484" s="3">
        <v>45714.797581018516</v>
      </c>
      <c r="B484" t="s">
        <v>363</v>
      </c>
      <c r="C484" s="3">
        <v>45714.797812500001</v>
      </c>
      <c r="D484" t="s">
        <v>363</v>
      </c>
      <c r="E484" s="4">
        <v>8.8554071784019469E-3</v>
      </c>
      <c r="F484" s="4">
        <v>350913.99924881809</v>
      </c>
      <c r="G484" s="4">
        <v>350914.00810422527</v>
      </c>
      <c r="H484" s="5">
        <f t="shared" si="4"/>
        <v>0</v>
      </c>
      <c r="I484" t="s">
        <v>77</v>
      </c>
      <c r="J484" t="s">
        <v>32</v>
      </c>
      <c r="K484" s="5">
        <f>20 / 86400</f>
        <v>2.3148148148148149E-4</v>
      </c>
      <c r="L484" s="5">
        <f>53 / 86400</f>
        <v>6.134259259259259E-4</v>
      </c>
    </row>
    <row r="485" spans="1:12" x14ac:dyDescent="0.25">
      <c r="A485" s="3">
        <v>45714.798425925925</v>
      </c>
      <c r="B485" t="s">
        <v>363</v>
      </c>
      <c r="C485" s="3">
        <v>45714.80296296296</v>
      </c>
      <c r="D485" t="s">
        <v>365</v>
      </c>
      <c r="E485" s="4">
        <v>3.0059176838994026</v>
      </c>
      <c r="F485" s="4">
        <v>350914.01847665664</v>
      </c>
      <c r="G485" s="4">
        <v>350917.02439434052</v>
      </c>
      <c r="H485" s="5">
        <f t="shared" si="4"/>
        <v>0</v>
      </c>
      <c r="I485" t="s">
        <v>67</v>
      </c>
      <c r="J485" t="s">
        <v>136</v>
      </c>
      <c r="K485" s="5">
        <f>392 / 86400</f>
        <v>4.5370370370370373E-3</v>
      </c>
      <c r="L485" s="5">
        <f>9 / 86400</f>
        <v>1.0416666666666667E-4</v>
      </c>
    </row>
    <row r="486" spans="1:12" x14ac:dyDescent="0.25">
      <c r="A486" s="3">
        <v>45714.803067129629</v>
      </c>
      <c r="B486" t="s">
        <v>365</v>
      </c>
      <c r="C486" s="3">
        <v>45714.803761574076</v>
      </c>
      <c r="D486" t="s">
        <v>366</v>
      </c>
      <c r="E486" s="4">
        <v>0.27479727774858476</v>
      </c>
      <c r="F486" s="4">
        <v>350917.02766099066</v>
      </c>
      <c r="G486" s="4">
        <v>350917.30245826842</v>
      </c>
      <c r="H486" s="5">
        <f t="shared" si="4"/>
        <v>0</v>
      </c>
      <c r="I486" t="s">
        <v>25</v>
      </c>
      <c r="J486" t="s">
        <v>28</v>
      </c>
      <c r="K486" s="5">
        <f>60 / 86400</f>
        <v>6.9444444444444447E-4</v>
      </c>
      <c r="L486" s="5">
        <f>40 / 86400</f>
        <v>4.6296296296296298E-4</v>
      </c>
    </row>
    <row r="487" spans="1:12" x14ac:dyDescent="0.25">
      <c r="A487" s="3">
        <v>45714.804224537038</v>
      </c>
      <c r="B487" t="s">
        <v>366</v>
      </c>
      <c r="C487" s="3">
        <v>45714.804456018523</v>
      </c>
      <c r="D487" t="s">
        <v>367</v>
      </c>
      <c r="E487" s="4">
        <v>1.9858395516872407E-2</v>
      </c>
      <c r="F487" s="4">
        <v>350917.55746798124</v>
      </c>
      <c r="G487" s="4">
        <v>350917.57732637675</v>
      </c>
      <c r="H487" s="5">
        <f t="shared" si="4"/>
        <v>0</v>
      </c>
      <c r="I487" t="s">
        <v>140</v>
      </c>
      <c r="J487" t="s">
        <v>152</v>
      </c>
      <c r="K487" s="5">
        <f>20 / 86400</f>
        <v>2.3148148148148149E-4</v>
      </c>
      <c r="L487" s="5">
        <f>40 / 86400</f>
        <v>4.6296296296296298E-4</v>
      </c>
    </row>
    <row r="488" spans="1:12" x14ac:dyDescent="0.25">
      <c r="A488" s="3">
        <v>45714.804918981477</v>
      </c>
      <c r="B488" t="s">
        <v>366</v>
      </c>
      <c r="C488" s="3">
        <v>45714.805150462962</v>
      </c>
      <c r="D488" t="s">
        <v>366</v>
      </c>
      <c r="E488" s="4">
        <v>9.7217290997505187E-2</v>
      </c>
      <c r="F488" s="4">
        <v>350917.74936425977</v>
      </c>
      <c r="G488" s="4">
        <v>350917.84658155078</v>
      </c>
      <c r="H488" s="5">
        <f t="shared" si="4"/>
        <v>0</v>
      </c>
      <c r="I488" t="s">
        <v>184</v>
      </c>
      <c r="J488" t="s">
        <v>61</v>
      </c>
      <c r="K488" s="5">
        <f>20 / 86400</f>
        <v>2.3148148148148149E-4</v>
      </c>
      <c r="L488" s="5">
        <f>20 / 86400</f>
        <v>2.3148148148148149E-4</v>
      </c>
    </row>
    <row r="489" spans="1:12" x14ac:dyDescent="0.25">
      <c r="A489" s="3">
        <v>45714.805381944447</v>
      </c>
      <c r="B489" t="s">
        <v>368</v>
      </c>
      <c r="C489" s="3">
        <v>45714.807002314818</v>
      </c>
      <c r="D489" t="s">
        <v>369</v>
      </c>
      <c r="E489" s="4">
        <v>0.94896694028377537</v>
      </c>
      <c r="F489" s="4">
        <v>350917.95369647647</v>
      </c>
      <c r="G489" s="4">
        <v>350918.90266341675</v>
      </c>
      <c r="H489" s="5">
        <f t="shared" si="4"/>
        <v>0</v>
      </c>
      <c r="I489" t="s">
        <v>138</v>
      </c>
      <c r="J489" t="s">
        <v>37</v>
      </c>
      <c r="K489" s="5">
        <f>140 / 86400</f>
        <v>1.6203703703703703E-3</v>
      </c>
      <c r="L489" s="5">
        <f>20 / 86400</f>
        <v>2.3148148148148149E-4</v>
      </c>
    </row>
    <row r="490" spans="1:12" x14ac:dyDescent="0.25">
      <c r="A490" s="3">
        <v>45714.807233796295</v>
      </c>
      <c r="B490" t="s">
        <v>369</v>
      </c>
      <c r="C490" s="3">
        <v>45714.809942129628</v>
      </c>
      <c r="D490" t="s">
        <v>370</v>
      </c>
      <c r="E490" s="4">
        <v>1.0404646814465524</v>
      </c>
      <c r="F490" s="4">
        <v>350918.90985271934</v>
      </c>
      <c r="G490" s="4">
        <v>350919.9503174008</v>
      </c>
      <c r="H490" s="5">
        <f t="shared" si="4"/>
        <v>0</v>
      </c>
      <c r="I490" t="s">
        <v>138</v>
      </c>
      <c r="J490" t="s">
        <v>28</v>
      </c>
      <c r="K490" s="5">
        <f>234 / 86400</f>
        <v>2.7083333333333334E-3</v>
      </c>
      <c r="L490" s="5">
        <f>39 / 86400</f>
        <v>4.5138888888888887E-4</v>
      </c>
    </row>
    <row r="491" spans="1:12" x14ac:dyDescent="0.25">
      <c r="A491" s="3">
        <v>45714.810393518521</v>
      </c>
      <c r="B491" t="s">
        <v>370</v>
      </c>
      <c r="C491" s="3">
        <v>45714.813576388886</v>
      </c>
      <c r="D491" t="s">
        <v>208</v>
      </c>
      <c r="E491" s="4">
        <v>1.6166813976764678</v>
      </c>
      <c r="F491" s="4">
        <v>350919.96692055051</v>
      </c>
      <c r="G491" s="4">
        <v>350921.58360194822</v>
      </c>
      <c r="H491" s="5">
        <f t="shared" si="4"/>
        <v>0</v>
      </c>
      <c r="I491" t="s">
        <v>220</v>
      </c>
      <c r="J491" t="s">
        <v>151</v>
      </c>
      <c r="K491" s="5">
        <f>275 / 86400</f>
        <v>3.1828703703703702E-3</v>
      </c>
      <c r="L491" s="5">
        <f>80 / 86400</f>
        <v>9.2592592592592596E-4</v>
      </c>
    </row>
    <row r="492" spans="1:12" x14ac:dyDescent="0.25">
      <c r="A492" s="3">
        <v>45714.81450231481</v>
      </c>
      <c r="B492" t="s">
        <v>208</v>
      </c>
      <c r="C492" s="3">
        <v>45714.815196759257</v>
      </c>
      <c r="D492" t="s">
        <v>208</v>
      </c>
      <c r="E492" s="4">
        <v>7.2681843221187592E-2</v>
      </c>
      <c r="F492" s="4">
        <v>350921.60565335368</v>
      </c>
      <c r="G492" s="4">
        <v>350921.67833519692</v>
      </c>
      <c r="H492" s="5">
        <f t="shared" si="4"/>
        <v>0</v>
      </c>
      <c r="I492" t="s">
        <v>132</v>
      </c>
      <c r="J492" t="s">
        <v>152</v>
      </c>
      <c r="K492" s="5">
        <f>60 / 86400</f>
        <v>6.9444444444444447E-4</v>
      </c>
      <c r="L492" s="5">
        <f>60 / 86400</f>
        <v>6.9444444444444447E-4</v>
      </c>
    </row>
    <row r="493" spans="1:12" x14ac:dyDescent="0.25">
      <c r="A493" s="3">
        <v>45714.815891203703</v>
      </c>
      <c r="B493" t="s">
        <v>371</v>
      </c>
      <c r="C493" s="3">
        <v>45714.816805555558</v>
      </c>
      <c r="D493" t="s">
        <v>76</v>
      </c>
      <c r="E493" s="4">
        <v>0.17223965722322465</v>
      </c>
      <c r="F493" s="4">
        <v>350921.72458033735</v>
      </c>
      <c r="G493" s="4">
        <v>350921.89681999455</v>
      </c>
      <c r="H493" s="5">
        <f t="shared" si="4"/>
        <v>0</v>
      </c>
      <c r="I493" t="s">
        <v>157</v>
      </c>
      <c r="J493" t="s">
        <v>157</v>
      </c>
      <c r="K493" s="5">
        <f>79 / 86400</f>
        <v>9.1435185185185185E-4</v>
      </c>
      <c r="L493" s="5">
        <f>80 / 86400</f>
        <v>9.2592592592592596E-4</v>
      </c>
    </row>
    <row r="494" spans="1:12" x14ac:dyDescent="0.25">
      <c r="A494" s="3">
        <v>45714.817731481482</v>
      </c>
      <c r="B494" t="s">
        <v>76</v>
      </c>
      <c r="C494" s="3">
        <v>45714.817962962959</v>
      </c>
      <c r="D494" t="s">
        <v>76</v>
      </c>
      <c r="E494" s="4">
        <v>4.3926236629486083E-3</v>
      </c>
      <c r="F494" s="4">
        <v>350921.93195200525</v>
      </c>
      <c r="G494" s="4">
        <v>350921.93634462892</v>
      </c>
      <c r="H494" s="5">
        <f t="shared" si="4"/>
        <v>0</v>
      </c>
      <c r="I494" t="s">
        <v>78</v>
      </c>
      <c r="J494" t="s">
        <v>78</v>
      </c>
      <c r="K494" s="5">
        <f>20 / 86400</f>
        <v>2.3148148148148149E-4</v>
      </c>
      <c r="L494" s="5">
        <f>20 / 86400</f>
        <v>2.3148148148148149E-4</v>
      </c>
    </row>
    <row r="495" spans="1:12" x14ac:dyDescent="0.25">
      <c r="A495" s="3">
        <v>45714.818194444444</v>
      </c>
      <c r="B495" t="s">
        <v>76</v>
      </c>
      <c r="C495" s="3">
        <v>45714.818425925929</v>
      </c>
      <c r="D495" t="s">
        <v>76</v>
      </c>
      <c r="E495" s="4">
        <v>7.5962740182876588E-3</v>
      </c>
      <c r="F495" s="4">
        <v>350921.9425703811</v>
      </c>
      <c r="G495" s="4">
        <v>350921.95016665512</v>
      </c>
      <c r="H495" s="5">
        <f t="shared" si="4"/>
        <v>0</v>
      </c>
      <c r="I495" t="s">
        <v>78</v>
      </c>
      <c r="J495" t="s">
        <v>78</v>
      </c>
      <c r="K495" s="5">
        <f>20 / 86400</f>
        <v>2.3148148148148149E-4</v>
      </c>
      <c r="L495" s="5">
        <f>25 / 86400</f>
        <v>2.8935185185185184E-4</v>
      </c>
    </row>
    <row r="496" spans="1:12" x14ac:dyDescent="0.25">
      <c r="A496" s="3">
        <v>45714.818715277783</v>
      </c>
      <c r="B496" t="s">
        <v>76</v>
      </c>
      <c r="C496" s="3">
        <v>45714.819398148145</v>
      </c>
      <c r="D496" t="s">
        <v>336</v>
      </c>
      <c r="E496" s="4">
        <v>0.29562426030635836</v>
      </c>
      <c r="F496" s="4">
        <v>350921.98084646277</v>
      </c>
      <c r="G496" s="4">
        <v>350922.2764707231</v>
      </c>
      <c r="H496" s="5">
        <f t="shared" si="4"/>
        <v>0</v>
      </c>
      <c r="I496" t="s">
        <v>140</v>
      </c>
      <c r="J496" t="s">
        <v>20</v>
      </c>
      <c r="K496" s="5">
        <f>59 / 86400</f>
        <v>6.8287037037037036E-4</v>
      </c>
      <c r="L496" s="5">
        <f>8 / 86400</f>
        <v>9.2592592592592588E-5</v>
      </c>
    </row>
    <row r="497" spans="1:12" x14ac:dyDescent="0.25">
      <c r="A497" s="3">
        <v>45714.819490740745</v>
      </c>
      <c r="B497" t="s">
        <v>336</v>
      </c>
      <c r="C497" s="3">
        <v>45714.821608796294</v>
      </c>
      <c r="D497" t="s">
        <v>372</v>
      </c>
      <c r="E497" s="4">
        <v>1.5396332246661186</v>
      </c>
      <c r="F497" s="4">
        <v>350922.28147450299</v>
      </c>
      <c r="G497" s="4">
        <v>350923.82110772765</v>
      </c>
      <c r="H497" s="5">
        <f t="shared" si="4"/>
        <v>0</v>
      </c>
      <c r="I497" t="s">
        <v>296</v>
      </c>
      <c r="J497" t="s">
        <v>197</v>
      </c>
      <c r="K497" s="5">
        <f>183 / 86400</f>
        <v>2.1180555555555558E-3</v>
      </c>
      <c r="L497" s="5">
        <f>20 / 86400</f>
        <v>2.3148148148148149E-4</v>
      </c>
    </row>
    <row r="498" spans="1:12" x14ac:dyDescent="0.25">
      <c r="A498" s="3">
        <v>45714.821840277778</v>
      </c>
      <c r="B498" t="s">
        <v>372</v>
      </c>
      <c r="C498" s="3">
        <v>45714.822175925925</v>
      </c>
      <c r="D498" t="s">
        <v>373</v>
      </c>
      <c r="E498" s="4">
        <v>3.2572877049446107E-2</v>
      </c>
      <c r="F498" s="4">
        <v>350923.82762736379</v>
      </c>
      <c r="G498" s="4">
        <v>350923.86020024086</v>
      </c>
      <c r="H498" s="5">
        <f t="shared" si="4"/>
        <v>0</v>
      </c>
      <c r="I498" t="s">
        <v>28</v>
      </c>
      <c r="J498" t="s">
        <v>152</v>
      </c>
      <c r="K498" s="5">
        <f>29 / 86400</f>
        <v>3.3564814814814812E-4</v>
      </c>
      <c r="L498" s="5">
        <f>40 / 86400</f>
        <v>4.6296296296296298E-4</v>
      </c>
    </row>
    <row r="499" spans="1:12" x14ac:dyDescent="0.25">
      <c r="A499" s="3">
        <v>45714.822638888887</v>
      </c>
      <c r="B499" t="s">
        <v>373</v>
      </c>
      <c r="C499" s="3">
        <v>45714.823680555557</v>
      </c>
      <c r="D499" t="s">
        <v>74</v>
      </c>
      <c r="E499" s="4">
        <v>0.45069457614421843</v>
      </c>
      <c r="F499" s="4">
        <v>350923.86971102405</v>
      </c>
      <c r="G499" s="4">
        <v>350924.32040560019</v>
      </c>
      <c r="H499" s="5">
        <f t="shared" si="4"/>
        <v>0</v>
      </c>
      <c r="I499" t="s">
        <v>180</v>
      </c>
      <c r="J499" t="s">
        <v>20</v>
      </c>
      <c r="K499" s="5">
        <f>90 / 86400</f>
        <v>1.0416666666666667E-3</v>
      </c>
      <c r="L499" s="5">
        <f>20 / 86400</f>
        <v>2.3148148148148149E-4</v>
      </c>
    </row>
    <row r="500" spans="1:12" x14ac:dyDescent="0.25">
      <c r="A500" s="3">
        <v>45714.823912037042</v>
      </c>
      <c r="B500" t="s">
        <v>74</v>
      </c>
      <c r="C500" s="3">
        <v>45714.824837962966</v>
      </c>
      <c r="D500" t="s">
        <v>74</v>
      </c>
      <c r="E500" s="4">
        <v>0.49018513977527617</v>
      </c>
      <c r="F500" s="4">
        <v>350924.32226224983</v>
      </c>
      <c r="G500" s="4">
        <v>350924.81244738959</v>
      </c>
      <c r="H500" s="5">
        <f t="shared" si="4"/>
        <v>0</v>
      </c>
      <c r="I500" t="s">
        <v>299</v>
      </c>
      <c r="J500" t="s">
        <v>140</v>
      </c>
      <c r="K500" s="5">
        <f>80 / 86400</f>
        <v>9.2592592592592596E-4</v>
      </c>
      <c r="L500" s="5">
        <f>40 / 86400</f>
        <v>4.6296296296296298E-4</v>
      </c>
    </row>
    <row r="501" spans="1:12" x14ac:dyDescent="0.25">
      <c r="A501" s="3">
        <v>45714.825300925921</v>
      </c>
      <c r="B501" t="s">
        <v>74</v>
      </c>
      <c r="C501" s="3">
        <v>45714.826921296291</v>
      </c>
      <c r="D501" t="s">
        <v>280</v>
      </c>
      <c r="E501" s="4">
        <v>0.7351618186235428</v>
      </c>
      <c r="F501" s="4">
        <v>350924.85522669851</v>
      </c>
      <c r="G501" s="4">
        <v>350925.59038851713</v>
      </c>
      <c r="H501" s="5">
        <f t="shared" si="4"/>
        <v>0</v>
      </c>
      <c r="I501" t="s">
        <v>178</v>
      </c>
      <c r="J501" t="s">
        <v>25</v>
      </c>
      <c r="K501" s="5">
        <f>140 / 86400</f>
        <v>1.6203703703703703E-3</v>
      </c>
      <c r="L501" s="5">
        <f>40 / 86400</f>
        <v>4.6296296296296298E-4</v>
      </c>
    </row>
    <row r="502" spans="1:12" x14ac:dyDescent="0.25">
      <c r="A502" s="3">
        <v>45714.827384259261</v>
      </c>
      <c r="B502" t="s">
        <v>374</v>
      </c>
      <c r="C502" s="3">
        <v>45714.827615740738</v>
      </c>
      <c r="D502" t="s">
        <v>210</v>
      </c>
      <c r="E502" s="4">
        <v>1.2930996894836426E-2</v>
      </c>
      <c r="F502" s="4">
        <v>350925.64478093688</v>
      </c>
      <c r="G502" s="4">
        <v>350925.65771193377</v>
      </c>
      <c r="H502" s="5">
        <f t="shared" si="4"/>
        <v>0</v>
      </c>
      <c r="I502" t="s">
        <v>78</v>
      </c>
      <c r="J502" t="s">
        <v>32</v>
      </c>
      <c r="K502" s="5">
        <f>20 / 86400</f>
        <v>2.3148148148148149E-4</v>
      </c>
      <c r="L502" s="5">
        <f>19 / 86400</f>
        <v>2.199074074074074E-4</v>
      </c>
    </row>
    <row r="503" spans="1:12" x14ac:dyDescent="0.25">
      <c r="A503" s="3">
        <v>45714.827835648146</v>
      </c>
      <c r="B503" t="s">
        <v>210</v>
      </c>
      <c r="C503" s="3">
        <v>45714.828067129631</v>
      </c>
      <c r="D503" t="s">
        <v>375</v>
      </c>
      <c r="E503" s="4">
        <v>4.596722286939621E-2</v>
      </c>
      <c r="F503" s="4">
        <v>350925.66597940715</v>
      </c>
      <c r="G503" s="4">
        <v>350925.71194662998</v>
      </c>
      <c r="H503" s="5">
        <f t="shared" si="4"/>
        <v>0</v>
      </c>
      <c r="I503" t="s">
        <v>135</v>
      </c>
      <c r="J503" t="s">
        <v>157</v>
      </c>
      <c r="K503" s="5">
        <f>20 / 86400</f>
        <v>2.3148148148148149E-4</v>
      </c>
      <c r="L503" s="5">
        <f>20 / 86400</f>
        <v>2.3148148148148149E-4</v>
      </c>
    </row>
    <row r="504" spans="1:12" x14ac:dyDescent="0.25">
      <c r="A504" s="3">
        <v>45714.828298611115</v>
      </c>
      <c r="B504" t="s">
        <v>375</v>
      </c>
      <c r="C504" s="3">
        <v>45714.828530092593</v>
      </c>
      <c r="D504" t="s">
        <v>375</v>
      </c>
      <c r="E504" s="4">
        <v>1.1062275171279908E-3</v>
      </c>
      <c r="F504" s="4">
        <v>350925.71667572862</v>
      </c>
      <c r="G504" s="4">
        <v>350925.71778195613</v>
      </c>
      <c r="H504" s="5">
        <f t="shared" si="4"/>
        <v>0</v>
      </c>
      <c r="I504" t="s">
        <v>32</v>
      </c>
      <c r="J504" t="s">
        <v>22</v>
      </c>
      <c r="K504" s="5">
        <f>20 / 86400</f>
        <v>2.3148148148148149E-4</v>
      </c>
      <c r="L504" s="5">
        <f>12 / 86400</f>
        <v>1.3888888888888889E-4</v>
      </c>
    </row>
    <row r="505" spans="1:12" x14ac:dyDescent="0.25">
      <c r="A505" s="3">
        <v>45714.828668981485</v>
      </c>
      <c r="B505" t="s">
        <v>375</v>
      </c>
      <c r="C505" s="3">
        <v>45714.830949074079</v>
      </c>
      <c r="D505" t="s">
        <v>376</v>
      </c>
      <c r="E505" s="4">
        <v>1.0403695189952851</v>
      </c>
      <c r="F505" s="4">
        <v>350925.73143126565</v>
      </c>
      <c r="G505" s="4">
        <v>350926.77180078463</v>
      </c>
      <c r="H505" s="5">
        <f t="shared" si="4"/>
        <v>0</v>
      </c>
      <c r="I505" t="s">
        <v>314</v>
      </c>
      <c r="J505" t="s">
        <v>25</v>
      </c>
      <c r="K505" s="5">
        <f>197 / 86400</f>
        <v>2.2800925925925927E-3</v>
      </c>
      <c r="L505" s="5">
        <f>60 / 86400</f>
        <v>6.9444444444444447E-4</v>
      </c>
    </row>
    <row r="506" spans="1:12" x14ac:dyDescent="0.25">
      <c r="A506" s="3">
        <v>45714.831643518519</v>
      </c>
      <c r="B506" t="s">
        <v>377</v>
      </c>
      <c r="C506" s="3">
        <v>45714.833611111113</v>
      </c>
      <c r="D506" t="s">
        <v>370</v>
      </c>
      <c r="E506" s="4">
        <v>1.0317805614471436</v>
      </c>
      <c r="F506" s="4">
        <v>350926.80494559946</v>
      </c>
      <c r="G506" s="4">
        <v>350927.83672616089</v>
      </c>
      <c r="H506" s="5">
        <f t="shared" si="4"/>
        <v>0</v>
      </c>
      <c r="I506" t="s">
        <v>200</v>
      </c>
      <c r="J506" t="s">
        <v>140</v>
      </c>
      <c r="K506" s="5">
        <f>170 / 86400</f>
        <v>1.9675925925925924E-3</v>
      </c>
      <c r="L506" s="5">
        <f>40 / 86400</f>
        <v>4.6296296296296298E-4</v>
      </c>
    </row>
    <row r="507" spans="1:12" x14ac:dyDescent="0.25">
      <c r="A507" s="3">
        <v>45714.834074074075</v>
      </c>
      <c r="B507" t="s">
        <v>370</v>
      </c>
      <c r="C507" s="3">
        <v>45714.835219907407</v>
      </c>
      <c r="D507" t="s">
        <v>370</v>
      </c>
      <c r="E507" s="4">
        <v>0.43671299344301223</v>
      </c>
      <c r="F507" s="4">
        <v>350927.85859636177</v>
      </c>
      <c r="G507" s="4">
        <v>350928.29530935519</v>
      </c>
      <c r="H507" s="5">
        <f t="shared" si="4"/>
        <v>0</v>
      </c>
      <c r="I507" t="s">
        <v>136</v>
      </c>
      <c r="J507" t="s">
        <v>28</v>
      </c>
      <c r="K507" s="5">
        <f>99 / 86400</f>
        <v>1.1458333333333333E-3</v>
      </c>
      <c r="L507" s="5">
        <f>39 / 86400</f>
        <v>4.5138888888888887E-4</v>
      </c>
    </row>
    <row r="508" spans="1:12" x14ac:dyDescent="0.25">
      <c r="A508" s="3">
        <v>45714.8356712963</v>
      </c>
      <c r="B508" t="s">
        <v>378</v>
      </c>
      <c r="C508" s="3">
        <v>45714.836643518516</v>
      </c>
      <c r="D508" t="s">
        <v>379</v>
      </c>
      <c r="E508" s="4">
        <v>0.56033884578943249</v>
      </c>
      <c r="F508" s="4">
        <v>350928.35547729023</v>
      </c>
      <c r="G508" s="4">
        <v>350928.915816136</v>
      </c>
      <c r="H508" s="5">
        <f t="shared" ref="H508:H571" si="6">0 / 86400</f>
        <v>0</v>
      </c>
      <c r="I508" t="s">
        <v>298</v>
      </c>
      <c r="J508" t="s">
        <v>37</v>
      </c>
      <c r="K508" s="5">
        <f>84 / 86400</f>
        <v>9.7222222222222219E-4</v>
      </c>
      <c r="L508" s="5">
        <f>20 / 86400</f>
        <v>2.3148148148148149E-4</v>
      </c>
    </row>
    <row r="509" spans="1:12" x14ac:dyDescent="0.25">
      <c r="A509" s="3">
        <v>45714.836875000001</v>
      </c>
      <c r="B509" t="s">
        <v>369</v>
      </c>
      <c r="C509" s="3">
        <v>45714.837337962963</v>
      </c>
      <c r="D509" t="s">
        <v>369</v>
      </c>
      <c r="E509" s="4">
        <v>0.35461049395799638</v>
      </c>
      <c r="F509" s="4">
        <v>350929.06560055469</v>
      </c>
      <c r="G509" s="4">
        <v>350929.42021104868</v>
      </c>
      <c r="H509" s="5">
        <f t="shared" si="6"/>
        <v>0</v>
      </c>
      <c r="I509" t="s">
        <v>69</v>
      </c>
      <c r="J509" t="s">
        <v>155</v>
      </c>
      <c r="K509" s="5">
        <f>40 / 86400</f>
        <v>4.6296296296296298E-4</v>
      </c>
      <c r="L509" s="5">
        <f>11 / 86400</f>
        <v>1.273148148148148E-4</v>
      </c>
    </row>
    <row r="510" spans="1:12" x14ac:dyDescent="0.25">
      <c r="A510" s="3">
        <v>45714.837465277778</v>
      </c>
      <c r="B510" t="s">
        <v>380</v>
      </c>
      <c r="C510" s="3">
        <v>45714.841111111113</v>
      </c>
      <c r="D510" t="s">
        <v>365</v>
      </c>
      <c r="E510" s="4">
        <v>2.1215627644062041</v>
      </c>
      <c r="F510" s="4">
        <v>350929.44790705451</v>
      </c>
      <c r="G510" s="4">
        <v>350931.5694698189</v>
      </c>
      <c r="H510" s="5">
        <f t="shared" si="6"/>
        <v>0</v>
      </c>
      <c r="I510" t="s">
        <v>266</v>
      </c>
      <c r="J510" t="s">
        <v>37</v>
      </c>
      <c r="K510" s="5">
        <f>315 / 86400</f>
        <v>3.6458333333333334E-3</v>
      </c>
      <c r="L510" s="5">
        <f>60 / 86400</f>
        <v>6.9444444444444447E-4</v>
      </c>
    </row>
    <row r="511" spans="1:12" x14ac:dyDescent="0.25">
      <c r="A511" s="3">
        <v>45714.841805555552</v>
      </c>
      <c r="B511" t="s">
        <v>365</v>
      </c>
      <c r="C511" s="3">
        <v>45714.842499999999</v>
      </c>
      <c r="D511" t="s">
        <v>381</v>
      </c>
      <c r="E511" s="4">
        <v>0.43240295642614363</v>
      </c>
      <c r="F511" s="4">
        <v>350931.59766408778</v>
      </c>
      <c r="G511" s="4">
        <v>350932.03006704419</v>
      </c>
      <c r="H511" s="5">
        <f t="shared" si="6"/>
        <v>0</v>
      </c>
      <c r="I511" t="s">
        <v>299</v>
      </c>
      <c r="J511" t="s">
        <v>170</v>
      </c>
      <c r="K511" s="5">
        <f>60 / 86400</f>
        <v>6.9444444444444447E-4</v>
      </c>
      <c r="L511" s="5">
        <f>60 / 86400</f>
        <v>6.9444444444444447E-4</v>
      </c>
    </row>
    <row r="512" spans="1:12" x14ac:dyDescent="0.25">
      <c r="A512" s="3">
        <v>45714.843194444446</v>
      </c>
      <c r="B512" t="s">
        <v>382</v>
      </c>
      <c r="C512" s="3">
        <v>45714.845046296294</v>
      </c>
      <c r="D512" t="s">
        <v>381</v>
      </c>
      <c r="E512" s="4">
        <v>0.93157963269948962</v>
      </c>
      <c r="F512" s="4">
        <v>350932.19266415579</v>
      </c>
      <c r="G512" s="4">
        <v>350933.12424378848</v>
      </c>
      <c r="H512" s="5">
        <f t="shared" si="6"/>
        <v>0</v>
      </c>
      <c r="I512" t="s">
        <v>188</v>
      </c>
      <c r="J512" t="s">
        <v>151</v>
      </c>
      <c r="K512" s="5">
        <f>160 / 86400</f>
        <v>1.8518518518518519E-3</v>
      </c>
      <c r="L512" s="5">
        <f>40 / 86400</f>
        <v>4.6296296296296298E-4</v>
      </c>
    </row>
    <row r="513" spans="1:12" x14ac:dyDescent="0.25">
      <c r="A513" s="3">
        <v>45714.845509259263</v>
      </c>
      <c r="B513" t="s">
        <v>381</v>
      </c>
      <c r="C513" s="3">
        <v>45714.846435185187</v>
      </c>
      <c r="D513" t="s">
        <v>383</v>
      </c>
      <c r="E513" s="4">
        <v>0.10476100063323975</v>
      </c>
      <c r="F513" s="4">
        <v>350933.16077423753</v>
      </c>
      <c r="G513" s="4">
        <v>350933.26553523814</v>
      </c>
      <c r="H513" s="5">
        <f t="shared" si="6"/>
        <v>0</v>
      </c>
      <c r="I513" t="s">
        <v>70</v>
      </c>
      <c r="J513" t="s">
        <v>77</v>
      </c>
      <c r="K513" s="5">
        <f>80 / 86400</f>
        <v>9.2592592592592596E-4</v>
      </c>
      <c r="L513" s="5">
        <f>94 / 86400</f>
        <v>1.0879629629629629E-3</v>
      </c>
    </row>
    <row r="514" spans="1:12" x14ac:dyDescent="0.25">
      <c r="A514" s="3">
        <v>45714.84752314815</v>
      </c>
      <c r="B514" t="s">
        <v>383</v>
      </c>
      <c r="C514" s="3">
        <v>45714.847986111112</v>
      </c>
      <c r="D514" t="s">
        <v>384</v>
      </c>
      <c r="E514" s="4">
        <v>0.12264163309335709</v>
      </c>
      <c r="F514" s="4">
        <v>350933.29347004078</v>
      </c>
      <c r="G514" s="4">
        <v>350933.41611167387</v>
      </c>
      <c r="H514" s="5">
        <f t="shared" si="6"/>
        <v>0</v>
      </c>
      <c r="I514" t="s">
        <v>64</v>
      </c>
      <c r="J514" t="s">
        <v>31</v>
      </c>
      <c r="K514" s="5">
        <f>40 / 86400</f>
        <v>4.6296296296296298E-4</v>
      </c>
      <c r="L514" s="5">
        <f>8 / 86400</f>
        <v>9.2592592592592588E-5</v>
      </c>
    </row>
    <row r="515" spans="1:12" x14ac:dyDescent="0.25">
      <c r="A515" s="3">
        <v>45714.848078703704</v>
      </c>
      <c r="B515" t="s">
        <v>385</v>
      </c>
      <c r="C515" s="3">
        <v>45714.848900462966</v>
      </c>
      <c r="D515" t="s">
        <v>386</v>
      </c>
      <c r="E515" s="4">
        <v>0.29295205521583556</v>
      </c>
      <c r="F515" s="4">
        <v>350933.41948604968</v>
      </c>
      <c r="G515" s="4">
        <v>350933.71243810485</v>
      </c>
      <c r="H515" s="5">
        <f t="shared" si="6"/>
        <v>0</v>
      </c>
      <c r="I515" t="s">
        <v>134</v>
      </c>
      <c r="J515" t="s">
        <v>46</v>
      </c>
      <c r="K515" s="5">
        <f>71 / 86400</f>
        <v>8.2175925925925927E-4</v>
      </c>
      <c r="L515" s="5">
        <f>37 / 86400</f>
        <v>4.2824074074074075E-4</v>
      </c>
    </row>
    <row r="516" spans="1:12" x14ac:dyDescent="0.25">
      <c r="A516" s="3">
        <v>45714.849328703705</v>
      </c>
      <c r="B516" t="s">
        <v>189</v>
      </c>
      <c r="C516" s="3">
        <v>45714.852141203708</v>
      </c>
      <c r="D516" t="s">
        <v>290</v>
      </c>
      <c r="E516" s="4">
        <v>0.30955810344219209</v>
      </c>
      <c r="F516" s="4">
        <v>350933.73728381842</v>
      </c>
      <c r="G516" s="4">
        <v>350934.04684192187</v>
      </c>
      <c r="H516" s="5">
        <f t="shared" si="6"/>
        <v>0</v>
      </c>
      <c r="I516" t="s">
        <v>42</v>
      </c>
      <c r="J516" t="s">
        <v>77</v>
      </c>
      <c r="K516" s="5">
        <f>243 / 86400</f>
        <v>2.8124999999999999E-3</v>
      </c>
      <c r="L516" s="5">
        <f>20 / 86400</f>
        <v>2.3148148148148149E-4</v>
      </c>
    </row>
    <row r="517" spans="1:12" x14ac:dyDescent="0.25">
      <c r="A517" s="3">
        <v>45714.852372685185</v>
      </c>
      <c r="B517" t="s">
        <v>290</v>
      </c>
      <c r="C517" s="3">
        <v>45714.853298611109</v>
      </c>
      <c r="D517" t="s">
        <v>387</v>
      </c>
      <c r="E517" s="4">
        <v>0.14061085188388825</v>
      </c>
      <c r="F517" s="4">
        <v>350934.0751156045</v>
      </c>
      <c r="G517" s="4">
        <v>350934.21572645643</v>
      </c>
      <c r="H517" s="5">
        <f t="shared" si="6"/>
        <v>0</v>
      </c>
      <c r="I517" t="s">
        <v>52</v>
      </c>
      <c r="J517" t="s">
        <v>135</v>
      </c>
      <c r="K517" s="5">
        <f>80 / 86400</f>
        <v>9.2592592592592596E-4</v>
      </c>
      <c r="L517" s="5">
        <f>4 / 86400</f>
        <v>4.6296296296296294E-5</v>
      </c>
    </row>
    <row r="518" spans="1:12" x14ac:dyDescent="0.25">
      <c r="A518" s="3">
        <v>45714.853344907402</v>
      </c>
      <c r="B518" t="s">
        <v>387</v>
      </c>
      <c r="C518" s="3">
        <v>45714.854502314818</v>
      </c>
      <c r="D518" t="s">
        <v>294</v>
      </c>
      <c r="E518" s="4">
        <v>0.64308048558235165</v>
      </c>
      <c r="F518" s="4">
        <v>350934.22168555012</v>
      </c>
      <c r="G518" s="4">
        <v>350934.86476603569</v>
      </c>
      <c r="H518" s="5">
        <f t="shared" si="6"/>
        <v>0</v>
      </c>
      <c r="I518" t="s">
        <v>69</v>
      </c>
      <c r="J518" t="s">
        <v>134</v>
      </c>
      <c r="K518" s="5">
        <f>100 / 86400</f>
        <v>1.1574074074074073E-3</v>
      </c>
      <c r="L518" s="5">
        <f>40 / 86400</f>
        <v>4.6296296296296298E-4</v>
      </c>
    </row>
    <row r="519" spans="1:12" x14ac:dyDescent="0.25">
      <c r="A519" s="3">
        <v>45714.854965277773</v>
      </c>
      <c r="B519" t="s">
        <v>338</v>
      </c>
      <c r="C519" s="3">
        <v>45714.856261574074</v>
      </c>
      <c r="D519" t="s">
        <v>92</v>
      </c>
      <c r="E519" s="4">
        <v>0.45657484436035156</v>
      </c>
      <c r="F519" s="4">
        <v>350934.93975802377</v>
      </c>
      <c r="G519" s="4">
        <v>350935.39633286814</v>
      </c>
      <c r="H519" s="5">
        <f t="shared" si="6"/>
        <v>0</v>
      </c>
      <c r="I519" t="s">
        <v>52</v>
      </c>
      <c r="J519" t="s">
        <v>46</v>
      </c>
      <c r="K519" s="5">
        <f>112 / 86400</f>
        <v>1.2962962962962963E-3</v>
      </c>
      <c r="L519" s="5">
        <f>20 / 86400</f>
        <v>2.3148148148148149E-4</v>
      </c>
    </row>
    <row r="520" spans="1:12" x14ac:dyDescent="0.25">
      <c r="A520" s="3">
        <v>45714.856493055559</v>
      </c>
      <c r="B520" t="s">
        <v>92</v>
      </c>
      <c r="C520" s="3">
        <v>45714.856724537036</v>
      </c>
      <c r="D520" t="s">
        <v>92</v>
      </c>
      <c r="E520" s="4">
        <v>3.3454261660575864E-2</v>
      </c>
      <c r="F520" s="4">
        <v>350935.4155951275</v>
      </c>
      <c r="G520" s="4">
        <v>350935.44904938916</v>
      </c>
      <c r="H520" s="5">
        <f t="shared" si="6"/>
        <v>0</v>
      </c>
      <c r="I520" t="s">
        <v>46</v>
      </c>
      <c r="J520" t="s">
        <v>135</v>
      </c>
      <c r="K520" s="5">
        <f>20 / 86400</f>
        <v>2.3148148148148149E-4</v>
      </c>
      <c r="L520" s="5">
        <f>20 / 86400</f>
        <v>2.3148148148148149E-4</v>
      </c>
    </row>
    <row r="521" spans="1:12" x14ac:dyDescent="0.25">
      <c r="A521" s="3">
        <v>45714.856956018513</v>
      </c>
      <c r="B521" t="s">
        <v>92</v>
      </c>
      <c r="C521" s="3">
        <v>45714.857881944445</v>
      </c>
      <c r="D521" t="s">
        <v>92</v>
      </c>
      <c r="E521" s="4">
        <v>0.14442170345783234</v>
      </c>
      <c r="F521" s="4">
        <v>350935.47434974194</v>
      </c>
      <c r="G521" s="4">
        <v>350935.61877144541</v>
      </c>
      <c r="H521" s="5">
        <f t="shared" si="6"/>
        <v>0</v>
      </c>
      <c r="I521" t="s">
        <v>98</v>
      </c>
      <c r="J521" t="s">
        <v>135</v>
      </c>
      <c r="K521" s="5">
        <f>80 / 86400</f>
        <v>9.2592592592592596E-4</v>
      </c>
      <c r="L521" s="5">
        <f>20 / 86400</f>
        <v>2.3148148148148149E-4</v>
      </c>
    </row>
    <row r="522" spans="1:12" x14ac:dyDescent="0.25">
      <c r="A522" s="3">
        <v>45714.858113425929</v>
      </c>
      <c r="B522" t="s">
        <v>92</v>
      </c>
      <c r="C522" s="3">
        <v>45714.858576388884</v>
      </c>
      <c r="D522" t="s">
        <v>92</v>
      </c>
      <c r="E522" s="4">
        <v>4.8347100913524628E-2</v>
      </c>
      <c r="F522" s="4">
        <v>350935.65867916116</v>
      </c>
      <c r="G522" s="4">
        <v>350935.70702626213</v>
      </c>
      <c r="H522" s="5">
        <f t="shared" si="6"/>
        <v>0</v>
      </c>
      <c r="I522" t="s">
        <v>70</v>
      </c>
      <c r="J522" t="s">
        <v>152</v>
      </c>
      <c r="K522" s="5">
        <f>40 / 86400</f>
        <v>4.6296296296296298E-4</v>
      </c>
      <c r="L522" s="5">
        <f>20 / 86400</f>
        <v>2.3148148148148149E-4</v>
      </c>
    </row>
    <row r="523" spans="1:12" x14ac:dyDescent="0.25">
      <c r="A523" s="3">
        <v>45714.858807870369</v>
      </c>
      <c r="B523" t="s">
        <v>92</v>
      </c>
      <c r="C523" s="3">
        <v>45714.8597337963</v>
      </c>
      <c r="D523" t="s">
        <v>92</v>
      </c>
      <c r="E523" s="4">
        <v>0.64203514510393145</v>
      </c>
      <c r="F523" s="4">
        <v>350935.73726203019</v>
      </c>
      <c r="G523" s="4">
        <v>350936.37929717527</v>
      </c>
      <c r="H523" s="5">
        <f t="shared" si="6"/>
        <v>0</v>
      </c>
      <c r="I523" t="s">
        <v>178</v>
      </c>
      <c r="J523" t="s">
        <v>181</v>
      </c>
      <c r="K523" s="5">
        <f>80 / 86400</f>
        <v>9.2592592592592596E-4</v>
      </c>
      <c r="L523" s="5">
        <f>40 / 86400</f>
        <v>4.6296296296296298E-4</v>
      </c>
    </row>
    <row r="524" spans="1:12" x14ac:dyDescent="0.25">
      <c r="A524" s="3">
        <v>45714.860196759255</v>
      </c>
      <c r="B524" t="s">
        <v>92</v>
      </c>
      <c r="C524" s="3">
        <v>45714.86042824074</v>
      </c>
      <c r="D524" t="s">
        <v>92</v>
      </c>
      <c r="E524" s="4">
        <v>4.7571215748786928E-2</v>
      </c>
      <c r="F524" s="4">
        <v>350936.44329647545</v>
      </c>
      <c r="G524" s="4">
        <v>350936.49086769123</v>
      </c>
      <c r="H524" s="5">
        <f t="shared" si="6"/>
        <v>0</v>
      </c>
      <c r="I524" t="s">
        <v>157</v>
      </c>
      <c r="J524" t="s">
        <v>70</v>
      </c>
      <c r="K524" s="5">
        <f>20 / 86400</f>
        <v>2.3148148148148149E-4</v>
      </c>
      <c r="L524" s="5">
        <f>37 / 86400</f>
        <v>4.2824074074074075E-4</v>
      </c>
    </row>
    <row r="525" spans="1:12" x14ac:dyDescent="0.25">
      <c r="A525" s="3">
        <v>45714.860856481479</v>
      </c>
      <c r="B525" t="s">
        <v>92</v>
      </c>
      <c r="C525" s="3">
        <v>45714.862245370372</v>
      </c>
      <c r="D525" t="s">
        <v>168</v>
      </c>
      <c r="E525" s="4">
        <v>1.1466504852175712</v>
      </c>
      <c r="F525" s="4">
        <v>350936.5007354198</v>
      </c>
      <c r="G525" s="4">
        <v>350937.64738590503</v>
      </c>
      <c r="H525" s="5">
        <f t="shared" si="6"/>
        <v>0</v>
      </c>
      <c r="I525" t="s">
        <v>167</v>
      </c>
      <c r="J525" t="s">
        <v>203</v>
      </c>
      <c r="K525" s="5">
        <f>120 / 86400</f>
        <v>1.3888888888888889E-3</v>
      </c>
      <c r="L525" s="5">
        <f>20 / 86400</f>
        <v>2.3148148148148149E-4</v>
      </c>
    </row>
    <row r="526" spans="1:12" x14ac:dyDescent="0.25">
      <c r="A526" s="3">
        <v>45714.862476851849</v>
      </c>
      <c r="B526" t="s">
        <v>168</v>
      </c>
      <c r="C526" s="3">
        <v>45714.862708333334</v>
      </c>
      <c r="D526" t="s">
        <v>168</v>
      </c>
      <c r="E526" s="4">
        <v>5.1460394561290743E-2</v>
      </c>
      <c r="F526" s="4">
        <v>350937.67302470957</v>
      </c>
      <c r="G526" s="4">
        <v>350937.72448510415</v>
      </c>
      <c r="H526" s="5">
        <f t="shared" si="6"/>
        <v>0</v>
      </c>
      <c r="I526" t="s">
        <v>61</v>
      </c>
      <c r="J526" t="s">
        <v>70</v>
      </c>
      <c r="K526" s="5">
        <f>20 / 86400</f>
        <v>2.3148148148148149E-4</v>
      </c>
      <c r="L526" s="5">
        <f>11 / 86400</f>
        <v>1.273148148148148E-4</v>
      </c>
    </row>
    <row r="527" spans="1:12" x14ac:dyDescent="0.25">
      <c r="A527" s="3">
        <v>45714.862835648149</v>
      </c>
      <c r="B527" t="s">
        <v>168</v>
      </c>
      <c r="C527" s="3">
        <v>45714.863067129627</v>
      </c>
      <c r="D527" t="s">
        <v>168</v>
      </c>
      <c r="E527" s="4">
        <v>1.9552600324153901E-2</v>
      </c>
      <c r="F527" s="4">
        <v>350937.72635891323</v>
      </c>
      <c r="G527" s="4">
        <v>350937.74591151357</v>
      </c>
      <c r="H527" s="5">
        <f t="shared" si="6"/>
        <v>0</v>
      </c>
      <c r="I527" t="s">
        <v>77</v>
      </c>
      <c r="J527" t="s">
        <v>152</v>
      </c>
      <c r="K527" s="5">
        <f>20 / 86400</f>
        <v>2.3148148148148149E-4</v>
      </c>
      <c r="L527" s="5">
        <f>40 / 86400</f>
        <v>4.6296296296296298E-4</v>
      </c>
    </row>
    <row r="528" spans="1:12" x14ac:dyDescent="0.25">
      <c r="A528" s="3">
        <v>45714.863530092596</v>
      </c>
      <c r="B528" t="s">
        <v>168</v>
      </c>
      <c r="C528" s="3">
        <v>45714.863993055551</v>
      </c>
      <c r="D528" t="s">
        <v>168</v>
      </c>
      <c r="E528" s="4">
        <v>7.5639264702796929E-2</v>
      </c>
      <c r="F528" s="4">
        <v>350937.81756624632</v>
      </c>
      <c r="G528" s="4">
        <v>350937.89320551103</v>
      </c>
      <c r="H528" s="5">
        <f t="shared" si="6"/>
        <v>0</v>
      </c>
      <c r="I528" t="s">
        <v>131</v>
      </c>
      <c r="J528" t="s">
        <v>147</v>
      </c>
      <c r="K528" s="5">
        <f>40 / 86400</f>
        <v>4.6296296296296298E-4</v>
      </c>
      <c r="L528" s="5">
        <f>20 / 86400</f>
        <v>2.3148148148148149E-4</v>
      </c>
    </row>
    <row r="529" spans="1:12" x14ac:dyDescent="0.25">
      <c r="A529" s="3">
        <v>45714.864224537036</v>
      </c>
      <c r="B529" t="s">
        <v>168</v>
      </c>
      <c r="C529" s="3">
        <v>45714.865381944444</v>
      </c>
      <c r="D529" t="s">
        <v>168</v>
      </c>
      <c r="E529" s="4">
        <v>0.16083827722072602</v>
      </c>
      <c r="F529" s="4">
        <v>350937.93178240315</v>
      </c>
      <c r="G529" s="4">
        <v>350938.0926206804</v>
      </c>
      <c r="H529" s="5">
        <f t="shared" si="6"/>
        <v>0</v>
      </c>
      <c r="I529" t="s">
        <v>31</v>
      </c>
      <c r="J529" t="s">
        <v>135</v>
      </c>
      <c r="K529" s="5">
        <f>100 / 86400</f>
        <v>1.1574074074074073E-3</v>
      </c>
      <c r="L529" s="5">
        <f>20 / 86400</f>
        <v>2.3148148148148149E-4</v>
      </c>
    </row>
    <row r="530" spans="1:12" x14ac:dyDescent="0.25">
      <c r="A530" s="3">
        <v>45714.865613425922</v>
      </c>
      <c r="B530" t="s">
        <v>168</v>
      </c>
      <c r="C530" s="3">
        <v>45714.866307870368</v>
      </c>
      <c r="D530" t="s">
        <v>168</v>
      </c>
      <c r="E530" s="4">
        <v>9.6645006954669946E-2</v>
      </c>
      <c r="F530" s="4">
        <v>350938.13275353966</v>
      </c>
      <c r="G530" s="4">
        <v>350938.22939854662</v>
      </c>
      <c r="H530" s="5">
        <f t="shared" si="6"/>
        <v>0</v>
      </c>
      <c r="I530" t="s">
        <v>98</v>
      </c>
      <c r="J530" t="s">
        <v>135</v>
      </c>
      <c r="K530" s="5">
        <f>60 / 86400</f>
        <v>6.9444444444444447E-4</v>
      </c>
      <c r="L530" s="5">
        <f>20 / 86400</f>
        <v>2.3148148148148149E-4</v>
      </c>
    </row>
    <row r="531" spans="1:12" x14ac:dyDescent="0.25">
      <c r="A531" s="3">
        <v>45714.866539351853</v>
      </c>
      <c r="B531" t="s">
        <v>168</v>
      </c>
      <c r="C531" s="3">
        <v>45714.867233796293</v>
      </c>
      <c r="D531" t="s">
        <v>168</v>
      </c>
      <c r="E531" s="4">
        <v>5.7045619010925294E-2</v>
      </c>
      <c r="F531" s="4">
        <v>350938.23510467482</v>
      </c>
      <c r="G531" s="4">
        <v>350938.29215029383</v>
      </c>
      <c r="H531" s="5">
        <f t="shared" si="6"/>
        <v>0</v>
      </c>
      <c r="I531" t="s">
        <v>102</v>
      </c>
      <c r="J531" t="s">
        <v>102</v>
      </c>
      <c r="K531" s="5">
        <f>60 / 86400</f>
        <v>6.9444444444444447E-4</v>
      </c>
      <c r="L531" s="5">
        <f>20 / 86400</f>
        <v>2.3148148148148149E-4</v>
      </c>
    </row>
    <row r="532" spans="1:12" x14ac:dyDescent="0.25">
      <c r="A532" s="3">
        <v>45714.867465277777</v>
      </c>
      <c r="B532" t="s">
        <v>187</v>
      </c>
      <c r="C532" s="3">
        <v>45714.868159722224</v>
      </c>
      <c r="D532" t="s">
        <v>168</v>
      </c>
      <c r="E532" s="4">
        <v>0.38495732575654984</v>
      </c>
      <c r="F532" s="4">
        <v>350938.37937095686</v>
      </c>
      <c r="G532" s="4">
        <v>350938.76432828262</v>
      </c>
      <c r="H532" s="5">
        <f t="shared" si="6"/>
        <v>0</v>
      </c>
      <c r="I532" t="s">
        <v>174</v>
      </c>
      <c r="J532" t="s">
        <v>134</v>
      </c>
      <c r="K532" s="5">
        <f>60 / 86400</f>
        <v>6.9444444444444447E-4</v>
      </c>
      <c r="L532" s="5">
        <f>20 / 86400</f>
        <v>2.3148148148148149E-4</v>
      </c>
    </row>
    <row r="533" spans="1:12" x14ac:dyDescent="0.25">
      <c r="A533" s="3">
        <v>45714.868391203709</v>
      </c>
      <c r="B533" t="s">
        <v>168</v>
      </c>
      <c r="C533" s="3">
        <v>45714.869085648148</v>
      </c>
      <c r="D533" t="s">
        <v>168</v>
      </c>
      <c r="E533" s="4">
        <v>0.41872147065401077</v>
      </c>
      <c r="F533" s="4">
        <v>350938.76808513631</v>
      </c>
      <c r="G533" s="4">
        <v>350939.18680660694</v>
      </c>
      <c r="H533" s="5">
        <f t="shared" si="6"/>
        <v>0</v>
      </c>
      <c r="I533" t="s">
        <v>299</v>
      </c>
      <c r="J533" t="s">
        <v>131</v>
      </c>
      <c r="K533" s="5">
        <f>60 / 86400</f>
        <v>6.9444444444444447E-4</v>
      </c>
      <c r="L533" s="5">
        <f>40 / 86400</f>
        <v>4.6296296296296298E-4</v>
      </c>
    </row>
    <row r="534" spans="1:12" x14ac:dyDescent="0.25">
      <c r="A534" s="3">
        <v>45714.86954861111</v>
      </c>
      <c r="B534" t="s">
        <v>168</v>
      </c>
      <c r="C534" s="3">
        <v>45714.872789351852</v>
      </c>
      <c r="D534" t="s">
        <v>168</v>
      </c>
      <c r="E534" s="4">
        <v>2.4661719276905059</v>
      </c>
      <c r="F534" s="4">
        <v>350939.34354374825</v>
      </c>
      <c r="G534" s="4">
        <v>350941.80971567595</v>
      </c>
      <c r="H534" s="5">
        <f t="shared" si="6"/>
        <v>0</v>
      </c>
      <c r="I534" t="s">
        <v>150</v>
      </c>
      <c r="J534" t="s">
        <v>155</v>
      </c>
      <c r="K534" s="5">
        <f>280 / 86400</f>
        <v>3.2407407407407406E-3</v>
      </c>
      <c r="L534" s="5">
        <f>40 / 86400</f>
        <v>4.6296296296296298E-4</v>
      </c>
    </row>
    <row r="535" spans="1:12" x14ac:dyDescent="0.25">
      <c r="A535" s="3">
        <v>45714.873252314814</v>
      </c>
      <c r="B535" t="s">
        <v>168</v>
      </c>
      <c r="C535" s="3">
        <v>45714.873715277776</v>
      </c>
      <c r="D535" t="s">
        <v>302</v>
      </c>
      <c r="E535" s="4">
        <v>4.6598184585571287E-2</v>
      </c>
      <c r="F535" s="4">
        <v>350941.85177257424</v>
      </c>
      <c r="G535" s="4">
        <v>350941.8983707588</v>
      </c>
      <c r="H535" s="5">
        <f t="shared" si="6"/>
        <v>0</v>
      </c>
      <c r="I535" t="s">
        <v>31</v>
      </c>
      <c r="J535" t="s">
        <v>152</v>
      </c>
      <c r="K535" s="5">
        <f>40 / 86400</f>
        <v>4.6296296296296298E-4</v>
      </c>
      <c r="L535" s="5">
        <f>20 / 86400</f>
        <v>2.3148148148148149E-4</v>
      </c>
    </row>
    <row r="536" spans="1:12" x14ac:dyDescent="0.25">
      <c r="A536" s="3">
        <v>45714.87394675926</v>
      </c>
      <c r="B536" t="s">
        <v>302</v>
      </c>
      <c r="C536" s="3">
        <v>45714.875104166669</v>
      </c>
      <c r="D536" t="s">
        <v>65</v>
      </c>
      <c r="E536" s="4">
        <v>0.72717183142900466</v>
      </c>
      <c r="F536" s="4">
        <v>350941.91277595749</v>
      </c>
      <c r="G536" s="4">
        <v>350942.63994778891</v>
      </c>
      <c r="H536" s="5">
        <f t="shared" si="6"/>
        <v>0</v>
      </c>
      <c r="I536" t="s">
        <v>180</v>
      </c>
      <c r="J536" t="s">
        <v>170</v>
      </c>
      <c r="K536" s="5">
        <f>100 / 86400</f>
        <v>1.1574074074074073E-3</v>
      </c>
      <c r="L536" s="5">
        <f>40 / 86400</f>
        <v>4.6296296296296298E-4</v>
      </c>
    </row>
    <row r="537" spans="1:12" x14ac:dyDescent="0.25">
      <c r="A537" s="3">
        <v>45714.875567129631</v>
      </c>
      <c r="B537" t="s">
        <v>303</v>
      </c>
      <c r="C537" s="3">
        <v>45714.875798611116</v>
      </c>
      <c r="D537" t="s">
        <v>388</v>
      </c>
      <c r="E537" s="4">
        <v>1.5477865815162658E-2</v>
      </c>
      <c r="F537" s="4">
        <v>350942.68483384483</v>
      </c>
      <c r="G537" s="4">
        <v>350942.70031171065</v>
      </c>
      <c r="H537" s="5">
        <f t="shared" si="6"/>
        <v>0</v>
      </c>
      <c r="I537" t="s">
        <v>132</v>
      </c>
      <c r="J537" t="s">
        <v>102</v>
      </c>
      <c r="K537" s="5">
        <f>20 / 86400</f>
        <v>2.3148148148148149E-4</v>
      </c>
      <c r="L537" s="5">
        <f>60 / 86400</f>
        <v>6.9444444444444447E-4</v>
      </c>
    </row>
    <row r="538" spans="1:12" x14ac:dyDescent="0.25">
      <c r="A538" s="3">
        <v>45714.876493055555</v>
      </c>
      <c r="B538" t="s">
        <v>388</v>
      </c>
      <c r="C538" s="3">
        <v>45714.87672453704</v>
      </c>
      <c r="D538" t="s">
        <v>388</v>
      </c>
      <c r="E538" s="4">
        <v>2.0432104110717775E-2</v>
      </c>
      <c r="F538" s="4">
        <v>350942.72694186796</v>
      </c>
      <c r="G538" s="4">
        <v>350942.74737397203</v>
      </c>
      <c r="H538" s="5">
        <f t="shared" si="6"/>
        <v>0</v>
      </c>
      <c r="I538" t="s">
        <v>78</v>
      </c>
      <c r="J538" t="s">
        <v>152</v>
      </c>
      <c r="K538" s="5">
        <f>20 / 86400</f>
        <v>2.3148148148148149E-4</v>
      </c>
      <c r="L538" s="5">
        <f>20 / 86400</f>
        <v>2.3148148148148149E-4</v>
      </c>
    </row>
    <row r="539" spans="1:12" x14ac:dyDescent="0.25">
      <c r="A539" s="3">
        <v>45714.876956018517</v>
      </c>
      <c r="B539" t="s">
        <v>65</v>
      </c>
      <c r="C539" s="3">
        <v>45714.877187499995</v>
      </c>
      <c r="D539" t="s">
        <v>65</v>
      </c>
      <c r="E539" s="4">
        <v>2.0215342700481413E-2</v>
      </c>
      <c r="F539" s="4">
        <v>350942.76517693495</v>
      </c>
      <c r="G539" s="4">
        <v>350942.78539227764</v>
      </c>
      <c r="H539" s="5">
        <f t="shared" si="6"/>
        <v>0</v>
      </c>
      <c r="I539" t="s">
        <v>102</v>
      </c>
      <c r="J539" t="s">
        <v>152</v>
      </c>
      <c r="K539" s="5">
        <f>20 / 86400</f>
        <v>2.3148148148148149E-4</v>
      </c>
      <c r="L539" s="5">
        <f>40 / 86400</f>
        <v>4.6296296296296298E-4</v>
      </c>
    </row>
    <row r="540" spans="1:12" x14ac:dyDescent="0.25">
      <c r="A540" s="3">
        <v>45714.877650462964</v>
      </c>
      <c r="B540" t="s">
        <v>303</v>
      </c>
      <c r="C540" s="3">
        <v>45714.881192129629</v>
      </c>
      <c r="D540" t="s">
        <v>389</v>
      </c>
      <c r="E540" s="4">
        <v>1.4667945932745934</v>
      </c>
      <c r="F540" s="4">
        <v>350942.81091343472</v>
      </c>
      <c r="G540" s="4">
        <v>350944.27770802804</v>
      </c>
      <c r="H540" s="5">
        <f t="shared" si="6"/>
        <v>0</v>
      </c>
      <c r="I540" t="s">
        <v>213</v>
      </c>
      <c r="J540" t="s">
        <v>61</v>
      </c>
      <c r="K540" s="5">
        <f>306 / 86400</f>
        <v>3.5416666666666665E-3</v>
      </c>
      <c r="L540" s="5">
        <f>18 / 86400</f>
        <v>2.0833333333333335E-4</v>
      </c>
    </row>
    <row r="541" spans="1:12" x14ac:dyDescent="0.25">
      <c r="A541" s="3">
        <v>45714.881400462968</v>
      </c>
      <c r="B541" t="s">
        <v>389</v>
      </c>
      <c r="C541" s="3">
        <v>45714.882719907408</v>
      </c>
      <c r="D541" t="s">
        <v>142</v>
      </c>
      <c r="E541" s="4">
        <v>1.0371584699749947</v>
      </c>
      <c r="F541" s="4">
        <v>350944.28680341499</v>
      </c>
      <c r="G541" s="4">
        <v>350945.32396188495</v>
      </c>
      <c r="H541" s="5">
        <f t="shared" si="6"/>
        <v>0</v>
      </c>
      <c r="I541" t="s">
        <v>213</v>
      </c>
      <c r="J541" t="s">
        <v>91</v>
      </c>
      <c r="K541" s="5">
        <f>114 / 86400</f>
        <v>1.3194444444444445E-3</v>
      </c>
      <c r="L541" s="5">
        <f>20 / 86400</f>
        <v>2.3148148148148149E-4</v>
      </c>
    </row>
    <row r="542" spans="1:12" x14ac:dyDescent="0.25">
      <c r="A542" s="3">
        <v>45714.882951388892</v>
      </c>
      <c r="B542" t="s">
        <v>142</v>
      </c>
      <c r="C542" s="3">
        <v>45714.883645833332</v>
      </c>
      <c r="D542" t="s">
        <v>66</v>
      </c>
      <c r="E542" s="4">
        <v>0.6525564994812012</v>
      </c>
      <c r="F542" s="4">
        <v>350945.40752369724</v>
      </c>
      <c r="G542" s="4">
        <v>350946.06008019677</v>
      </c>
      <c r="H542" s="5">
        <f t="shared" si="6"/>
        <v>0</v>
      </c>
      <c r="I542" t="s">
        <v>314</v>
      </c>
      <c r="J542" t="s">
        <v>206</v>
      </c>
      <c r="K542" s="5">
        <f>60 / 86400</f>
        <v>6.9444444444444447E-4</v>
      </c>
      <c r="L542" s="5">
        <f>20 / 86400</f>
        <v>2.3148148148148149E-4</v>
      </c>
    </row>
    <row r="543" spans="1:12" x14ac:dyDescent="0.25">
      <c r="A543" s="3">
        <v>45714.883877314816</v>
      </c>
      <c r="B543" t="s">
        <v>142</v>
      </c>
      <c r="C543" s="3">
        <v>45714.884340277778</v>
      </c>
      <c r="D543" t="s">
        <v>142</v>
      </c>
      <c r="E543" s="4">
        <v>0.12839631962776185</v>
      </c>
      <c r="F543" s="4">
        <v>350946.20674508723</v>
      </c>
      <c r="G543" s="4">
        <v>350946.33514140686</v>
      </c>
      <c r="H543" s="5">
        <f t="shared" si="6"/>
        <v>0</v>
      </c>
      <c r="I543" t="s">
        <v>275</v>
      </c>
      <c r="J543" t="s">
        <v>98</v>
      </c>
      <c r="K543" s="5">
        <f>40 / 86400</f>
        <v>4.6296296296296298E-4</v>
      </c>
      <c r="L543" s="5">
        <f>20 / 86400</f>
        <v>2.3148148148148149E-4</v>
      </c>
    </row>
    <row r="544" spans="1:12" x14ac:dyDescent="0.25">
      <c r="A544" s="3">
        <v>45714.884571759263</v>
      </c>
      <c r="B544" t="s">
        <v>142</v>
      </c>
      <c r="C544" s="3">
        <v>45714.885266203702</v>
      </c>
      <c r="D544" t="s">
        <v>144</v>
      </c>
      <c r="E544" s="4">
        <v>0.13167636263370514</v>
      </c>
      <c r="F544" s="4">
        <v>350946.35682246985</v>
      </c>
      <c r="G544" s="4">
        <v>350946.48849883245</v>
      </c>
      <c r="H544" s="5">
        <f t="shared" si="6"/>
        <v>0</v>
      </c>
      <c r="I544" t="s">
        <v>52</v>
      </c>
      <c r="J544" t="s">
        <v>157</v>
      </c>
      <c r="K544" s="5">
        <f>60 / 86400</f>
        <v>6.9444444444444447E-4</v>
      </c>
      <c r="L544" s="5">
        <f>40 / 86400</f>
        <v>4.6296296296296298E-4</v>
      </c>
    </row>
    <row r="545" spans="1:12" x14ac:dyDescent="0.25">
      <c r="A545" s="3">
        <v>45714.885729166665</v>
      </c>
      <c r="B545" t="s">
        <v>142</v>
      </c>
      <c r="C545" s="3">
        <v>45714.886655092589</v>
      </c>
      <c r="D545" t="s">
        <v>104</v>
      </c>
      <c r="E545" s="4">
        <v>0.96799595046043396</v>
      </c>
      <c r="F545" s="4">
        <v>350946.57944780041</v>
      </c>
      <c r="G545" s="4">
        <v>350947.54744375084</v>
      </c>
      <c r="H545" s="5">
        <f t="shared" si="6"/>
        <v>0</v>
      </c>
      <c r="I545" t="s">
        <v>346</v>
      </c>
      <c r="J545" t="s">
        <v>148</v>
      </c>
      <c r="K545" s="5">
        <f>80 / 86400</f>
        <v>9.2592592592592596E-4</v>
      </c>
      <c r="L545" s="5">
        <f>40 / 86400</f>
        <v>4.6296296296296298E-4</v>
      </c>
    </row>
    <row r="546" spans="1:12" x14ac:dyDescent="0.25">
      <c r="A546" s="3">
        <v>45714.887118055558</v>
      </c>
      <c r="B546" t="s">
        <v>104</v>
      </c>
      <c r="C546" s="3">
        <v>45714.890185185184</v>
      </c>
      <c r="D546" t="s">
        <v>142</v>
      </c>
      <c r="E546" s="4">
        <v>2.1867639557123186</v>
      </c>
      <c r="F546" s="4">
        <v>350947.55619802623</v>
      </c>
      <c r="G546" s="4">
        <v>350949.74296198197</v>
      </c>
      <c r="H546" s="5">
        <f t="shared" si="6"/>
        <v>0</v>
      </c>
      <c r="I546" t="s">
        <v>213</v>
      </c>
      <c r="J546" t="s">
        <v>197</v>
      </c>
      <c r="K546" s="5">
        <f>265 / 86400</f>
        <v>3.0671296296296297E-3</v>
      </c>
      <c r="L546" s="5">
        <f>20 / 86400</f>
        <v>2.3148148148148149E-4</v>
      </c>
    </row>
    <row r="547" spans="1:12" x14ac:dyDescent="0.25">
      <c r="A547" s="3">
        <v>45714.890416666662</v>
      </c>
      <c r="B547" t="s">
        <v>142</v>
      </c>
      <c r="C547" s="3">
        <v>45714.890879629631</v>
      </c>
      <c r="D547" t="s">
        <v>144</v>
      </c>
      <c r="E547" s="4">
        <v>3.8862466394901277E-2</v>
      </c>
      <c r="F547" s="4">
        <v>350949.75010955735</v>
      </c>
      <c r="G547" s="4">
        <v>350949.7889720237</v>
      </c>
      <c r="H547" s="5">
        <f t="shared" si="6"/>
        <v>0</v>
      </c>
      <c r="I547" t="s">
        <v>157</v>
      </c>
      <c r="J547" t="s">
        <v>102</v>
      </c>
      <c r="K547" s="5">
        <f>40 / 86400</f>
        <v>4.6296296296296298E-4</v>
      </c>
      <c r="L547" s="5">
        <f>20 / 86400</f>
        <v>2.3148148148148149E-4</v>
      </c>
    </row>
    <row r="548" spans="1:12" x14ac:dyDescent="0.25">
      <c r="A548" s="3">
        <v>45714.891111111108</v>
      </c>
      <c r="B548" t="s">
        <v>144</v>
      </c>
      <c r="C548" s="3">
        <v>45714.891377314816</v>
      </c>
      <c r="D548" t="s">
        <v>144</v>
      </c>
      <c r="E548" s="4">
        <v>3.0844979524612428E-2</v>
      </c>
      <c r="F548" s="4">
        <v>350949.79079459672</v>
      </c>
      <c r="G548" s="4">
        <v>350949.82163957623</v>
      </c>
      <c r="H548" s="5">
        <f t="shared" si="6"/>
        <v>0</v>
      </c>
      <c r="I548" t="s">
        <v>135</v>
      </c>
      <c r="J548" t="s">
        <v>77</v>
      </c>
      <c r="K548" s="5">
        <f>23 / 86400</f>
        <v>2.6620370370370372E-4</v>
      </c>
      <c r="L548" s="5">
        <f>80 / 86400</f>
        <v>9.2592592592592596E-4</v>
      </c>
    </row>
    <row r="549" spans="1:12" x14ac:dyDescent="0.25">
      <c r="A549" s="3">
        <v>45714.89230324074</v>
      </c>
      <c r="B549" t="s">
        <v>142</v>
      </c>
      <c r="C549" s="3">
        <v>45714.894386574073</v>
      </c>
      <c r="D549" t="s">
        <v>109</v>
      </c>
      <c r="E549" s="4">
        <v>2.4348937163949014</v>
      </c>
      <c r="F549" s="4">
        <v>350949.91095043678</v>
      </c>
      <c r="G549" s="4">
        <v>350952.34584415314</v>
      </c>
      <c r="H549" s="5">
        <f t="shared" si="6"/>
        <v>0</v>
      </c>
      <c r="I549" t="s">
        <v>173</v>
      </c>
      <c r="J549" t="s">
        <v>299</v>
      </c>
      <c r="K549" s="5">
        <f>180 / 86400</f>
        <v>2.0833333333333333E-3</v>
      </c>
      <c r="L549" s="5">
        <f>20 / 86400</f>
        <v>2.3148148148148149E-4</v>
      </c>
    </row>
    <row r="550" spans="1:12" x14ac:dyDescent="0.25">
      <c r="A550" s="3">
        <v>45714.89461805555</v>
      </c>
      <c r="B550" t="s">
        <v>109</v>
      </c>
      <c r="C550" s="3">
        <v>45714.895856481482</v>
      </c>
      <c r="D550" t="s">
        <v>81</v>
      </c>
      <c r="E550" s="4">
        <v>0.62339692819118497</v>
      </c>
      <c r="F550" s="4">
        <v>350952.40036504198</v>
      </c>
      <c r="G550" s="4">
        <v>350953.02376197017</v>
      </c>
      <c r="H550" s="5">
        <f t="shared" si="6"/>
        <v>0</v>
      </c>
      <c r="I550" t="s">
        <v>69</v>
      </c>
      <c r="J550" t="s">
        <v>151</v>
      </c>
      <c r="K550" s="5">
        <f>107 / 86400</f>
        <v>1.238425925925926E-3</v>
      </c>
      <c r="L550" s="5">
        <f>40 / 86400</f>
        <v>4.6296296296296298E-4</v>
      </c>
    </row>
    <row r="551" spans="1:12" x14ac:dyDescent="0.25">
      <c r="A551" s="3">
        <v>45714.896319444444</v>
      </c>
      <c r="B551" t="s">
        <v>81</v>
      </c>
      <c r="C551" s="3">
        <v>45714.896550925929</v>
      </c>
      <c r="D551" t="s">
        <v>81</v>
      </c>
      <c r="E551" s="4">
        <v>7.7477760314941403E-3</v>
      </c>
      <c r="F551" s="4">
        <v>350953.03714833671</v>
      </c>
      <c r="G551" s="4">
        <v>350953.04489611275</v>
      </c>
      <c r="H551" s="5">
        <f t="shared" si="6"/>
        <v>0</v>
      </c>
      <c r="I551" t="s">
        <v>152</v>
      </c>
      <c r="J551" t="s">
        <v>78</v>
      </c>
      <c r="K551" s="5">
        <f>20 / 86400</f>
        <v>2.3148148148148149E-4</v>
      </c>
      <c r="L551" s="5">
        <f>40 / 86400</f>
        <v>4.6296296296296298E-4</v>
      </c>
    </row>
    <row r="552" spans="1:12" x14ac:dyDescent="0.25">
      <c r="A552" s="3">
        <v>45714.897013888884</v>
      </c>
      <c r="B552" t="s">
        <v>109</v>
      </c>
      <c r="C552" s="3">
        <v>45714.897245370375</v>
      </c>
      <c r="D552" t="s">
        <v>390</v>
      </c>
      <c r="E552" s="4">
        <v>1.5716745078563691E-2</v>
      </c>
      <c r="F552" s="4">
        <v>350953.06243667071</v>
      </c>
      <c r="G552" s="4">
        <v>350953.07815341582</v>
      </c>
      <c r="H552" s="5">
        <f t="shared" si="6"/>
        <v>0</v>
      </c>
      <c r="I552" t="s">
        <v>32</v>
      </c>
      <c r="J552" t="s">
        <v>102</v>
      </c>
      <c r="K552" s="5">
        <f>20 / 86400</f>
        <v>2.3148148148148149E-4</v>
      </c>
      <c r="L552" s="5">
        <f>76 / 86400</f>
        <v>8.7962962962962962E-4</v>
      </c>
    </row>
    <row r="553" spans="1:12" x14ac:dyDescent="0.25">
      <c r="A553" s="3">
        <v>45714.898125</v>
      </c>
      <c r="B553" t="s">
        <v>109</v>
      </c>
      <c r="C553" s="3">
        <v>45714.901365740741</v>
      </c>
      <c r="D553" t="s">
        <v>66</v>
      </c>
      <c r="E553" s="4">
        <v>2.0640665194988252</v>
      </c>
      <c r="F553" s="4">
        <v>350953.10573665582</v>
      </c>
      <c r="G553" s="4">
        <v>350955.16980317532</v>
      </c>
      <c r="H553" s="5">
        <f t="shared" si="6"/>
        <v>0</v>
      </c>
      <c r="I553" t="s">
        <v>296</v>
      </c>
      <c r="J553" t="s">
        <v>186</v>
      </c>
      <c r="K553" s="5">
        <f>280 / 86400</f>
        <v>3.2407407407407406E-3</v>
      </c>
      <c r="L553" s="5">
        <f>3 / 86400</f>
        <v>3.4722222222222222E-5</v>
      </c>
    </row>
    <row r="554" spans="1:12" x14ac:dyDescent="0.25">
      <c r="A554" s="3">
        <v>45714.901400462964</v>
      </c>
      <c r="B554" t="s">
        <v>66</v>
      </c>
      <c r="C554" s="3">
        <v>45714.902557870373</v>
      </c>
      <c r="D554" t="s">
        <v>142</v>
      </c>
      <c r="E554" s="4">
        <v>0.38689775842428209</v>
      </c>
      <c r="F554" s="4">
        <v>350955.17224611511</v>
      </c>
      <c r="G554" s="4">
        <v>350955.55914387351</v>
      </c>
      <c r="H554" s="5">
        <f t="shared" si="6"/>
        <v>0</v>
      </c>
      <c r="I554" t="s">
        <v>197</v>
      </c>
      <c r="J554" t="s">
        <v>52</v>
      </c>
      <c r="K554" s="5">
        <f>100 / 86400</f>
        <v>1.1574074074074073E-3</v>
      </c>
      <c r="L554" s="5">
        <f>80 / 86400</f>
        <v>9.2592592592592596E-4</v>
      </c>
    </row>
    <row r="555" spans="1:12" x14ac:dyDescent="0.25">
      <c r="A555" s="3">
        <v>45714.903483796297</v>
      </c>
      <c r="B555" t="s">
        <v>144</v>
      </c>
      <c r="C555" s="3">
        <v>45714.903715277775</v>
      </c>
      <c r="D555" t="s">
        <v>144</v>
      </c>
      <c r="E555" s="4">
        <v>4.1004406809806828E-3</v>
      </c>
      <c r="F555" s="4">
        <v>350955.61441132386</v>
      </c>
      <c r="G555" s="4">
        <v>350955.61851176451</v>
      </c>
      <c r="H555" s="5">
        <f t="shared" si="6"/>
        <v>0</v>
      </c>
      <c r="I555" t="s">
        <v>78</v>
      </c>
      <c r="J555" t="s">
        <v>78</v>
      </c>
      <c r="K555" s="5">
        <f>20 / 86400</f>
        <v>2.3148148148148149E-4</v>
      </c>
      <c r="L555" s="5">
        <f>31 / 86400</f>
        <v>3.5879629629629629E-4</v>
      </c>
    </row>
    <row r="556" spans="1:12" x14ac:dyDescent="0.25">
      <c r="A556" s="3">
        <v>45714.904074074075</v>
      </c>
      <c r="B556" t="s">
        <v>144</v>
      </c>
      <c r="C556" s="3">
        <v>45714.910555555558</v>
      </c>
      <c r="D556" t="s">
        <v>361</v>
      </c>
      <c r="E556" s="4">
        <v>4.5666780083775524</v>
      </c>
      <c r="F556" s="4">
        <v>350955.6241523964</v>
      </c>
      <c r="G556" s="4">
        <v>350960.19083040475</v>
      </c>
      <c r="H556" s="5">
        <f t="shared" si="6"/>
        <v>0</v>
      </c>
      <c r="I556" t="s">
        <v>298</v>
      </c>
      <c r="J556" t="s">
        <v>181</v>
      </c>
      <c r="K556" s="5">
        <f>560 / 86400</f>
        <v>6.4814814814814813E-3</v>
      </c>
      <c r="L556" s="5">
        <f>20 / 86400</f>
        <v>2.3148148148148149E-4</v>
      </c>
    </row>
    <row r="557" spans="1:12" x14ac:dyDescent="0.25">
      <c r="A557" s="3">
        <v>45714.910787037035</v>
      </c>
      <c r="B557" t="s">
        <v>361</v>
      </c>
      <c r="C557" s="3">
        <v>45714.91101851852</v>
      </c>
      <c r="D557" t="s">
        <v>361</v>
      </c>
      <c r="E557" s="4">
        <v>1.7247664928436279E-3</v>
      </c>
      <c r="F557" s="4">
        <v>350960.20210535475</v>
      </c>
      <c r="G557" s="4">
        <v>350960.2038301212</v>
      </c>
      <c r="H557" s="5">
        <f t="shared" si="6"/>
        <v>0</v>
      </c>
      <c r="I557" t="s">
        <v>78</v>
      </c>
      <c r="J557" t="s">
        <v>22</v>
      </c>
      <c r="K557" s="5">
        <f>20 / 86400</f>
        <v>2.3148148148148149E-4</v>
      </c>
      <c r="L557" s="5">
        <f>4 / 86400</f>
        <v>4.6296296296296294E-5</v>
      </c>
    </row>
    <row r="558" spans="1:12" x14ac:dyDescent="0.25">
      <c r="A558" s="3">
        <v>45714.91106481482</v>
      </c>
      <c r="B558" t="s">
        <v>361</v>
      </c>
      <c r="C558" s="3">
        <v>45714.912222222221</v>
      </c>
      <c r="D558" t="s">
        <v>347</v>
      </c>
      <c r="E558" s="4">
        <v>0.59242113196849822</v>
      </c>
      <c r="F558" s="4">
        <v>350960.20547335444</v>
      </c>
      <c r="G558" s="4">
        <v>350960.7978944864</v>
      </c>
      <c r="H558" s="5">
        <f t="shared" si="6"/>
        <v>0</v>
      </c>
      <c r="I558" t="s">
        <v>275</v>
      </c>
      <c r="J558" t="s">
        <v>151</v>
      </c>
      <c r="K558" s="5">
        <f>100 / 86400</f>
        <v>1.1574074074074073E-3</v>
      </c>
      <c r="L558" s="5">
        <f t="shared" ref="L558:L563" si="7">20 / 86400</f>
        <v>2.3148148148148149E-4</v>
      </c>
    </row>
    <row r="559" spans="1:12" x14ac:dyDescent="0.25">
      <c r="A559" s="3">
        <v>45714.912453703699</v>
      </c>
      <c r="B559" t="s">
        <v>172</v>
      </c>
      <c r="C559" s="3">
        <v>45714.912916666668</v>
      </c>
      <c r="D559" t="s">
        <v>391</v>
      </c>
      <c r="E559" s="4">
        <v>0.28118236118555068</v>
      </c>
      <c r="F559" s="4">
        <v>350960.82350325148</v>
      </c>
      <c r="G559" s="4">
        <v>350961.10468561266</v>
      </c>
      <c r="H559" s="5">
        <f t="shared" si="6"/>
        <v>0</v>
      </c>
      <c r="I559" t="s">
        <v>275</v>
      </c>
      <c r="J559" t="s">
        <v>131</v>
      </c>
      <c r="K559" s="5">
        <f>40 / 86400</f>
        <v>4.6296296296296298E-4</v>
      </c>
      <c r="L559" s="5">
        <f t="shared" si="7"/>
        <v>2.3148148148148149E-4</v>
      </c>
    </row>
    <row r="560" spans="1:12" x14ac:dyDescent="0.25">
      <c r="A560" s="3">
        <v>45714.913148148145</v>
      </c>
      <c r="B560" t="s">
        <v>391</v>
      </c>
      <c r="C560" s="3">
        <v>45714.913842592592</v>
      </c>
      <c r="D560" t="s">
        <v>392</v>
      </c>
      <c r="E560" s="4">
        <v>0.39731816178560259</v>
      </c>
      <c r="F560" s="4">
        <v>350961.14941710886</v>
      </c>
      <c r="G560" s="4">
        <v>350961.54673527065</v>
      </c>
      <c r="H560" s="5">
        <f t="shared" si="6"/>
        <v>0</v>
      </c>
      <c r="I560" t="s">
        <v>184</v>
      </c>
      <c r="J560" t="s">
        <v>37</v>
      </c>
      <c r="K560" s="5">
        <f>60 / 86400</f>
        <v>6.9444444444444447E-4</v>
      </c>
      <c r="L560" s="5">
        <f t="shared" si="7"/>
        <v>2.3148148148148149E-4</v>
      </c>
    </row>
    <row r="561" spans="1:12" x14ac:dyDescent="0.25">
      <c r="A561" s="3">
        <v>45714.91407407407</v>
      </c>
      <c r="B561" t="s">
        <v>392</v>
      </c>
      <c r="C561" s="3">
        <v>45714.915000000001</v>
      </c>
      <c r="D561" t="s">
        <v>306</v>
      </c>
      <c r="E561" s="4">
        <v>0.49014981031417848</v>
      </c>
      <c r="F561" s="4">
        <v>350961.66868806269</v>
      </c>
      <c r="G561" s="4">
        <v>350962.15883787296</v>
      </c>
      <c r="H561" s="5">
        <f t="shared" si="6"/>
        <v>0</v>
      </c>
      <c r="I561" t="s">
        <v>200</v>
      </c>
      <c r="J561" t="s">
        <v>140</v>
      </c>
      <c r="K561" s="5">
        <f>80 / 86400</f>
        <v>9.2592592592592596E-4</v>
      </c>
      <c r="L561" s="5">
        <f t="shared" si="7"/>
        <v>2.3148148148148149E-4</v>
      </c>
    </row>
    <row r="562" spans="1:12" x14ac:dyDescent="0.25">
      <c r="A562" s="3">
        <v>45714.915231481486</v>
      </c>
      <c r="B562" t="s">
        <v>306</v>
      </c>
      <c r="C562" s="3">
        <v>45714.916388888887</v>
      </c>
      <c r="D562" t="s">
        <v>306</v>
      </c>
      <c r="E562" s="4">
        <v>0.83028814941644669</v>
      </c>
      <c r="F562" s="4">
        <v>350962.24112772709</v>
      </c>
      <c r="G562" s="4">
        <v>350963.0714158765</v>
      </c>
      <c r="H562" s="5">
        <f t="shared" si="6"/>
        <v>0</v>
      </c>
      <c r="I562" t="s">
        <v>299</v>
      </c>
      <c r="J562" t="s">
        <v>197</v>
      </c>
      <c r="K562" s="5">
        <f>100 / 86400</f>
        <v>1.1574074074074073E-3</v>
      </c>
      <c r="L562" s="5">
        <f t="shared" si="7"/>
        <v>2.3148148148148149E-4</v>
      </c>
    </row>
    <row r="563" spans="1:12" x14ac:dyDescent="0.25">
      <c r="A563" s="3">
        <v>45714.916620370372</v>
      </c>
      <c r="B563" t="s">
        <v>306</v>
      </c>
      <c r="C563" s="3">
        <v>45714.917546296296</v>
      </c>
      <c r="D563" t="s">
        <v>306</v>
      </c>
      <c r="E563" s="4">
        <v>0.50097487461566925</v>
      </c>
      <c r="F563" s="4">
        <v>350963.20773247763</v>
      </c>
      <c r="G563" s="4">
        <v>350963.70870735223</v>
      </c>
      <c r="H563" s="5">
        <f t="shared" si="6"/>
        <v>0</v>
      </c>
      <c r="I563" t="s">
        <v>206</v>
      </c>
      <c r="J563" t="s">
        <v>134</v>
      </c>
      <c r="K563" s="5">
        <f>80 / 86400</f>
        <v>9.2592592592592596E-4</v>
      </c>
      <c r="L563" s="5">
        <f t="shared" si="7"/>
        <v>2.3148148148148149E-4</v>
      </c>
    </row>
    <row r="564" spans="1:12" x14ac:dyDescent="0.25">
      <c r="A564" s="3">
        <v>45714.91777777778</v>
      </c>
      <c r="B564" t="s">
        <v>306</v>
      </c>
      <c r="C564" s="3">
        <v>45714.926284722227</v>
      </c>
      <c r="D564" t="s">
        <v>393</v>
      </c>
      <c r="E564" s="4">
        <v>6.7443000831007955</v>
      </c>
      <c r="F564" s="4">
        <v>350963.78698576894</v>
      </c>
      <c r="G564" s="4">
        <v>350970.53128585202</v>
      </c>
      <c r="H564" s="5">
        <f t="shared" si="6"/>
        <v>0</v>
      </c>
      <c r="I564" t="s">
        <v>117</v>
      </c>
      <c r="J564" t="s">
        <v>91</v>
      </c>
      <c r="K564" s="5">
        <f>735 / 86400</f>
        <v>8.5069444444444437E-3</v>
      </c>
      <c r="L564" s="5">
        <f>4 / 86400</f>
        <v>4.6296296296296294E-5</v>
      </c>
    </row>
    <row r="565" spans="1:12" x14ac:dyDescent="0.25">
      <c r="A565" s="3">
        <v>45714.92633101852</v>
      </c>
      <c r="B565" t="s">
        <v>393</v>
      </c>
      <c r="C565" s="3">
        <v>45714.926793981482</v>
      </c>
      <c r="D565" t="s">
        <v>393</v>
      </c>
      <c r="E565" s="4">
        <v>7.4134439766407018E-2</v>
      </c>
      <c r="F565" s="4">
        <v>350970.53767861373</v>
      </c>
      <c r="G565" s="4">
        <v>350970.61181305349</v>
      </c>
      <c r="H565" s="5">
        <f t="shared" si="6"/>
        <v>0</v>
      </c>
      <c r="I565" t="s">
        <v>98</v>
      </c>
      <c r="J565" t="s">
        <v>147</v>
      </c>
      <c r="K565" s="5">
        <f>40 / 86400</f>
        <v>4.6296296296296298E-4</v>
      </c>
      <c r="L565" s="5">
        <f>179 / 86400</f>
        <v>2.0717592592592593E-3</v>
      </c>
    </row>
    <row r="566" spans="1:12" x14ac:dyDescent="0.25">
      <c r="A566" s="3">
        <v>45714.928865740745</v>
      </c>
      <c r="B566" t="s">
        <v>394</v>
      </c>
      <c r="C566" s="3">
        <v>45714.929120370369</v>
      </c>
      <c r="D566" t="s">
        <v>393</v>
      </c>
      <c r="E566" s="4">
        <v>1.1311205744743346E-2</v>
      </c>
      <c r="F566" s="4">
        <v>350970.63042082213</v>
      </c>
      <c r="G566" s="4">
        <v>350970.64173202787</v>
      </c>
      <c r="H566" s="5">
        <f t="shared" si="6"/>
        <v>0</v>
      </c>
      <c r="I566" t="s">
        <v>135</v>
      </c>
      <c r="J566" t="s">
        <v>32</v>
      </c>
      <c r="K566" s="5">
        <f>22 / 86400</f>
        <v>2.5462962962962961E-4</v>
      </c>
      <c r="L566" s="5">
        <f>80 / 86400</f>
        <v>9.2592592592592596E-4</v>
      </c>
    </row>
    <row r="567" spans="1:12" x14ac:dyDescent="0.25">
      <c r="A567" s="3">
        <v>45714.9300462963</v>
      </c>
      <c r="B567" t="s">
        <v>394</v>
      </c>
      <c r="C567" s="3">
        <v>45714.930277777778</v>
      </c>
      <c r="D567" t="s">
        <v>393</v>
      </c>
      <c r="E567" s="4">
        <v>6.4243019819259645E-3</v>
      </c>
      <c r="F567" s="4">
        <v>350970.65991362167</v>
      </c>
      <c r="G567" s="4">
        <v>350970.66633792367</v>
      </c>
      <c r="H567" s="5">
        <f t="shared" si="6"/>
        <v>0</v>
      </c>
      <c r="I567" t="s">
        <v>78</v>
      </c>
      <c r="J567" t="s">
        <v>78</v>
      </c>
      <c r="K567" s="5">
        <f>20 / 86400</f>
        <v>2.3148148148148149E-4</v>
      </c>
      <c r="L567" s="5">
        <f>100 / 86400</f>
        <v>1.1574074074074073E-3</v>
      </c>
    </row>
    <row r="568" spans="1:12" x14ac:dyDescent="0.25">
      <c r="A568" s="3">
        <v>45714.931435185186</v>
      </c>
      <c r="B568" t="s">
        <v>307</v>
      </c>
      <c r="C568" s="3">
        <v>45714.931666666671</v>
      </c>
      <c r="D568" t="s">
        <v>350</v>
      </c>
      <c r="E568" s="4">
        <v>6.6073972404003145E-2</v>
      </c>
      <c r="F568" s="4">
        <v>350970.72390152788</v>
      </c>
      <c r="G568" s="4">
        <v>350970.78997550026</v>
      </c>
      <c r="H568" s="5">
        <f t="shared" si="6"/>
        <v>0</v>
      </c>
      <c r="I568" t="s">
        <v>25</v>
      </c>
      <c r="J568" t="s">
        <v>98</v>
      </c>
      <c r="K568" s="5">
        <f>20 / 86400</f>
        <v>2.3148148148148149E-4</v>
      </c>
      <c r="L568" s="5">
        <f>20 / 86400</f>
        <v>2.3148148148148149E-4</v>
      </c>
    </row>
    <row r="569" spans="1:12" x14ac:dyDescent="0.25">
      <c r="A569" s="3">
        <v>45714.931898148148</v>
      </c>
      <c r="B569" t="s">
        <v>350</v>
      </c>
      <c r="C569" s="3">
        <v>45714.932824074072</v>
      </c>
      <c r="D569" t="s">
        <v>310</v>
      </c>
      <c r="E569" s="4">
        <v>0.45733804351091384</v>
      </c>
      <c r="F569" s="4">
        <v>350970.85510211135</v>
      </c>
      <c r="G569" s="4">
        <v>350971.31244015484</v>
      </c>
      <c r="H569" s="5">
        <f t="shared" si="6"/>
        <v>0</v>
      </c>
      <c r="I569" t="s">
        <v>203</v>
      </c>
      <c r="J569" t="s">
        <v>151</v>
      </c>
      <c r="K569" s="5">
        <f>80 / 86400</f>
        <v>9.2592592592592596E-4</v>
      </c>
      <c r="L569" s="5">
        <f>40 / 86400</f>
        <v>4.6296296296296298E-4</v>
      </c>
    </row>
    <row r="570" spans="1:12" x14ac:dyDescent="0.25">
      <c r="A570" s="3">
        <v>45714.933287037042</v>
      </c>
      <c r="B570" t="s">
        <v>310</v>
      </c>
      <c r="C570" s="3">
        <v>45714.934212962966</v>
      </c>
      <c r="D570" t="s">
        <v>309</v>
      </c>
      <c r="E570" s="4">
        <v>0.49779602038860321</v>
      </c>
      <c r="F570" s="4">
        <v>350971.37018356158</v>
      </c>
      <c r="G570" s="4">
        <v>350971.86797958193</v>
      </c>
      <c r="H570" s="5">
        <f t="shared" si="6"/>
        <v>0</v>
      </c>
      <c r="I570" t="s">
        <v>154</v>
      </c>
      <c r="J570" t="s">
        <v>140</v>
      </c>
      <c r="K570" s="5">
        <f>80 / 86400</f>
        <v>9.2592592592592596E-4</v>
      </c>
      <c r="L570" s="5">
        <f t="shared" ref="L570:L576" si="8">20 / 86400</f>
        <v>2.3148148148148149E-4</v>
      </c>
    </row>
    <row r="571" spans="1:12" x14ac:dyDescent="0.25">
      <c r="A571" s="3">
        <v>45714.934444444443</v>
      </c>
      <c r="B571" t="s">
        <v>309</v>
      </c>
      <c r="C571" s="3">
        <v>45714.938113425931</v>
      </c>
      <c r="D571" t="s">
        <v>349</v>
      </c>
      <c r="E571" s="4">
        <v>2.8098757709860802</v>
      </c>
      <c r="F571" s="4">
        <v>350971.89593779965</v>
      </c>
      <c r="G571" s="4">
        <v>350974.70581357065</v>
      </c>
      <c r="H571" s="5">
        <f t="shared" si="6"/>
        <v>0</v>
      </c>
      <c r="I571" t="s">
        <v>167</v>
      </c>
      <c r="J571" t="s">
        <v>155</v>
      </c>
      <c r="K571" s="5">
        <f>317 / 86400</f>
        <v>3.6689814814814814E-3</v>
      </c>
      <c r="L571" s="5">
        <f t="shared" si="8"/>
        <v>2.3148148148148149E-4</v>
      </c>
    </row>
    <row r="572" spans="1:12" x14ac:dyDescent="0.25">
      <c r="A572" s="3">
        <v>45714.938344907408</v>
      </c>
      <c r="B572" t="s">
        <v>349</v>
      </c>
      <c r="C572" s="3">
        <v>45714.940891203703</v>
      </c>
      <c r="D572" t="s">
        <v>306</v>
      </c>
      <c r="E572" s="4">
        <v>2.4708623998761179</v>
      </c>
      <c r="F572" s="4">
        <v>350974.7397160501</v>
      </c>
      <c r="G572" s="4">
        <v>350977.21057844994</v>
      </c>
      <c r="H572" s="5">
        <f t="shared" ref="H572:H606" si="9">0 / 86400</f>
        <v>0</v>
      </c>
      <c r="I572" t="s">
        <v>67</v>
      </c>
      <c r="J572" t="s">
        <v>101</v>
      </c>
      <c r="K572" s="5">
        <f>220 / 86400</f>
        <v>2.5462962962962965E-3</v>
      </c>
      <c r="L572" s="5">
        <f t="shared" si="8"/>
        <v>2.3148148148148149E-4</v>
      </c>
    </row>
    <row r="573" spans="1:12" x14ac:dyDescent="0.25">
      <c r="A573" s="3">
        <v>45714.941122685181</v>
      </c>
      <c r="B573" t="s">
        <v>306</v>
      </c>
      <c r="C573" s="3">
        <v>45714.94158564815</v>
      </c>
      <c r="D573" t="s">
        <v>306</v>
      </c>
      <c r="E573" s="4">
        <v>0.31784047925472259</v>
      </c>
      <c r="F573" s="4">
        <v>350977.37012248964</v>
      </c>
      <c r="G573" s="4">
        <v>350977.68796296889</v>
      </c>
      <c r="H573" s="5">
        <f t="shared" si="9"/>
        <v>0</v>
      </c>
      <c r="I573" t="s">
        <v>148</v>
      </c>
      <c r="J573" t="s">
        <v>181</v>
      </c>
      <c r="K573" s="5">
        <f>40 / 86400</f>
        <v>4.6296296296296298E-4</v>
      </c>
      <c r="L573" s="5">
        <f t="shared" si="8"/>
        <v>2.3148148148148149E-4</v>
      </c>
    </row>
    <row r="574" spans="1:12" x14ac:dyDescent="0.25">
      <c r="A574" s="3">
        <v>45714.941817129627</v>
      </c>
      <c r="B574" t="s">
        <v>306</v>
      </c>
      <c r="C574" s="3">
        <v>45714.944432870368</v>
      </c>
      <c r="D574" t="s">
        <v>175</v>
      </c>
      <c r="E574" s="4">
        <v>2.0557494230270388</v>
      </c>
      <c r="F574" s="4">
        <v>350977.84072037716</v>
      </c>
      <c r="G574" s="4">
        <v>350979.89646980015</v>
      </c>
      <c r="H574" s="5">
        <f t="shared" si="9"/>
        <v>0</v>
      </c>
      <c r="I574" t="s">
        <v>178</v>
      </c>
      <c r="J574" t="s">
        <v>91</v>
      </c>
      <c r="K574" s="5">
        <f>226 / 86400</f>
        <v>2.6157407407407405E-3</v>
      </c>
      <c r="L574" s="5">
        <f t="shared" si="8"/>
        <v>2.3148148148148149E-4</v>
      </c>
    </row>
    <row r="575" spans="1:12" x14ac:dyDescent="0.25">
      <c r="A575" s="3">
        <v>45714.944664351853</v>
      </c>
      <c r="B575" t="s">
        <v>175</v>
      </c>
      <c r="C575" s="3">
        <v>45714.945127314815</v>
      </c>
      <c r="D575" t="s">
        <v>175</v>
      </c>
      <c r="E575" s="4">
        <v>0.25175385415554047</v>
      </c>
      <c r="F575" s="4">
        <v>350979.98532750859</v>
      </c>
      <c r="G575" s="4">
        <v>350980.23708136275</v>
      </c>
      <c r="H575" s="5">
        <f t="shared" si="9"/>
        <v>0</v>
      </c>
      <c r="I575" t="s">
        <v>182</v>
      </c>
      <c r="J575" t="s">
        <v>134</v>
      </c>
      <c r="K575" s="5">
        <f>40 / 86400</f>
        <v>4.6296296296296298E-4</v>
      </c>
      <c r="L575" s="5">
        <f t="shared" si="8"/>
        <v>2.3148148148148149E-4</v>
      </c>
    </row>
    <row r="576" spans="1:12" x14ac:dyDescent="0.25">
      <c r="A576" s="3">
        <v>45714.945358796293</v>
      </c>
      <c r="B576" t="s">
        <v>175</v>
      </c>
      <c r="C576" s="3">
        <v>45714.947210648148</v>
      </c>
      <c r="D576" t="s">
        <v>177</v>
      </c>
      <c r="E576" s="4">
        <v>1.3049183801412583</v>
      </c>
      <c r="F576" s="4">
        <v>350980.23866007267</v>
      </c>
      <c r="G576" s="4">
        <v>350981.54357845284</v>
      </c>
      <c r="H576" s="5">
        <f t="shared" si="9"/>
        <v>0</v>
      </c>
      <c r="I576" t="s">
        <v>183</v>
      </c>
      <c r="J576" t="s">
        <v>181</v>
      </c>
      <c r="K576" s="5">
        <f>160 / 86400</f>
        <v>1.8518518518518519E-3</v>
      </c>
      <c r="L576" s="5">
        <f t="shared" si="8"/>
        <v>2.3148148148148149E-4</v>
      </c>
    </row>
    <row r="577" spans="1:12" x14ac:dyDescent="0.25">
      <c r="A577" s="3">
        <v>45714.947442129633</v>
      </c>
      <c r="B577" t="s">
        <v>344</v>
      </c>
      <c r="C577" s="3">
        <v>45714.948368055557</v>
      </c>
      <c r="D577" t="s">
        <v>177</v>
      </c>
      <c r="E577" s="4">
        <v>0.93292736262083054</v>
      </c>
      <c r="F577" s="4">
        <v>350981.72534201381</v>
      </c>
      <c r="G577" s="4">
        <v>350982.65826937644</v>
      </c>
      <c r="H577" s="5">
        <f t="shared" si="9"/>
        <v>0</v>
      </c>
      <c r="I577" t="s">
        <v>117</v>
      </c>
      <c r="J577" t="s">
        <v>69</v>
      </c>
      <c r="K577" s="5">
        <f>80 / 86400</f>
        <v>9.2592592592592596E-4</v>
      </c>
      <c r="L577" s="5">
        <f>6 / 86400</f>
        <v>6.9444444444444444E-5</v>
      </c>
    </row>
    <row r="578" spans="1:12" x14ac:dyDescent="0.25">
      <c r="A578" s="3">
        <v>45714.948437500003</v>
      </c>
      <c r="B578" t="s">
        <v>328</v>
      </c>
      <c r="C578" s="3">
        <v>45714.949363425927</v>
      </c>
      <c r="D578" t="s">
        <v>104</v>
      </c>
      <c r="E578" s="4">
        <v>0.82325918793678288</v>
      </c>
      <c r="F578" s="4">
        <v>350982.66241663689</v>
      </c>
      <c r="G578" s="4">
        <v>350983.48567582481</v>
      </c>
      <c r="H578" s="5">
        <f t="shared" si="9"/>
        <v>0</v>
      </c>
      <c r="I578" t="s">
        <v>167</v>
      </c>
      <c r="J578" t="s">
        <v>154</v>
      </c>
      <c r="K578" s="5">
        <f>80 / 86400</f>
        <v>9.2592592592592596E-4</v>
      </c>
      <c r="L578" s="5">
        <f>3 / 86400</f>
        <v>3.4722222222222222E-5</v>
      </c>
    </row>
    <row r="579" spans="1:12" x14ac:dyDescent="0.25">
      <c r="A579" s="3">
        <v>45714.94939814815</v>
      </c>
      <c r="B579" t="s">
        <v>104</v>
      </c>
      <c r="C579" s="3">
        <v>45714.951712962968</v>
      </c>
      <c r="D579" t="s">
        <v>144</v>
      </c>
      <c r="E579" s="4">
        <v>1.9596736967563628</v>
      </c>
      <c r="F579" s="4">
        <v>350983.49159466056</v>
      </c>
      <c r="G579" s="4">
        <v>350985.45126835734</v>
      </c>
      <c r="H579" s="5">
        <f t="shared" si="9"/>
        <v>0</v>
      </c>
      <c r="I579" t="s">
        <v>326</v>
      </c>
      <c r="J579" t="s">
        <v>275</v>
      </c>
      <c r="K579" s="5">
        <f>200 / 86400</f>
        <v>2.3148148148148147E-3</v>
      </c>
      <c r="L579" s="5">
        <f>20 / 86400</f>
        <v>2.3148148148148149E-4</v>
      </c>
    </row>
    <row r="580" spans="1:12" x14ac:dyDescent="0.25">
      <c r="A580" s="3">
        <v>45714.951944444445</v>
      </c>
      <c r="B580" t="s">
        <v>144</v>
      </c>
      <c r="C580" s="3">
        <v>45714.952175925922</v>
      </c>
      <c r="D580" t="s">
        <v>395</v>
      </c>
      <c r="E580" s="4">
        <v>5.1741050481796261E-3</v>
      </c>
      <c r="F580" s="4">
        <v>350985.45888953761</v>
      </c>
      <c r="G580" s="4">
        <v>350985.46406364266</v>
      </c>
      <c r="H580" s="5">
        <f t="shared" si="9"/>
        <v>0</v>
      </c>
      <c r="I580" t="s">
        <v>77</v>
      </c>
      <c r="J580" t="s">
        <v>78</v>
      </c>
      <c r="K580" s="5">
        <f>20 / 86400</f>
        <v>2.3148148148148149E-4</v>
      </c>
      <c r="L580" s="5">
        <f>100 / 86400</f>
        <v>1.1574074074074073E-3</v>
      </c>
    </row>
    <row r="581" spans="1:12" x14ac:dyDescent="0.25">
      <c r="A581" s="3">
        <v>45714.953333333338</v>
      </c>
      <c r="B581" t="s">
        <v>395</v>
      </c>
      <c r="C581" s="3">
        <v>45714.956574074073</v>
      </c>
      <c r="D581" t="s">
        <v>65</v>
      </c>
      <c r="E581" s="4">
        <v>2.4825311285257339</v>
      </c>
      <c r="F581" s="4">
        <v>350985.47212224087</v>
      </c>
      <c r="G581" s="4">
        <v>350987.95465336938</v>
      </c>
      <c r="H581" s="5">
        <f t="shared" si="9"/>
        <v>0</v>
      </c>
      <c r="I581" t="s">
        <v>346</v>
      </c>
      <c r="J581" t="s">
        <v>155</v>
      </c>
      <c r="K581" s="5">
        <f>280 / 86400</f>
        <v>3.2407407407407406E-3</v>
      </c>
      <c r="L581" s="5">
        <f>20 / 86400</f>
        <v>2.3148148148148149E-4</v>
      </c>
    </row>
    <row r="582" spans="1:12" x14ac:dyDescent="0.25">
      <c r="A582" s="3">
        <v>45714.956805555557</v>
      </c>
      <c r="B582" t="s">
        <v>65</v>
      </c>
      <c r="C582" s="3">
        <v>45714.960046296299</v>
      </c>
      <c r="D582" t="s">
        <v>168</v>
      </c>
      <c r="E582" s="4">
        <v>4.2326968164443972</v>
      </c>
      <c r="F582" s="4">
        <v>350987.96768010251</v>
      </c>
      <c r="G582" s="4">
        <v>350992.20037691895</v>
      </c>
      <c r="H582" s="5">
        <f t="shared" si="9"/>
        <v>0</v>
      </c>
      <c r="I582" t="s">
        <v>36</v>
      </c>
      <c r="J582" t="s">
        <v>304</v>
      </c>
      <c r="K582" s="5">
        <f>280 / 86400</f>
        <v>3.2407407407407406E-3</v>
      </c>
      <c r="L582" s="5">
        <f>20 / 86400</f>
        <v>2.3148148148148149E-4</v>
      </c>
    </row>
    <row r="583" spans="1:12" x14ac:dyDescent="0.25">
      <c r="A583" s="3">
        <v>45714.960277777776</v>
      </c>
      <c r="B583" t="s">
        <v>168</v>
      </c>
      <c r="C583" s="3">
        <v>45714.9612037037</v>
      </c>
      <c r="D583" t="s">
        <v>396</v>
      </c>
      <c r="E583" s="4">
        <v>0.92830565047264102</v>
      </c>
      <c r="F583" s="4">
        <v>350992.44282416208</v>
      </c>
      <c r="G583" s="4">
        <v>350993.37112981256</v>
      </c>
      <c r="H583" s="5">
        <f t="shared" si="9"/>
        <v>0</v>
      </c>
      <c r="I583" t="s">
        <v>346</v>
      </c>
      <c r="J583" t="s">
        <v>69</v>
      </c>
      <c r="K583" s="5">
        <f>80 / 86400</f>
        <v>9.2592592592592596E-4</v>
      </c>
      <c r="L583" s="5">
        <f>20 / 86400</f>
        <v>2.3148148148148149E-4</v>
      </c>
    </row>
    <row r="584" spans="1:12" x14ac:dyDescent="0.25">
      <c r="A584" s="3">
        <v>45714.961435185185</v>
      </c>
      <c r="B584" t="s">
        <v>168</v>
      </c>
      <c r="C584" s="3">
        <v>45714.96166666667</v>
      </c>
      <c r="D584" t="s">
        <v>168</v>
      </c>
      <c r="E584" s="4">
        <v>2.7836518883705137E-3</v>
      </c>
      <c r="F584" s="4">
        <v>350993.38504765561</v>
      </c>
      <c r="G584" s="4">
        <v>350993.38783130748</v>
      </c>
      <c r="H584" s="5">
        <f t="shared" si="9"/>
        <v>0</v>
      </c>
      <c r="I584" t="s">
        <v>70</v>
      </c>
      <c r="J584" t="s">
        <v>78</v>
      </c>
      <c r="K584" s="5">
        <f>20 / 86400</f>
        <v>2.3148148148148149E-4</v>
      </c>
      <c r="L584" s="5">
        <f>20 / 86400</f>
        <v>2.3148148148148149E-4</v>
      </c>
    </row>
    <row r="585" spans="1:12" x14ac:dyDescent="0.25">
      <c r="A585" s="3">
        <v>45714.961898148147</v>
      </c>
      <c r="B585" t="s">
        <v>168</v>
      </c>
      <c r="C585" s="3">
        <v>45714.963055555556</v>
      </c>
      <c r="D585" t="s">
        <v>168</v>
      </c>
      <c r="E585" s="4">
        <v>0.99114574426412583</v>
      </c>
      <c r="F585" s="4">
        <v>350993.3922497874</v>
      </c>
      <c r="G585" s="4">
        <v>350994.38339553168</v>
      </c>
      <c r="H585" s="5">
        <f t="shared" si="9"/>
        <v>0</v>
      </c>
      <c r="I585" t="s">
        <v>167</v>
      </c>
      <c r="J585" t="s">
        <v>288</v>
      </c>
      <c r="K585" s="5">
        <f>100 / 86400</f>
        <v>1.1574074074074073E-3</v>
      </c>
      <c r="L585" s="5">
        <f>20 / 86400</f>
        <v>2.3148148148148149E-4</v>
      </c>
    </row>
    <row r="586" spans="1:12" x14ac:dyDescent="0.25">
      <c r="A586" s="3">
        <v>45714.963287037041</v>
      </c>
      <c r="B586" t="s">
        <v>168</v>
      </c>
      <c r="C586" s="3">
        <v>45714.963749999995</v>
      </c>
      <c r="D586" t="s">
        <v>92</v>
      </c>
      <c r="E586" s="4">
        <v>0.60134269762039183</v>
      </c>
      <c r="F586" s="4">
        <v>350994.55748114013</v>
      </c>
      <c r="G586" s="4">
        <v>350995.15882383776</v>
      </c>
      <c r="H586" s="5">
        <f t="shared" si="9"/>
        <v>0</v>
      </c>
      <c r="I586" t="s">
        <v>183</v>
      </c>
      <c r="J586" t="s">
        <v>304</v>
      </c>
      <c r="K586" s="5">
        <f>40 / 86400</f>
        <v>4.6296296296296298E-4</v>
      </c>
      <c r="L586" s="5">
        <f>40 / 86400</f>
        <v>4.6296296296296298E-4</v>
      </c>
    </row>
    <row r="587" spans="1:12" x14ac:dyDescent="0.25">
      <c r="A587" s="3">
        <v>45714.964212962965</v>
      </c>
      <c r="B587" t="s">
        <v>92</v>
      </c>
      <c r="C587" s="3">
        <v>45714.96675925926</v>
      </c>
      <c r="D587" t="s">
        <v>189</v>
      </c>
      <c r="E587" s="4">
        <v>1.9028588638305663</v>
      </c>
      <c r="F587" s="4">
        <v>350995.16636394151</v>
      </c>
      <c r="G587" s="4">
        <v>350997.06922280532</v>
      </c>
      <c r="H587" s="5">
        <f t="shared" si="9"/>
        <v>0</v>
      </c>
      <c r="I587" t="s">
        <v>304</v>
      </c>
      <c r="J587" t="s">
        <v>184</v>
      </c>
      <c r="K587" s="5">
        <f>220 / 86400</f>
        <v>2.5462962962962965E-3</v>
      </c>
      <c r="L587" s="5">
        <f>20 / 86400</f>
        <v>2.3148148148148149E-4</v>
      </c>
    </row>
    <row r="588" spans="1:12" x14ac:dyDescent="0.25">
      <c r="A588" s="3">
        <v>45714.966990740737</v>
      </c>
      <c r="B588" t="s">
        <v>190</v>
      </c>
      <c r="C588" s="3">
        <v>45714.967222222222</v>
      </c>
      <c r="D588" t="s">
        <v>397</v>
      </c>
      <c r="E588" s="4">
        <v>0.10922457933425904</v>
      </c>
      <c r="F588" s="4">
        <v>350997.26166892383</v>
      </c>
      <c r="G588" s="4">
        <v>350997.37089350319</v>
      </c>
      <c r="H588" s="5">
        <f t="shared" si="9"/>
        <v>0</v>
      </c>
      <c r="I588" t="s">
        <v>69</v>
      </c>
      <c r="J588" t="s">
        <v>64</v>
      </c>
      <c r="K588" s="5">
        <f>20 / 86400</f>
        <v>2.3148148148148149E-4</v>
      </c>
      <c r="L588" s="5">
        <f>20 / 86400</f>
        <v>2.3148148148148149E-4</v>
      </c>
    </row>
    <row r="589" spans="1:12" x14ac:dyDescent="0.25">
      <c r="A589" s="3">
        <v>45714.967453703706</v>
      </c>
      <c r="B589" t="s">
        <v>397</v>
      </c>
      <c r="C589" s="3">
        <v>45714.968888888892</v>
      </c>
      <c r="D589" t="s">
        <v>398</v>
      </c>
      <c r="E589" s="4">
        <v>0.4601055250763893</v>
      </c>
      <c r="F589" s="4">
        <v>350997.37906258873</v>
      </c>
      <c r="G589" s="4">
        <v>350997.83916811383</v>
      </c>
      <c r="H589" s="5">
        <f t="shared" si="9"/>
        <v>0</v>
      </c>
      <c r="I589" t="s">
        <v>170</v>
      </c>
      <c r="J589" t="s">
        <v>42</v>
      </c>
      <c r="K589" s="5">
        <f>124 / 86400</f>
        <v>1.4351851851851852E-3</v>
      </c>
      <c r="L589" s="5">
        <f>20 / 86400</f>
        <v>2.3148148148148149E-4</v>
      </c>
    </row>
    <row r="590" spans="1:12" x14ac:dyDescent="0.25">
      <c r="A590" s="3">
        <v>45714.96912037037</v>
      </c>
      <c r="B590" t="s">
        <v>398</v>
      </c>
      <c r="C590" s="3">
        <v>45714.969421296293</v>
      </c>
      <c r="D590" t="s">
        <v>363</v>
      </c>
      <c r="E590" s="4">
        <v>0.11264679598808289</v>
      </c>
      <c r="F590" s="4">
        <v>350997.86716949381</v>
      </c>
      <c r="G590" s="4">
        <v>350997.97981628979</v>
      </c>
      <c r="H590" s="5">
        <f t="shared" si="9"/>
        <v>0</v>
      </c>
      <c r="I590" t="s">
        <v>98</v>
      </c>
      <c r="J590" t="s">
        <v>28</v>
      </c>
      <c r="K590" s="5">
        <f>26 / 86400</f>
        <v>3.0092592592592595E-4</v>
      </c>
      <c r="L590" s="5">
        <f>20 / 86400</f>
        <v>2.3148148148148149E-4</v>
      </c>
    </row>
    <row r="591" spans="1:12" x14ac:dyDescent="0.25">
      <c r="A591" s="3">
        <v>45714.969652777778</v>
      </c>
      <c r="B591" t="s">
        <v>363</v>
      </c>
      <c r="C591" s="3">
        <v>45714.970347222217</v>
      </c>
      <c r="D591" t="s">
        <v>363</v>
      </c>
      <c r="E591" s="4">
        <v>0.30388222056627273</v>
      </c>
      <c r="F591" s="4">
        <v>350998.03673029499</v>
      </c>
      <c r="G591" s="4">
        <v>350998.34061251557</v>
      </c>
      <c r="H591" s="5">
        <f t="shared" si="9"/>
        <v>0</v>
      </c>
      <c r="I591" t="s">
        <v>37</v>
      </c>
      <c r="J591" t="s">
        <v>20</v>
      </c>
      <c r="K591" s="5">
        <f>60 / 86400</f>
        <v>6.9444444444444447E-4</v>
      </c>
      <c r="L591" s="5">
        <f>20 / 86400</f>
        <v>2.3148148148148149E-4</v>
      </c>
    </row>
    <row r="592" spans="1:12" x14ac:dyDescent="0.25">
      <c r="A592" s="3">
        <v>45714.970578703702</v>
      </c>
      <c r="B592" t="s">
        <v>383</v>
      </c>
      <c r="C592" s="3">
        <v>45714.970810185187</v>
      </c>
      <c r="D592" t="s">
        <v>383</v>
      </c>
      <c r="E592" s="4">
        <v>5.5850681662559512E-3</v>
      </c>
      <c r="F592" s="4">
        <v>350998.38669010956</v>
      </c>
      <c r="G592" s="4">
        <v>350998.3922751777</v>
      </c>
      <c r="H592" s="5">
        <f t="shared" si="9"/>
        <v>0</v>
      </c>
      <c r="I592" t="s">
        <v>152</v>
      </c>
      <c r="J592" t="s">
        <v>78</v>
      </c>
      <c r="K592" s="5">
        <f>20 / 86400</f>
        <v>2.3148148148148149E-4</v>
      </c>
      <c r="L592" s="5">
        <f>40 / 86400</f>
        <v>4.6296296296296298E-4</v>
      </c>
    </row>
    <row r="593" spans="1:12" x14ac:dyDescent="0.25">
      <c r="A593" s="3">
        <v>45714.971273148149</v>
      </c>
      <c r="B593" t="s">
        <v>383</v>
      </c>
      <c r="C593" s="3">
        <v>45714.971504629633</v>
      </c>
      <c r="D593" t="s">
        <v>383</v>
      </c>
      <c r="E593" s="4">
        <v>8.1580173969268796E-4</v>
      </c>
      <c r="F593" s="4">
        <v>350998.3990550465</v>
      </c>
      <c r="G593" s="4">
        <v>350998.39987084822</v>
      </c>
      <c r="H593" s="5">
        <f t="shared" si="9"/>
        <v>0</v>
      </c>
      <c r="I593" t="s">
        <v>102</v>
      </c>
      <c r="J593" t="s">
        <v>22</v>
      </c>
      <c r="K593" s="5">
        <f>20 / 86400</f>
        <v>2.3148148148148149E-4</v>
      </c>
      <c r="L593" s="5">
        <f>40 / 86400</f>
        <v>4.6296296296296298E-4</v>
      </c>
    </row>
    <row r="594" spans="1:12" x14ac:dyDescent="0.25">
      <c r="A594" s="3">
        <v>45714.971967592588</v>
      </c>
      <c r="B594" t="s">
        <v>383</v>
      </c>
      <c r="C594" s="3">
        <v>45714.972199074073</v>
      </c>
      <c r="D594" t="s">
        <v>383</v>
      </c>
      <c r="E594" s="4">
        <v>1.7936539649963379E-3</v>
      </c>
      <c r="F594" s="4">
        <v>350998.40296558931</v>
      </c>
      <c r="G594" s="4">
        <v>350998.40475924325</v>
      </c>
      <c r="H594" s="5">
        <f t="shared" si="9"/>
        <v>0</v>
      </c>
      <c r="I594" t="s">
        <v>78</v>
      </c>
      <c r="J594" t="s">
        <v>22</v>
      </c>
      <c r="K594" s="5">
        <f>20 / 86400</f>
        <v>2.3148148148148149E-4</v>
      </c>
      <c r="L594" s="5">
        <f>20 / 86400</f>
        <v>2.3148148148148149E-4</v>
      </c>
    </row>
    <row r="595" spans="1:12" x14ac:dyDescent="0.25">
      <c r="A595" s="3">
        <v>45714.972430555557</v>
      </c>
      <c r="B595" t="s">
        <v>381</v>
      </c>
      <c r="C595" s="3">
        <v>45714.975914351853</v>
      </c>
      <c r="D595" t="s">
        <v>366</v>
      </c>
      <c r="E595" s="4">
        <v>2.414483390569687</v>
      </c>
      <c r="F595" s="4">
        <v>350998.42228979914</v>
      </c>
      <c r="G595" s="4">
        <v>351000.83677318972</v>
      </c>
      <c r="H595" s="5">
        <f t="shared" si="9"/>
        <v>0</v>
      </c>
      <c r="I595" t="s">
        <v>161</v>
      </c>
      <c r="J595" t="s">
        <v>181</v>
      </c>
      <c r="K595" s="5">
        <f>301 / 86400</f>
        <v>3.4837962962962965E-3</v>
      </c>
      <c r="L595" s="5">
        <f>20 / 86400</f>
        <v>2.3148148148148149E-4</v>
      </c>
    </row>
    <row r="596" spans="1:12" x14ac:dyDescent="0.25">
      <c r="A596" s="3">
        <v>45714.976145833338</v>
      </c>
      <c r="B596" t="s">
        <v>366</v>
      </c>
      <c r="C596" s="3">
        <v>45714.977997685186</v>
      </c>
      <c r="D596" t="s">
        <v>399</v>
      </c>
      <c r="E596" s="4">
        <v>1.1762716775536537</v>
      </c>
      <c r="F596" s="4">
        <v>351000.99197059963</v>
      </c>
      <c r="G596" s="4">
        <v>351002.16824227723</v>
      </c>
      <c r="H596" s="5">
        <f t="shared" si="9"/>
        <v>0</v>
      </c>
      <c r="I596" t="s">
        <v>200</v>
      </c>
      <c r="J596" t="s">
        <v>170</v>
      </c>
      <c r="K596" s="5">
        <f>160 / 86400</f>
        <v>1.8518518518518519E-3</v>
      </c>
      <c r="L596" s="5">
        <f>20 / 86400</f>
        <v>2.3148148148148149E-4</v>
      </c>
    </row>
    <row r="597" spans="1:12" x14ac:dyDescent="0.25">
      <c r="A597" s="3">
        <v>45714.978229166663</v>
      </c>
      <c r="B597" t="s">
        <v>369</v>
      </c>
      <c r="C597" s="3">
        <v>45714.980613425927</v>
      </c>
      <c r="D597" t="s">
        <v>400</v>
      </c>
      <c r="E597" s="4">
        <v>1.4097961185574532</v>
      </c>
      <c r="F597" s="4">
        <v>351002.32195531542</v>
      </c>
      <c r="G597" s="4">
        <v>351003.73175143398</v>
      </c>
      <c r="H597" s="5">
        <f t="shared" si="9"/>
        <v>0</v>
      </c>
      <c r="I597" t="s">
        <v>195</v>
      </c>
      <c r="J597" t="s">
        <v>131</v>
      </c>
      <c r="K597" s="5">
        <f>206 / 86400</f>
        <v>2.3842592592592591E-3</v>
      </c>
      <c r="L597" s="5">
        <f>20 / 86400</f>
        <v>2.3148148148148149E-4</v>
      </c>
    </row>
    <row r="598" spans="1:12" x14ac:dyDescent="0.25">
      <c r="A598" s="3">
        <v>45714.980844907404</v>
      </c>
      <c r="B598" t="s">
        <v>370</v>
      </c>
      <c r="C598" s="3">
        <v>45714.981990740736</v>
      </c>
      <c r="D598" t="s">
        <v>401</v>
      </c>
      <c r="E598" s="4">
        <v>0.47081658184528352</v>
      </c>
      <c r="F598" s="4">
        <v>351003.74418001494</v>
      </c>
      <c r="G598" s="4">
        <v>351004.2149965968</v>
      </c>
      <c r="H598" s="5">
        <f t="shared" si="9"/>
        <v>0</v>
      </c>
      <c r="I598" t="s">
        <v>182</v>
      </c>
      <c r="J598" t="s">
        <v>61</v>
      </c>
      <c r="K598" s="5">
        <f>99 / 86400</f>
        <v>1.1458333333333333E-3</v>
      </c>
      <c r="L598" s="5">
        <f>20 / 86400</f>
        <v>2.3148148148148149E-4</v>
      </c>
    </row>
    <row r="599" spans="1:12" x14ac:dyDescent="0.25">
      <c r="A599" s="3">
        <v>45714.982222222221</v>
      </c>
      <c r="B599" t="s">
        <v>402</v>
      </c>
      <c r="C599" s="3">
        <v>45714.98436342593</v>
      </c>
      <c r="D599" t="s">
        <v>76</v>
      </c>
      <c r="E599" s="4">
        <v>1.2482422741651535</v>
      </c>
      <c r="F599" s="4">
        <v>351004.23042579164</v>
      </c>
      <c r="G599" s="4">
        <v>351005.4786680658</v>
      </c>
      <c r="H599" s="5">
        <f t="shared" si="9"/>
        <v>0</v>
      </c>
      <c r="I599" t="s">
        <v>117</v>
      </c>
      <c r="J599" t="s">
        <v>37</v>
      </c>
      <c r="K599" s="5">
        <f>185 / 86400</f>
        <v>2.1412037037037038E-3</v>
      </c>
      <c r="L599" s="5">
        <f>120 / 86400</f>
        <v>1.3888888888888889E-3</v>
      </c>
    </row>
    <row r="600" spans="1:12" x14ac:dyDescent="0.25">
      <c r="A600" s="3">
        <v>45714.985752314809</v>
      </c>
      <c r="B600" t="s">
        <v>76</v>
      </c>
      <c r="C600" s="3">
        <v>45714.986493055556</v>
      </c>
      <c r="D600" t="s">
        <v>76</v>
      </c>
      <c r="E600" s="4">
        <v>1.6312352538108827E-2</v>
      </c>
      <c r="F600" s="4">
        <v>351005.50762367778</v>
      </c>
      <c r="G600" s="4">
        <v>351005.52393603034</v>
      </c>
      <c r="H600" s="5">
        <f t="shared" si="9"/>
        <v>0</v>
      </c>
      <c r="I600" t="s">
        <v>77</v>
      </c>
      <c r="J600" t="s">
        <v>78</v>
      </c>
      <c r="K600" s="5">
        <f>64 / 86400</f>
        <v>7.407407407407407E-4</v>
      </c>
      <c r="L600" s="5">
        <f>51 / 86400</f>
        <v>5.9027777777777778E-4</v>
      </c>
    </row>
    <row r="601" spans="1:12" x14ac:dyDescent="0.25">
      <c r="A601" s="3">
        <v>45714.987083333333</v>
      </c>
      <c r="B601" t="s">
        <v>207</v>
      </c>
      <c r="C601" s="3">
        <v>45714.987800925926</v>
      </c>
      <c r="D601" t="s">
        <v>280</v>
      </c>
      <c r="E601" s="4">
        <v>0.17335054576396941</v>
      </c>
      <c r="F601" s="4">
        <v>351005.53721450485</v>
      </c>
      <c r="G601" s="4">
        <v>351005.7105650506</v>
      </c>
      <c r="H601" s="5">
        <f t="shared" si="9"/>
        <v>0</v>
      </c>
      <c r="I601" t="s">
        <v>140</v>
      </c>
      <c r="J601" t="s">
        <v>132</v>
      </c>
      <c r="K601" s="5">
        <f>62 / 86400</f>
        <v>7.1759259259259259E-4</v>
      </c>
      <c r="L601" s="5">
        <f>5 / 86400</f>
        <v>5.7870370370370373E-5</v>
      </c>
    </row>
    <row r="602" spans="1:12" x14ac:dyDescent="0.25">
      <c r="A602" s="3">
        <v>45714.987858796296</v>
      </c>
      <c r="B602" t="s">
        <v>277</v>
      </c>
      <c r="C602" s="3">
        <v>45714.98810185185</v>
      </c>
      <c r="D602" t="s">
        <v>277</v>
      </c>
      <c r="E602" s="4">
        <v>1.4777176201343537E-2</v>
      </c>
      <c r="F602" s="4">
        <v>351005.77380637353</v>
      </c>
      <c r="G602" s="4">
        <v>351005.78858354973</v>
      </c>
      <c r="H602" s="5">
        <f t="shared" si="9"/>
        <v>0</v>
      </c>
      <c r="I602" t="s">
        <v>147</v>
      </c>
      <c r="J602" t="s">
        <v>102</v>
      </c>
      <c r="K602" s="5">
        <f>21 / 86400</f>
        <v>2.4305555555555555E-4</v>
      </c>
      <c r="L602" s="5">
        <f>220 / 86400</f>
        <v>2.5462962962962965E-3</v>
      </c>
    </row>
    <row r="603" spans="1:12" x14ac:dyDescent="0.25">
      <c r="A603" s="3">
        <v>45714.990648148145</v>
      </c>
      <c r="B603" t="s">
        <v>277</v>
      </c>
      <c r="C603" s="3">
        <v>45714.992962962962</v>
      </c>
      <c r="D603" t="s">
        <v>403</v>
      </c>
      <c r="E603" s="4">
        <v>1.5519511278271676</v>
      </c>
      <c r="F603" s="4">
        <v>351005.82424986624</v>
      </c>
      <c r="G603" s="4">
        <v>351007.37620099407</v>
      </c>
      <c r="H603" s="5">
        <f t="shared" si="9"/>
        <v>0</v>
      </c>
      <c r="I603" t="s">
        <v>200</v>
      </c>
      <c r="J603" t="s">
        <v>136</v>
      </c>
      <c r="K603" s="5">
        <f>200 / 86400</f>
        <v>2.3148148148148147E-3</v>
      </c>
      <c r="L603" s="5">
        <f>20 / 86400</f>
        <v>2.3148148148148149E-4</v>
      </c>
    </row>
    <row r="604" spans="1:12" x14ac:dyDescent="0.25">
      <c r="A604" s="3">
        <v>45714.99319444444</v>
      </c>
      <c r="B604" t="s">
        <v>403</v>
      </c>
      <c r="C604" s="3">
        <v>45714.995659722219</v>
      </c>
      <c r="D604" t="s">
        <v>404</v>
      </c>
      <c r="E604" s="4">
        <v>1.0445608967542648</v>
      </c>
      <c r="F604" s="4">
        <v>351007.49800391216</v>
      </c>
      <c r="G604" s="4">
        <v>351008.54256480891</v>
      </c>
      <c r="H604" s="5">
        <f t="shared" si="9"/>
        <v>0</v>
      </c>
      <c r="I604" t="s">
        <v>91</v>
      </c>
      <c r="J604" t="s">
        <v>20</v>
      </c>
      <c r="K604" s="5">
        <f>213 / 86400</f>
        <v>2.4652777777777776E-3</v>
      </c>
      <c r="L604" s="5">
        <f>20 / 86400</f>
        <v>2.3148148148148149E-4</v>
      </c>
    </row>
    <row r="605" spans="1:12" x14ac:dyDescent="0.25">
      <c r="A605" s="3">
        <v>45714.995891203704</v>
      </c>
      <c r="B605" t="s">
        <v>404</v>
      </c>
      <c r="C605" s="3">
        <v>45714.996828703705</v>
      </c>
      <c r="D605" t="s">
        <v>212</v>
      </c>
      <c r="E605" s="4">
        <v>0.324738835811615</v>
      </c>
      <c r="F605" s="4">
        <v>351008.61618825624</v>
      </c>
      <c r="G605" s="4">
        <v>351008.9409270921</v>
      </c>
      <c r="H605" s="5">
        <f t="shared" si="9"/>
        <v>0</v>
      </c>
      <c r="I605" t="s">
        <v>170</v>
      </c>
      <c r="J605" t="s">
        <v>52</v>
      </c>
      <c r="K605" s="5">
        <f>81 / 86400</f>
        <v>9.3749999999999997E-4</v>
      </c>
      <c r="L605" s="5">
        <f>20 / 86400</f>
        <v>2.3148148148148149E-4</v>
      </c>
    </row>
    <row r="606" spans="1:12" x14ac:dyDescent="0.25">
      <c r="A606" s="3">
        <v>45714.997060185182</v>
      </c>
      <c r="B606" t="s">
        <v>212</v>
      </c>
      <c r="C606" s="3">
        <v>45714.99998842593</v>
      </c>
      <c r="D606" t="s">
        <v>35</v>
      </c>
      <c r="E606" s="4">
        <v>0.99993407893180852</v>
      </c>
      <c r="F606" s="4">
        <v>351009.02268961945</v>
      </c>
      <c r="G606" s="4">
        <v>351010.02262369834</v>
      </c>
      <c r="H606" s="5">
        <f t="shared" si="9"/>
        <v>0</v>
      </c>
      <c r="I606" t="s">
        <v>275</v>
      </c>
      <c r="J606" t="s">
        <v>52</v>
      </c>
      <c r="K606" s="5">
        <f>253 / 86400</f>
        <v>2.9282407407407408E-3</v>
      </c>
      <c r="L606" s="5">
        <f>0 / 86400</f>
        <v>0</v>
      </c>
    </row>
    <row r="607" spans="1:12" x14ac:dyDescent="0.25">
      <c r="A607" s="12"/>
      <c r="B607" s="12"/>
      <c r="C607" s="12"/>
      <c r="D607" s="12"/>
      <c r="E607" s="12"/>
      <c r="F607" s="12"/>
      <c r="G607" s="12"/>
      <c r="H607" s="12"/>
      <c r="I607" s="12"/>
      <c r="J607" s="12"/>
    </row>
    <row r="608" spans="1:12" x14ac:dyDescent="0.25">
      <c r="A608" s="12"/>
      <c r="B608" s="12"/>
      <c r="C608" s="12"/>
      <c r="D608" s="12"/>
      <c r="E608" s="12"/>
      <c r="F608" s="12"/>
      <c r="G608" s="12"/>
      <c r="H608" s="12"/>
      <c r="I608" s="12"/>
      <c r="J608" s="12"/>
    </row>
    <row r="609" spans="1:12" s="10" customFormat="1" ht="20.100000000000001" customHeight="1" x14ac:dyDescent="0.35">
      <c r="A609" s="15" t="s">
        <v>475</v>
      </c>
      <c r="B609" s="15"/>
      <c r="C609" s="15"/>
      <c r="D609" s="15"/>
      <c r="E609" s="15"/>
      <c r="F609" s="15"/>
      <c r="G609" s="15"/>
      <c r="H609" s="15"/>
      <c r="I609" s="15"/>
      <c r="J609" s="15"/>
    </row>
    <row r="610" spans="1:12" x14ac:dyDescent="0.25">
      <c r="A610" s="12"/>
      <c r="B610" s="12"/>
      <c r="C610" s="12"/>
      <c r="D610" s="12"/>
      <c r="E610" s="12"/>
      <c r="F610" s="12"/>
      <c r="G610" s="12"/>
      <c r="H610" s="12"/>
      <c r="I610" s="12"/>
      <c r="J610" s="12"/>
    </row>
    <row r="611" spans="1:12" ht="30" x14ac:dyDescent="0.25">
      <c r="A611" s="2" t="s">
        <v>6</v>
      </c>
      <c r="B611" s="2" t="s">
        <v>7</v>
      </c>
      <c r="C611" s="2" t="s">
        <v>8</v>
      </c>
      <c r="D611" s="2" t="s">
        <v>9</v>
      </c>
      <c r="E611" s="2" t="s">
        <v>10</v>
      </c>
      <c r="F611" s="2" t="s">
        <v>11</v>
      </c>
      <c r="G611" s="2" t="s">
        <v>12</v>
      </c>
      <c r="H611" s="2" t="s">
        <v>13</v>
      </c>
      <c r="I611" s="2" t="s">
        <v>14</v>
      </c>
      <c r="J611" s="2" t="s">
        <v>15</v>
      </c>
      <c r="K611" s="2" t="s">
        <v>16</v>
      </c>
      <c r="L611" s="2" t="s">
        <v>17</v>
      </c>
    </row>
    <row r="612" spans="1:12" x14ac:dyDescent="0.25">
      <c r="A612" s="3">
        <v>45714.286435185189</v>
      </c>
      <c r="B612" t="s">
        <v>38</v>
      </c>
      <c r="C612" s="3">
        <v>45714.435532407406</v>
      </c>
      <c r="D612" t="s">
        <v>238</v>
      </c>
      <c r="E612" s="4">
        <v>52.76</v>
      </c>
      <c r="F612" s="4">
        <v>510481.565</v>
      </c>
      <c r="G612" s="4">
        <v>510534.32500000001</v>
      </c>
      <c r="H612" s="5">
        <f>4998 / 86400</f>
        <v>5.7847222222222223E-2</v>
      </c>
      <c r="I612" t="s">
        <v>40</v>
      </c>
      <c r="J612" t="s">
        <v>46</v>
      </c>
      <c r="K612" s="5">
        <f>12881 / 86400</f>
        <v>0.14908564814814815</v>
      </c>
      <c r="L612" s="5">
        <f>24757 / 86400</f>
        <v>0.28653935185185186</v>
      </c>
    </row>
    <row r="613" spans="1:12" x14ac:dyDescent="0.25">
      <c r="A613" s="3">
        <v>45714.435636574075</v>
      </c>
      <c r="B613" t="s">
        <v>238</v>
      </c>
      <c r="C613" s="3">
        <v>45714.436331018514</v>
      </c>
      <c r="D613" t="s">
        <v>405</v>
      </c>
      <c r="E613" s="4">
        <v>0.21099999999999999</v>
      </c>
      <c r="F613" s="4">
        <v>510534.32500000001</v>
      </c>
      <c r="G613" s="4">
        <v>510534.53600000002</v>
      </c>
      <c r="H613" s="5">
        <f>0 / 86400</f>
        <v>0</v>
      </c>
      <c r="I613" t="s">
        <v>20</v>
      </c>
      <c r="J613" t="s">
        <v>42</v>
      </c>
      <c r="K613" s="5">
        <f>60 / 86400</f>
        <v>6.9444444444444447E-4</v>
      </c>
      <c r="L613" s="5">
        <f>368 / 86400</f>
        <v>4.2592592592592595E-3</v>
      </c>
    </row>
    <row r="614" spans="1:12" x14ac:dyDescent="0.25">
      <c r="A614" s="3">
        <v>45714.44059027778</v>
      </c>
      <c r="B614" t="s">
        <v>405</v>
      </c>
      <c r="C614" s="3">
        <v>45714.571851851855</v>
      </c>
      <c r="D614" t="s">
        <v>163</v>
      </c>
      <c r="E614" s="4">
        <v>50.683</v>
      </c>
      <c r="F614" s="4">
        <v>510534.53600000002</v>
      </c>
      <c r="G614" s="4">
        <v>510585.21899999998</v>
      </c>
      <c r="H614" s="5">
        <f>3321 / 86400</f>
        <v>3.8437499999999999E-2</v>
      </c>
      <c r="I614" t="s">
        <v>60</v>
      </c>
      <c r="J614" t="s">
        <v>28</v>
      </c>
      <c r="K614" s="5">
        <f>11341 / 86400</f>
        <v>0.13126157407407407</v>
      </c>
      <c r="L614" s="5">
        <f>302 / 86400</f>
        <v>3.4953703703703705E-3</v>
      </c>
    </row>
    <row r="615" spans="1:12" x14ac:dyDescent="0.25">
      <c r="A615" s="3">
        <v>45714.57534722222</v>
      </c>
      <c r="B615" t="s">
        <v>163</v>
      </c>
      <c r="C615" s="3">
        <v>45714.57912037037</v>
      </c>
      <c r="D615" t="s">
        <v>125</v>
      </c>
      <c r="E615" s="4">
        <v>0.97</v>
      </c>
      <c r="F615" s="4">
        <v>510585.21899999998</v>
      </c>
      <c r="G615" s="4">
        <v>510586.18900000001</v>
      </c>
      <c r="H615" s="5">
        <f>60 / 86400</f>
        <v>6.9444444444444447E-4</v>
      </c>
      <c r="I615" t="s">
        <v>151</v>
      </c>
      <c r="J615" t="s">
        <v>31</v>
      </c>
      <c r="K615" s="5">
        <f>326 / 86400</f>
        <v>3.7731481481481483E-3</v>
      </c>
      <c r="L615" s="5">
        <f>1241 / 86400</f>
        <v>1.4363425925925925E-2</v>
      </c>
    </row>
    <row r="616" spans="1:12" x14ac:dyDescent="0.25">
      <c r="A616" s="3">
        <v>45714.5934837963</v>
      </c>
      <c r="B616" t="s">
        <v>125</v>
      </c>
      <c r="C616" s="3">
        <v>45714.594814814816</v>
      </c>
      <c r="D616" t="s">
        <v>406</v>
      </c>
      <c r="E616" s="4">
        <v>0.39300000000000002</v>
      </c>
      <c r="F616" s="4">
        <v>510586.18900000001</v>
      </c>
      <c r="G616" s="4">
        <v>510586.58199999999</v>
      </c>
      <c r="H616" s="5">
        <f>0 / 86400</f>
        <v>0</v>
      </c>
      <c r="I616" t="s">
        <v>140</v>
      </c>
      <c r="J616" t="s">
        <v>98</v>
      </c>
      <c r="K616" s="5">
        <f>114 / 86400</f>
        <v>1.3194444444444445E-3</v>
      </c>
      <c r="L616" s="5">
        <f>946 / 86400</f>
        <v>1.0949074074074075E-2</v>
      </c>
    </row>
    <row r="617" spans="1:12" x14ac:dyDescent="0.25">
      <c r="A617" s="3">
        <v>45714.605763888889</v>
      </c>
      <c r="B617" t="s">
        <v>39</v>
      </c>
      <c r="C617" s="3">
        <v>45714.609305555554</v>
      </c>
      <c r="D617" t="s">
        <v>89</v>
      </c>
      <c r="E617" s="4">
        <v>1.1399999999999999</v>
      </c>
      <c r="F617" s="4">
        <v>510586.58199999999</v>
      </c>
      <c r="G617" s="4">
        <v>510587.72200000001</v>
      </c>
      <c r="H617" s="5">
        <f>101 / 86400</f>
        <v>1.1689814814814816E-3</v>
      </c>
      <c r="I617" t="s">
        <v>181</v>
      </c>
      <c r="J617" t="s">
        <v>42</v>
      </c>
      <c r="K617" s="5">
        <f>306 / 86400</f>
        <v>3.5416666666666665E-3</v>
      </c>
      <c r="L617" s="5">
        <f>803 / 86400</f>
        <v>9.2939814814814812E-3</v>
      </c>
    </row>
    <row r="618" spans="1:12" x14ac:dyDescent="0.25">
      <c r="A618" s="3">
        <v>45714.618599537032</v>
      </c>
      <c r="B618" t="s">
        <v>89</v>
      </c>
      <c r="C618" s="3">
        <v>45714.85974537037</v>
      </c>
      <c r="D618" t="s">
        <v>80</v>
      </c>
      <c r="E618" s="4">
        <v>92.894000000000005</v>
      </c>
      <c r="F618" s="4">
        <v>510587.72200000001</v>
      </c>
      <c r="G618" s="4">
        <v>510680.61599999998</v>
      </c>
      <c r="H618" s="5">
        <f>6201 / 86400</f>
        <v>7.1770833333333339E-2</v>
      </c>
      <c r="I618" t="s">
        <v>57</v>
      </c>
      <c r="J618" t="s">
        <v>28</v>
      </c>
      <c r="K618" s="5">
        <f>20834 / 86400</f>
        <v>0.24113425925925927</v>
      </c>
      <c r="L618" s="5">
        <f>560 / 86400</f>
        <v>6.4814814814814813E-3</v>
      </c>
    </row>
    <row r="619" spans="1:12" x14ac:dyDescent="0.25">
      <c r="A619" s="3">
        <v>45714.866226851853</v>
      </c>
      <c r="B619" t="s">
        <v>80</v>
      </c>
      <c r="C619" s="3">
        <v>45714.867349537039</v>
      </c>
      <c r="D619" t="s">
        <v>113</v>
      </c>
      <c r="E619" s="4">
        <v>0.22600000000000001</v>
      </c>
      <c r="F619" s="4">
        <v>510680.61599999998</v>
      </c>
      <c r="G619" s="4">
        <v>510680.842</v>
      </c>
      <c r="H619" s="5">
        <f>0 / 86400</f>
        <v>0</v>
      </c>
      <c r="I619" t="s">
        <v>140</v>
      </c>
      <c r="J619" t="s">
        <v>157</v>
      </c>
      <c r="K619" s="5">
        <f>96 / 86400</f>
        <v>1.1111111111111111E-3</v>
      </c>
      <c r="L619" s="5">
        <f>765 / 86400</f>
        <v>8.8541666666666664E-3</v>
      </c>
    </row>
    <row r="620" spans="1:12" x14ac:dyDescent="0.25">
      <c r="A620" s="3">
        <v>45714.876203703709</v>
      </c>
      <c r="B620" t="s">
        <v>113</v>
      </c>
      <c r="C620" s="3">
        <v>45714.879652777774</v>
      </c>
      <c r="D620" t="s">
        <v>47</v>
      </c>
      <c r="E620" s="4">
        <v>0.63400000000000001</v>
      </c>
      <c r="F620" s="4">
        <v>510680.842</v>
      </c>
      <c r="G620" s="4">
        <v>510681.47600000002</v>
      </c>
      <c r="H620" s="5">
        <f>119 / 86400</f>
        <v>1.3773148148148147E-3</v>
      </c>
      <c r="I620" t="s">
        <v>136</v>
      </c>
      <c r="J620" t="s">
        <v>157</v>
      </c>
      <c r="K620" s="5">
        <f>297 / 86400</f>
        <v>3.4375E-3</v>
      </c>
      <c r="L620" s="5">
        <f>5 / 86400</f>
        <v>5.7870370370370373E-5</v>
      </c>
    </row>
    <row r="621" spans="1:12" x14ac:dyDescent="0.25">
      <c r="A621" s="3">
        <v>45714.879710648151</v>
      </c>
      <c r="B621" t="s">
        <v>47</v>
      </c>
      <c r="C621" s="3">
        <v>45714.879907407405</v>
      </c>
      <c r="D621" t="s">
        <v>47</v>
      </c>
      <c r="E621" s="4">
        <v>3.1E-2</v>
      </c>
      <c r="F621" s="4">
        <v>510681.47600000002</v>
      </c>
      <c r="G621" s="4">
        <v>510681.50699999998</v>
      </c>
      <c r="H621" s="5">
        <f>0 / 86400</f>
        <v>0</v>
      </c>
      <c r="I621" t="s">
        <v>157</v>
      </c>
      <c r="J621" t="s">
        <v>147</v>
      </c>
      <c r="K621" s="5">
        <f>17 / 86400</f>
        <v>1.9675925925925926E-4</v>
      </c>
      <c r="L621" s="5">
        <f>991 / 86400</f>
        <v>1.1469907407407408E-2</v>
      </c>
    </row>
    <row r="622" spans="1:12" x14ac:dyDescent="0.25">
      <c r="A622" s="3">
        <v>45714.891377314816</v>
      </c>
      <c r="B622" t="s">
        <v>47</v>
      </c>
      <c r="C622" s="3">
        <v>45714.894606481481</v>
      </c>
      <c r="D622" t="s">
        <v>406</v>
      </c>
      <c r="E622" s="4">
        <v>0.77900000000000003</v>
      </c>
      <c r="F622" s="4">
        <v>510681.50699999998</v>
      </c>
      <c r="G622" s="4">
        <v>510682.28600000002</v>
      </c>
      <c r="H622" s="5">
        <f>0 / 86400</f>
        <v>0</v>
      </c>
      <c r="I622" t="s">
        <v>98</v>
      </c>
      <c r="J622" t="s">
        <v>132</v>
      </c>
      <c r="K622" s="5">
        <f>278 / 86400</f>
        <v>3.2175925925925926E-3</v>
      </c>
      <c r="L622" s="5">
        <f>214 / 86400</f>
        <v>2.476851851851852E-3</v>
      </c>
    </row>
    <row r="623" spans="1:12" x14ac:dyDescent="0.25">
      <c r="A623" s="3">
        <v>45714.89708333333</v>
      </c>
      <c r="B623" t="s">
        <v>406</v>
      </c>
      <c r="C623" s="3">
        <v>45714.898043981477</v>
      </c>
      <c r="D623" t="s">
        <v>39</v>
      </c>
      <c r="E623" s="4">
        <v>9.9000000000000005E-2</v>
      </c>
      <c r="F623" s="4">
        <v>510682.28600000002</v>
      </c>
      <c r="G623" s="4">
        <v>510682.38500000001</v>
      </c>
      <c r="H623" s="5">
        <f>20 / 86400</f>
        <v>2.3148148148148149E-4</v>
      </c>
      <c r="I623" t="s">
        <v>157</v>
      </c>
      <c r="J623" t="s">
        <v>152</v>
      </c>
      <c r="K623" s="5">
        <f>82 / 86400</f>
        <v>9.4907407407407408E-4</v>
      </c>
      <c r="L623" s="5">
        <f>8808 / 86400</f>
        <v>0.10194444444444445</v>
      </c>
    </row>
    <row r="624" spans="1:12" x14ac:dyDescent="0.25">
      <c r="A624" s="12"/>
      <c r="B624" s="12"/>
      <c r="C624" s="12"/>
      <c r="D624" s="12"/>
      <c r="E624" s="12"/>
      <c r="F624" s="12"/>
      <c r="G624" s="12"/>
      <c r="H624" s="12"/>
      <c r="I624" s="12"/>
      <c r="J624" s="12"/>
    </row>
    <row r="625" spans="1:12" x14ac:dyDescent="0.25">
      <c r="A625" s="12"/>
      <c r="B625" s="12"/>
      <c r="C625" s="12"/>
      <c r="D625" s="12"/>
      <c r="E625" s="12"/>
      <c r="F625" s="12"/>
      <c r="G625" s="12"/>
      <c r="H625" s="12"/>
      <c r="I625" s="12"/>
      <c r="J625" s="12"/>
    </row>
    <row r="626" spans="1:12" s="10" customFormat="1" ht="20.100000000000001" customHeight="1" x14ac:dyDescent="0.35">
      <c r="A626" s="15" t="s">
        <v>476</v>
      </c>
      <c r="B626" s="15"/>
      <c r="C626" s="15"/>
      <c r="D626" s="15"/>
      <c r="E626" s="15"/>
      <c r="F626" s="15"/>
      <c r="G626" s="15"/>
      <c r="H626" s="15"/>
      <c r="I626" s="15"/>
      <c r="J626" s="15"/>
    </row>
    <row r="627" spans="1:12" x14ac:dyDescent="0.25">
      <c r="A627" s="12"/>
      <c r="B627" s="12"/>
      <c r="C627" s="12"/>
      <c r="D627" s="12"/>
      <c r="E627" s="12"/>
      <c r="F627" s="12"/>
      <c r="G627" s="12"/>
      <c r="H627" s="12"/>
      <c r="I627" s="12"/>
      <c r="J627" s="12"/>
    </row>
    <row r="628" spans="1:12" ht="30" x14ac:dyDescent="0.25">
      <c r="A628" s="2" t="s">
        <v>6</v>
      </c>
      <c r="B628" s="2" t="s">
        <v>7</v>
      </c>
      <c r="C628" s="2" t="s">
        <v>8</v>
      </c>
      <c r="D628" s="2" t="s">
        <v>9</v>
      </c>
      <c r="E628" s="2" t="s">
        <v>10</v>
      </c>
      <c r="F628" s="2" t="s">
        <v>11</v>
      </c>
      <c r="G628" s="2" t="s">
        <v>12</v>
      </c>
      <c r="H628" s="2" t="s">
        <v>13</v>
      </c>
      <c r="I628" s="2" t="s">
        <v>14</v>
      </c>
      <c r="J628" s="2" t="s">
        <v>15</v>
      </c>
      <c r="K628" s="2" t="s">
        <v>16</v>
      </c>
      <c r="L628" s="2" t="s">
        <v>17</v>
      </c>
    </row>
    <row r="629" spans="1:12" x14ac:dyDescent="0.25">
      <c r="A629" s="3">
        <v>45714.239560185189</v>
      </c>
      <c r="B629" t="s">
        <v>41</v>
      </c>
      <c r="C629" s="3">
        <v>45714.241435185184</v>
      </c>
      <c r="D629" t="s">
        <v>41</v>
      </c>
      <c r="E629" s="4">
        <v>7.0000000000000007E-2</v>
      </c>
      <c r="F629" s="4">
        <v>409381.29599999997</v>
      </c>
      <c r="G629" s="4">
        <v>409381.36599999998</v>
      </c>
      <c r="H629" s="5">
        <f>119 / 86400</f>
        <v>1.3773148148148147E-3</v>
      </c>
      <c r="I629" t="s">
        <v>147</v>
      </c>
      <c r="J629" t="s">
        <v>32</v>
      </c>
      <c r="K629" s="5">
        <f>161 / 86400</f>
        <v>1.8634259259259259E-3</v>
      </c>
      <c r="L629" s="5">
        <f>20723 / 86400</f>
        <v>0.23984953703703704</v>
      </c>
    </row>
    <row r="630" spans="1:12" x14ac:dyDescent="0.25">
      <c r="A630" s="3">
        <v>45714.241724537038</v>
      </c>
      <c r="B630" t="s">
        <v>39</v>
      </c>
      <c r="C630" s="3">
        <v>45714.244687500002</v>
      </c>
      <c r="D630" t="s">
        <v>407</v>
      </c>
      <c r="E630" s="4">
        <v>0.78900000000000003</v>
      </c>
      <c r="F630" s="4">
        <v>409381.36900000001</v>
      </c>
      <c r="G630" s="4">
        <v>409382.158</v>
      </c>
      <c r="H630" s="5">
        <f>40 / 86400</f>
        <v>4.6296296296296298E-4</v>
      </c>
      <c r="I630" t="s">
        <v>170</v>
      </c>
      <c r="J630" t="s">
        <v>31</v>
      </c>
      <c r="K630" s="5">
        <f>256 / 86400</f>
        <v>2.9629629629629628E-3</v>
      </c>
      <c r="L630" s="5">
        <f>2 / 86400</f>
        <v>2.3148148148148147E-5</v>
      </c>
    </row>
    <row r="631" spans="1:12" x14ac:dyDescent="0.25">
      <c r="A631" s="3">
        <v>45714.244710648149</v>
      </c>
      <c r="B631" t="s">
        <v>407</v>
      </c>
      <c r="C631" s="3">
        <v>45714.246736111112</v>
      </c>
      <c r="D631" t="s">
        <v>163</v>
      </c>
      <c r="E631" s="4">
        <v>0.59499999999999997</v>
      </c>
      <c r="F631" s="4">
        <v>409382.16100000002</v>
      </c>
      <c r="G631" s="4">
        <v>409382.75599999999</v>
      </c>
      <c r="H631" s="5">
        <f>0 / 86400</f>
        <v>0</v>
      </c>
      <c r="I631" t="s">
        <v>181</v>
      </c>
      <c r="J631" t="s">
        <v>98</v>
      </c>
      <c r="K631" s="5">
        <f>175 / 86400</f>
        <v>2.0254629629629629E-3</v>
      </c>
      <c r="L631" s="5">
        <f>1087 / 86400</f>
        <v>1.2581018518518519E-2</v>
      </c>
    </row>
    <row r="632" spans="1:12" x14ac:dyDescent="0.25">
      <c r="A632" s="3">
        <v>45714.259317129632</v>
      </c>
      <c r="B632" t="s">
        <v>163</v>
      </c>
      <c r="C632" s="3">
        <v>45714.261203703703</v>
      </c>
      <c r="D632" t="s">
        <v>163</v>
      </c>
      <c r="E632" s="4">
        <v>3.5000000000000003E-2</v>
      </c>
      <c r="F632" s="4">
        <v>409382.75599999999</v>
      </c>
      <c r="G632" s="4">
        <v>409382.79100000003</v>
      </c>
      <c r="H632" s="5">
        <f>140 / 86400</f>
        <v>1.6203703703703703E-3</v>
      </c>
      <c r="I632" t="s">
        <v>135</v>
      </c>
      <c r="J632" t="s">
        <v>78</v>
      </c>
      <c r="K632" s="5">
        <f>162 / 86400</f>
        <v>1.8749999999999999E-3</v>
      </c>
      <c r="L632" s="5">
        <f>20 / 86400</f>
        <v>2.3148148148148149E-4</v>
      </c>
    </row>
    <row r="633" spans="1:12" x14ac:dyDescent="0.25">
      <c r="A633" s="3">
        <v>45714.261435185181</v>
      </c>
      <c r="B633" t="s">
        <v>163</v>
      </c>
      <c r="C633" s="3">
        <v>45714.306481481486</v>
      </c>
      <c r="D633" t="s">
        <v>65</v>
      </c>
      <c r="E633" s="4">
        <v>24.356000000000002</v>
      </c>
      <c r="F633" s="4">
        <v>409382.79100000003</v>
      </c>
      <c r="G633" s="4">
        <v>409407.147</v>
      </c>
      <c r="H633" s="5">
        <f>900 / 86400</f>
        <v>1.0416666666666666E-2</v>
      </c>
      <c r="I633" t="s">
        <v>27</v>
      </c>
      <c r="J633" t="s">
        <v>134</v>
      </c>
      <c r="K633" s="5">
        <f>3892 / 86400</f>
        <v>4.50462962962963E-2</v>
      </c>
      <c r="L633" s="5">
        <f>2 / 86400</f>
        <v>2.3148148148148147E-5</v>
      </c>
    </row>
    <row r="634" spans="1:12" x14ac:dyDescent="0.25">
      <c r="A634" s="3">
        <v>45714.306504629625</v>
      </c>
      <c r="B634" t="s">
        <v>65</v>
      </c>
      <c r="C634" s="3">
        <v>45714.412453703699</v>
      </c>
      <c r="D634" t="s">
        <v>408</v>
      </c>
      <c r="E634" s="4">
        <v>27.462</v>
      </c>
      <c r="F634" s="4">
        <v>409407.16399999999</v>
      </c>
      <c r="G634" s="4">
        <v>409434.62599999999</v>
      </c>
      <c r="H634" s="5">
        <f>3839 / 86400</f>
        <v>4.4432870370370373E-2</v>
      </c>
      <c r="I634" t="s">
        <v>183</v>
      </c>
      <c r="J634" t="s">
        <v>31</v>
      </c>
      <c r="K634" s="5">
        <f>9154 / 86400</f>
        <v>0.10594907407407407</v>
      </c>
      <c r="L634" s="5">
        <f>31 / 86400</f>
        <v>3.5879629629629629E-4</v>
      </c>
    </row>
    <row r="635" spans="1:12" x14ac:dyDescent="0.25">
      <c r="A635" s="3">
        <v>45714.412812499999</v>
      </c>
      <c r="B635" t="s">
        <v>408</v>
      </c>
      <c r="C635" s="3">
        <v>45714.422002314815</v>
      </c>
      <c r="D635" t="s">
        <v>408</v>
      </c>
      <c r="E635" s="4">
        <v>1.2E-2</v>
      </c>
      <c r="F635" s="4">
        <v>409434.62599999999</v>
      </c>
      <c r="G635" s="4">
        <v>409434.63799999998</v>
      </c>
      <c r="H635" s="5">
        <f>779 / 86400</f>
        <v>9.0162037037037034E-3</v>
      </c>
      <c r="I635" t="s">
        <v>77</v>
      </c>
      <c r="J635" t="s">
        <v>22</v>
      </c>
      <c r="K635" s="5">
        <f>794 / 86400</f>
        <v>9.1898148148148156E-3</v>
      </c>
      <c r="L635" s="5">
        <f>2618 / 86400</f>
        <v>3.0300925925925926E-2</v>
      </c>
    </row>
    <row r="636" spans="1:12" x14ac:dyDescent="0.25">
      <c r="A636" s="3">
        <v>45714.452303240745</v>
      </c>
      <c r="B636" t="s">
        <v>408</v>
      </c>
      <c r="C636" s="3">
        <v>45714.583680555559</v>
      </c>
      <c r="D636" t="s">
        <v>409</v>
      </c>
      <c r="E636" s="4">
        <v>46.220999999999997</v>
      </c>
      <c r="F636" s="4">
        <v>409434.63799999998</v>
      </c>
      <c r="G636" s="4">
        <v>409480.859</v>
      </c>
      <c r="H636" s="5">
        <f>3939 / 86400</f>
        <v>4.5590277777777778E-2</v>
      </c>
      <c r="I636" t="s">
        <v>346</v>
      </c>
      <c r="J636" t="s">
        <v>46</v>
      </c>
      <c r="K636" s="5">
        <f>11351 / 86400</f>
        <v>0.13137731481481482</v>
      </c>
      <c r="L636" s="5">
        <f>2587 / 86400</f>
        <v>2.9942129629629631E-2</v>
      </c>
    </row>
    <row r="637" spans="1:12" x14ac:dyDescent="0.25">
      <c r="A637" s="3">
        <v>45714.613622685181</v>
      </c>
      <c r="B637" t="s">
        <v>409</v>
      </c>
      <c r="C637" s="3">
        <v>45714.752858796295</v>
      </c>
      <c r="D637" t="s">
        <v>408</v>
      </c>
      <c r="E637" s="4">
        <v>45.540999999999997</v>
      </c>
      <c r="F637" s="4">
        <v>409480.859</v>
      </c>
      <c r="G637" s="4">
        <v>409526.4</v>
      </c>
      <c r="H637" s="5">
        <f>4961 / 86400</f>
        <v>5.7418981481481481E-2</v>
      </c>
      <c r="I637" t="s">
        <v>185</v>
      </c>
      <c r="J637" t="s">
        <v>52</v>
      </c>
      <c r="K637" s="5">
        <f>12030 / 86400</f>
        <v>0.13923611111111112</v>
      </c>
      <c r="L637" s="5">
        <f>126 / 86400</f>
        <v>1.4583333333333334E-3</v>
      </c>
    </row>
    <row r="638" spans="1:12" x14ac:dyDescent="0.25">
      <c r="A638" s="3">
        <v>45714.754317129627</v>
      </c>
      <c r="B638" t="s">
        <v>408</v>
      </c>
      <c r="C638" s="3">
        <v>45714.88344907407</v>
      </c>
      <c r="D638" t="s">
        <v>104</v>
      </c>
      <c r="E638" s="4">
        <v>30.198</v>
      </c>
      <c r="F638" s="4">
        <v>409526.4</v>
      </c>
      <c r="G638" s="4">
        <v>409556.598</v>
      </c>
      <c r="H638" s="5">
        <f>5000 / 86400</f>
        <v>5.7870370370370371E-2</v>
      </c>
      <c r="I638" t="s">
        <v>266</v>
      </c>
      <c r="J638" t="s">
        <v>132</v>
      </c>
      <c r="K638" s="5">
        <f>11157 / 86400</f>
        <v>0.12913194444444445</v>
      </c>
      <c r="L638" s="5">
        <f>2 / 86400</f>
        <v>2.3148148148148147E-5</v>
      </c>
    </row>
    <row r="639" spans="1:12" x14ac:dyDescent="0.25">
      <c r="A639" s="3">
        <v>45714.883472222224</v>
      </c>
      <c r="B639" t="s">
        <v>104</v>
      </c>
      <c r="C639" s="3">
        <v>45714.905787037038</v>
      </c>
      <c r="D639" t="s">
        <v>410</v>
      </c>
      <c r="E639" s="4">
        <v>13.715999999999999</v>
      </c>
      <c r="F639" s="4">
        <v>409556.59899999999</v>
      </c>
      <c r="G639" s="4">
        <v>409570.315</v>
      </c>
      <c r="H639" s="5">
        <f>260 / 86400</f>
        <v>3.0092592592592593E-3</v>
      </c>
      <c r="I639" t="s">
        <v>117</v>
      </c>
      <c r="J639" t="s">
        <v>170</v>
      </c>
      <c r="K639" s="5">
        <f>1928 / 86400</f>
        <v>2.2314814814814815E-2</v>
      </c>
      <c r="L639" s="5">
        <f>2 / 86400</f>
        <v>2.3148148148148147E-5</v>
      </c>
    </row>
    <row r="640" spans="1:12" x14ac:dyDescent="0.25">
      <c r="A640" s="3">
        <v>45714.905810185184</v>
      </c>
      <c r="B640" t="s">
        <v>410</v>
      </c>
      <c r="C640" s="3">
        <v>45714.908391203702</v>
      </c>
      <c r="D640" t="s">
        <v>307</v>
      </c>
      <c r="E640" s="4">
        <v>0.38800000000000001</v>
      </c>
      <c r="F640" s="4">
        <v>409570.315</v>
      </c>
      <c r="G640" s="4">
        <v>409570.70299999998</v>
      </c>
      <c r="H640" s="5">
        <f>120 / 86400</f>
        <v>1.3888888888888889E-3</v>
      </c>
      <c r="I640" t="s">
        <v>37</v>
      </c>
      <c r="J640" t="s">
        <v>135</v>
      </c>
      <c r="K640" s="5">
        <f>223 / 86400</f>
        <v>2.5810185185185185E-3</v>
      </c>
      <c r="L640" s="5">
        <f>493 / 86400</f>
        <v>5.7060185185185183E-3</v>
      </c>
    </row>
    <row r="641" spans="1:12" x14ac:dyDescent="0.25">
      <c r="A641" s="3">
        <v>45714.914097222223</v>
      </c>
      <c r="B641" t="s">
        <v>411</v>
      </c>
      <c r="C641" s="3">
        <v>45714.918206018519</v>
      </c>
      <c r="D641" t="s">
        <v>412</v>
      </c>
      <c r="E641" s="4">
        <v>0.73</v>
      </c>
      <c r="F641" s="4">
        <v>409570.70299999998</v>
      </c>
      <c r="G641" s="4">
        <v>409571.43300000002</v>
      </c>
      <c r="H641" s="5">
        <f>180 / 86400</f>
        <v>2.0833333333333333E-3</v>
      </c>
      <c r="I641" t="s">
        <v>134</v>
      </c>
      <c r="J641" t="s">
        <v>147</v>
      </c>
      <c r="K641" s="5">
        <f>354 / 86400</f>
        <v>4.0972222222222226E-3</v>
      </c>
      <c r="L641" s="5">
        <f>6 / 86400</f>
        <v>6.9444444444444444E-5</v>
      </c>
    </row>
    <row r="642" spans="1:12" x14ac:dyDescent="0.25">
      <c r="A642" s="3">
        <v>45714.918275462958</v>
      </c>
      <c r="B642" t="s">
        <v>308</v>
      </c>
      <c r="C642" s="3">
        <v>45714.927256944444</v>
      </c>
      <c r="D642" t="s">
        <v>80</v>
      </c>
      <c r="E642" s="4">
        <v>4.056</v>
      </c>
      <c r="F642" s="4">
        <v>409571.43599999999</v>
      </c>
      <c r="G642" s="4">
        <v>409575.49200000003</v>
      </c>
      <c r="H642" s="5">
        <f>120 / 86400</f>
        <v>1.3888888888888889E-3</v>
      </c>
      <c r="I642" t="s">
        <v>174</v>
      </c>
      <c r="J642" t="s">
        <v>25</v>
      </c>
      <c r="K642" s="5">
        <f>776 / 86400</f>
        <v>8.9814814814814809E-3</v>
      </c>
      <c r="L642" s="5">
        <f>456 / 86400</f>
        <v>5.2777777777777779E-3</v>
      </c>
    </row>
    <row r="643" spans="1:12" x14ac:dyDescent="0.25">
      <c r="A643" s="3">
        <v>45714.932534722218</v>
      </c>
      <c r="B643" t="s">
        <v>80</v>
      </c>
      <c r="C643" s="3">
        <v>45714.936886574069</v>
      </c>
      <c r="D643" t="s">
        <v>113</v>
      </c>
      <c r="E643" s="4">
        <v>0.20599999999999999</v>
      </c>
      <c r="F643" s="4">
        <v>409575.49200000003</v>
      </c>
      <c r="G643" s="4">
        <v>409575.69799999997</v>
      </c>
      <c r="H643" s="5">
        <f>279 / 86400</f>
        <v>3.2291666666666666E-3</v>
      </c>
      <c r="I643" t="s">
        <v>52</v>
      </c>
      <c r="J643" t="s">
        <v>32</v>
      </c>
      <c r="K643" s="5">
        <f>376 / 86400</f>
        <v>4.3518518518518515E-3</v>
      </c>
      <c r="L643" s="5">
        <f>233 / 86400</f>
        <v>2.6967592592592594E-3</v>
      </c>
    </row>
    <row r="644" spans="1:12" x14ac:dyDescent="0.25">
      <c r="A644" s="3">
        <v>45714.939583333333</v>
      </c>
      <c r="B644" t="s">
        <v>113</v>
      </c>
      <c r="C644" s="3">
        <v>45714.941550925927</v>
      </c>
      <c r="D644" t="s">
        <v>320</v>
      </c>
      <c r="E644" s="4">
        <v>0.50800000000000001</v>
      </c>
      <c r="F644" s="4">
        <v>409575.69799999997</v>
      </c>
      <c r="G644" s="4">
        <v>409576.20600000001</v>
      </c>
      <c r="H644" s="5">
        <f>40 / 86400</f>
        <v>4.6296296296296298E-4</v>
      </c>
      <c r="I644" t="s">
        <v>197</v>
      </c>
      <c r="J644" t="s">
        <v>31</v>
      </c>
      <c r="K644" s="5">
        <f>170 / 86400</f>
        <v>1.9675925925925924E-3</v>
      </c>
      <c r="L644" s="5">
        <f>111 / 86400</f>
        <v>1.2847222222222223E-3</v>
      </c>
    </row>
    <row r="645" spans="1:12" x14ac:dyDescent="0.25">
      <c r="A645" s="3">
        <v>45714.942835648151</v>
      </c>
      <c r="B645" t="s">
        <v>320</v>
      </c>
      <c r="C645" s="3">
        <v>45714.946435185186</v>
      </c>
      <c r="D645" t="s">
        <v>41</v>
      </c>
      <c r="E645" s="4">
        <v>0.76800000000000002</v>
      </c>
      <c r="F645" s="4">
        <v>409576.20600000001</v>
      </c>
      <c r="G645" s="4">
        <v>409576.97399999999</v>
      </c>
      <c r="H645" s="5">
        <f>79 / 86400</f>
        <v>9.1435185185185185E-4</v>
      </c>
      <c r="I645" t="s">
        <v>20</v>
      </c>
      <c r="J645" t="s">
        <v>70</v>
      </c>
      <c r="K645" s="5">
        <f>310 / 86400</f>
        <v>3.5879629629629629E-3</v>
      </c>
      <c r="L645" s="5">
        <f>4627 / 86400</f>
        <v>5.3553240740740742E-2</v>
      </c>
    </row>
    <row r="646" spans="1:12" x14ac:dyDescent="0.25">
      <c r="A646" s="12"/>
      <c r="B646" s="12"/>
      <c r="C646" s="12"/>
      <c r="D646" s="12"/>
      <c r="E646" s="12"/>
      <c r="F646" s="12"/>
      <c r="G646" s="12"/>
      <c r="H646" s="12"/>
      <c r="I646" s="12"/>
      <c r="J646" s="12"/>
    </row>
    <row r="647" spans="1:12" x14ac:dyDescent="0.25">
      <c r="A647" s="12"/>
      <c r="B647" s="12"/>
      <c r="C647" s="12"/>
      <c r="D647" s="12"/>
      <c r="E647" s="12"/>
      <c r="F647" s="12"/>
      <c r="G647" s="12"/>
      <c r="H647" s="12"/>
      <c r="I647" s="12"/>
      <c r="J647" s="12"/>
    </row>
    <row r="648" spans="1:12" s="10" customFormat="1" ht="20.100000000000001" customHeight="1" x14ac:dyDescent="0.35">
      <c r="A648" s="15" t="s">
        <v>477</v>
      </c>
      <c r="B648" s="15"/>
      <c r="C648" s="15"/>
      <c r="D648" s="15"/>
      <c r="E648" s="15"/>
      <c r="F648" s="15"/>
      <c r="G648" s="15"/>
      <c r="H648" s="15"/>
      <c r="I648" s="15"/>
      <c r="J648" s="15"/>
    </row>
    <row r="649" spans="1:12" x14ac:dyDescent="0.25">
      <c r="A649" s="12"/>
      <c r="B649" s="12"/>
      <c r="C649" s="12"/>
      <c r="D649" s="12"/>
      <c r="E649" s="12"/>
      <c r="F649" s="12"/>
      <c r="G649" s="12"/>
      <c r="H649" s="12"/>
      <c r="I649" s="12"/>
      <c r="J649" s="12"/>
    </row>
    <row r="650" spans="1:12" ht="30" x14ac:dyDescent="0.25">
      <c r="A650" s="2" t="s">
        <v>6</v>
      </c>
      <c r="B650" s="2" t="s">
        <v>7</v>
      </c>
      <c r="C650" s="2" t="s">
        <v>8</v>
      </c>
      <c r="D650" s="2" t="s">
        <v>9</v>
      </c>
      <c r="E650" s="2" t="s">
        <v>10</v>
      </c>
      <c r="F650" s="2" t="s">
        <v>11</v>
      </c>
      <c r="G650" s="2" t="s">
        <v>12</v>
      </c>
      <c r="H650" s="2" t="s">
        <v>13</v>
      </c>
      <c r="I650" s="2" t="s">
        <v>14</v>
      </c>
      <c r="J650" s="2" t="s">
        <v>15</v>
      </c>
      <c r="K650" s="2" t="s">
        <v>16</v>
      </c>
      <c r="L650" s="2" t="s">
        <v>17</v>
      </c>
    </row>
    <row r="651" spans="1:12" x14ac:dyDescent="0.25">
      <c r="A651" s="3">
        <v>45714.266168981485</v>
      </c>
      <c r="B651" t="s">
        <v>43</v>
      </c>
      <c r="C651" s="3">
        <v>45714.284490740742</v>
      </c>
      <c r="D651" t="s">
        <v>413</v>
      </c>
      <c r="E651" s="4">
        <v>0.86399999999999999</v>
      </c>
      <c r="F651" s="4">
        <v>439309.51500000001</v>
      </c>
      <c r="G651" s="4">
        <v>439310.37900000002</v>
      </c>
      <c r="H651" s="5">
        <f>1339 / 86400</f>
        <v>1.5497685185185186E-2</v>
      </c>
      <c r="I651" t="s">
        <v>140</v>
      </c>
      <c r="J651" t="s">
        <v>32</v>
      </c>
      <c r="K651" s="5">
        <f>1583 / 86400</f>
        <v>1.832175925925926E-2</v>
      </c>
      <c r="L651" s="5">
        <f>25898 / 86400</f>
        <v>0.29974537037037036</v>
      </c>
    </row>
    <row r="652" spans="1:12" x14ac:dyDescent="0.25">
      <c r="A652" s="3">
        <v>45714.318067129629</v>
      </c>
      <c r="B652" t="s">
        <v>133</v>
      </c>
      <c r="C652" s="3">
        <v>45714.558738425927</v>
      </c>
      <c r="D652" t="s">
        <v>43</v>
      </c>
      <c r="E652" s="4">
        <v>101.29</v>
      </c>
      <c r="F652" s="4">
        <v>439310.37900000002</v>
      </c>
      <c r="G652" s="4">
        <v>439411.66899999999</v>
      </c>
      <c r="H652" s="5">
        <f>6218 / 86400</f>
        <v>7.1967592592592597E-2</v>
      </c>
      <c r="I652" t="s">
        <v>24</v>
      </c>
      <c r="J652" t="s">
        <v>20</v>
      </c>
      <c r="K652" s="5">
        <f>20793 / 86400</f>
        <v>0.24065972222222223</v>
      </c>
      <c r="L652" s="5">
        <f>894 / 86400</f>
        <v>1.0347222222222223E-2</v>
      </c>
    </row>
    <row r="653" spans="1:12" x14ac:dyDescent="0.25">
      <c r="A653" s="3">
        <v>45714.569085648152</v>
      </c>
      <c r="B653" t="s">
        <v>43</v>
      </c>
      <c r="C653" s="3">
        <v>45714.577800925923</v>
      </c>
      <c r="D653" t="s">
        <v>133</v>
      </c>
      <c r="E653" s="4">
        <v>0.86399999999999999</v>
      </c>
      <c r="F653" s="4">
        <v>439411.66899999999</v>
      </c>
      <c r="G653" s="4">
        <v>439412.533</v>
      </c>
      <c r="H653" s="5">
        <f>479 / 86400</f>
        <v>5.5439814814814813E-3</v>
      </c>
      <c r="I653" t="s">
        <v>131</v>
      </c>
      <c r="J653" t="s">
        <v>152</v>
      </c>
      <c r="K653" s="5">
        <f>752 / 86400</f>
        <v>8.7037037037037031E-3</v>
      </c>
      <c r="L653" s="5">
        <f>5112 / 86400</f>
        <v>5.9166666666666666E-2</v>
      </c>
    </row>
    <row r="654" spans="1:12" x14ac:dyDescent="0.25">
      <c r="A654" s="3">
        <v>45714.636967592596</v>
      </c>
      <c r="B654" t="s">
        <v>133</v>
      </c>
      <c r="C654" s="3">
        <v>45714.639641203699</v>
      </c>
      <c r="D654" t="s">
        <v>43</v>
      </c>
      <c r="E654" s="4">
        <v>0.52500000000000002</v>
      </c>
      <c r="F654" s="4">
        <v>439412.533</v>
      </c>
      <c r="G654" s="4">
        <v>439413.05800000002</v>
      </c>
      <c r="H654" s="5">
        <f>39 / 86400</f>
        <v>4.5138888888888887E-4</v>
      </c>
      <c r="I654" t="s">
        <v>64</v>
      </c>
      <c r="J654" t="s">
        <v>157</v>
      </c>
      <c r="K654" s="5">
        <f>231 / 86400</f>
        <v>2.673611111111111E-3</v>
      </c>
      <c r="L654" s="5">
        <f>31134 / 86400</f>
        <v>0.36034722222222221</v>
      </c>
    </row>
    <row r="655" spans="1:12" x14ac:dyDescent="0.25">
      <c r="A655" s="12"/>
      <c r="B655" s="12"/>
      <c r="C655" s="12"/>
      <c r="D655" s="12"/>
      <c r="E655" s="12"/>
      <c r="F655" s="12"/>
      <c r="G655" s="12"/>
      <c r="H655" s="12"/>
      <c r="I655" s="12"/>
      <c r="J655" s="12"/>
    </row>
    <row r="656" spans="1:12" x14ac:dyDescent="0.25">
      <c r="A656" s="12"/>
      <c r="B656" s="12"/>
      <c r="C656" s="12"/>
      <c r="D656" s="12"/>
      <c r="E656" s="12"/>
      <c r="F656" s="12"/>
      <c r="G656" s="12"/>
      <c r="H656" s="12"/>
      <c r="I656" s="12"/>
      <c r="J656" s="12"/>
    </row>
    <row r="657" spans="1:12" s="10" customFormat="1" ht="20.100000000000001" customHeight="1" x14ac:dyDescent="0.35">
      <c r="A657" s="15" t="s">
        <v>478</v>
      </c>
      <c r="B657" s="15"/>
      <c r="C657" s="15"/>
      <c r="D657" s="15"/>
      <c r="E657" s="15"/>
      <c r="F657" s="15"/>
      <c r="G657" s="15"/>
      <c r="H657" s="15"/>
      <c r="I657" s="15"/>
      <c r="J657" s="15"/>
    </row>
    <row r="658" spans="1:12" x14ac:dyDescent="0.25">
      <c r="A658" s="12"/>
      <c r="B658" s="12"/>
      <c r="C658" s="12"/>
      <c r="D658" s="12"/>
      <c r="E658" s="12"/>
      <c r="F658" s="12"/>
      <c r="G658" s="12"/>
      <c r="H658" s="12"/>
      <c r="I658" s="12"/>
      <c r="J658" s="12"/>
    </row>
    <row r="659" spans="1:12" ht="30" x14ac:dyDescent="0.25">
      <c r="A659" s="2" t="s">
        <v>6</v>
      </c>
      <c r="B659" s="2" t="s">
        <v>7</v>
      </c>
      <c r="C659" s="2" t="s">
        <v>8</v>
      </c>
      <c r="D659" s="2" t="s">
        <v>9</v>
      </c>
      <c r="E659" s="2" t="s">
        <v>10</v>
      </c>
      <c r="F659" s="2" t="s">
        <v>11</v>
      </c>
      <c r="G659" s="2" t="s">
        <v>12</v>
      </c>
      <c r="H659" s="2" t="s">
        <v>13</v>
      </c>
      <c r="I659" s="2" t="s">
        <v>14</v>
      </c>
      <c r="J659" s="2" t="s">
        <v>15</v>
      </c>
      <c r="K659" s="2" t="s">
        <v>16</v>
      </c>
      <c r="L659" s="2" t="s">
        <v>17</v>
      </c>
    </row>
    <row r="660" spans="1:12" x14ac:dyDescent="0.25">
      <c r="A660" s="3">
        <v>45714.223773148144</v>
      </c>
      <c r="B660" t="s">
        <v>44</v>
      </c>
      <c r="C660" s="3">
        <v>45714.233067129629</v>
      </c>
      <c r="D660" t="s">
        <v>393</v>
      </c>
      <c r="E660" s="4">
        <v>2.5630000000000002</v>
      </c>
      <c r="F660" s="4">
        <v>56849.118999999999</v>
      </c>
      <c r="G660" s="4">
        <v>56851.682000000001</v>
      </c>
      <c r="H660" s="5">
        <f>80 / 86400</f>
        <v>9.2592592592592596E-4</v>
      </c>
      <c r="I660" t="s">
        <v>37</v>
      </c>
      <c r="J660" t="s">
        <v>31</v>
      </c>
      <c r="K660" s="5">
        <f>803 / 86400</f>
        <v>9.2939814814814812E-3</v>
      </c>
      <c r="L660" s="5">
        <f>20957 / 86400</f>
        <v>0.24255787037037038</v>
      </c>
    </row>
    <row r="661" spans="1:12" x14ac:dyDescent="0.25">
      <c r="A661" s="3">
        <v>45714.251851851848</v>
      </c>
      <c r="B661" t="s">
        <v>393</v>
      </c>
      <c r="C661" s="3">
        <v>45714.252129629633</v>
      </c>
      <c r="D661" t="s">
        <v>393</v>
      </c>
      <c r="E661" s="4">
        <v>0</v>
      </c>
      <c r="F661" s="4">
        <v>56851.682000000001</v>
      </c>
      <c r="G661" s="4">
        <v>56851.682000000001</v>
      </c>
      <c r="H661" s="5">
        <f>19 / 86400</f>
        <v>2.199074074074074E-4</v>
      </c>
      <c r="I661" t="s">
        <v>22</v>
      </c>
      <c r="J661" t="s">
        <v>22</v>
      </c>
      <c r="K661" s="5">
        <f>23 / 86400</f>
        <v>2.6620370370370372E-4</v>
      </c>
      <c r="L661" s="5">
        <f>107 / 86400</f>
        <v>1.238425925925926E-3</v>
      </c>
    </row>
    <row r="662" spans="1:12" x14ac:dyDescent="0.25">
      <c r="A662" s="3">
        <v>45714.253368055557</v>
      </c>
      <c r="B662" t="s">
        <v>393</v>
      </c>
      <c r="C662" s="3">
        <v>45714.362233796295</v>
      </c>
      <c r="D662" t="s">
        <v>414</v>
      </c>
      <c r="E662" s="4">
        <v>45.250999999999998</v>
      </c>
      <c r="F662" s="4">
        <v>56851.682000000001</v>
      </c>
      <c r="G662" s="4">
        <v>56896.932999999997</v>
      </c>
      <c r="H662" s="5">
        <f>3528 / 86400</f>
        <v>4.0833333333333333E-2</v>
      </c>
      <c r="I662" t="s">
        <v>45</v>
      </c>
      <c r="J662" t="s">
        <v>61</v>
      </c>
      <c r="K662" s="5">
        <f>9405 / 86400</f>
        <v>0.10885416666666667</v>
      </c>
      <c r="L662" s="5">
        <f>394 / 86400</f>
        <v>4.5601851851851853E-3</v>
      </c>
    </row>
    <row r="663" spans="1:12" x14ac:dyDescent="0.25">
      <c r="A663" s="3">
        <v>45714.366793981477</v>
      </c>
      <c r="B663" t="s">
        <v>414</v>
      </c>
      <c r="C663" s="3">
        <v>45714.369085648148</v>
      </c>
      <c r="D663" t="s">
        <v>240</v>
      </c>
      <c r="E663" s="4">
        <v>0.432</v>
      </c>
      <c r="F663" s="4">
        <v>56896.932999999997</v>
      </c>
      <c r="G663" s="4">
        <v>56897.364999999998</v>
      </c>
      <c r="H663" s="5">
        <f>39 / 86400</f>
        <v>4.5138888888888887E-4</v>
      </c>
      <c r="I663" t="s">
        <v>46</v>
      </c>
      <c r="J663" t="s">
        <v>157</v>
      </c>
      <c r="K663" s="5">
        <f>197 / 86400</f>
        <v>2.2800925925925927E-3</v>
      </c>
      <c r="L663" s="5">
        <f>1856 / 86400</f>
        <v>2.148148148148148E-2</v>
      </c>
    </row>
    <row r="664" spans="1:12" x14ac:dyDescent="0.25">
      <c r="A664" s="3">
        <v>45714.390567129631</v>
      </c>
      <c r="B664" t="s">
        <v>240</v>
      </c>
      <c r="C664" s="3">
        <v>45714.41238425926</v>
      </c>
      <c r="D664" t="s">
        <v>415</v>
      </c>
      <c r="E664" s="4">
        <v>4.9770000000000003</v>
      </c>
      <c r="F664" s="4">
        <v>56897.364999999998</v>
      </c>
      <c r="G664" s="4">
        <v>56902.341999999997</v>
      </c>
      <c r="H664" s="5">
        <f>920 / 86400</f>
        <v>1.0648148148148148E-2</v>
      </c>
      <c r="I664" t="s">
        <v>195</v>
      </c>
      <c r="J664" t="s">
        <v>132</v>
      </c>
      <c r="K664" s="5">
        <f>1885 / 86400</f>
        <v>2.1817129629629631E-2</v>
      </c>
      <c r="L664" s="5">
        <f>394 / 86400</f>
        <v>4.5601851851851853E-3</v>
      </c>
    </row>
    <row r="665" spans="1:12" x14ac:dyDescent="0.25">
      <c r="A665" s="3">
        <v>45714.416944444441</v>
      </c>
      <c r="B665" t="s">
        <v>415</v>
      </c>
      <c r="C665" s="3">
        <v>45714.543472222227</v>
      </c>
      <c r="D665" t="s">
        <v>80</v>
      </c>
      <c r="E665" s="4">
        <v>47.180999999999997</v>
      </c>
      <c r="F665" s="4">
        <v>56902.341999999997</v>
      </c>
      <c r="G665" s="4">
        <v>56949.523000000001</v>
      </c>
      <c r="H665" s="5">
        <f>3999 / 86400</f>
        <v>4.628472222222222E-2</v>
      </c>
      <c r="I665" t="s">
        <v>150</v>
      </c>
      <c r="J665" t="s">
        <v>28</v>
      </c>
      <c r="K665" s="5">
        <f>10931 / 86400</f>
        <v>0.1265162037037037</v>
      </c>
      <c r="L665" s="5">
        <f>845 / 86400</f>
        <v>9.780092592592592E-3</v>
      </c>
    </row>
    <row r="666" spans="1:12" x14ac:dyDescent="0.25">
      <c r="A666" s="3">
        <v>45714.553252314814</v>
      </c>
      <c r="B666" t="s">
        <v>80</v>
      </c>
      <c r="C666" s="3">
        <v>45714.553506944445</v>
      </c>
      <c r="D666" t="s">
        <v>160</v>
      </c>
      <c r="E666" s="4">
        <v>1.4999999999999999E-2</v>
      </c>
      <c r="F666" s="4">
        <v>56949.523000000001</v>
      </c>
      <c r="G666" s="4">
        <v>56949.538</v>
      </c>
      <c r="H666" s="5">
        <f>0 / 86400</f>
        <v>0</v>
      </c>
      <c r="I666" t="s">
        <v>32</v>
      </c>
      <c r="J666" t="s">
        <v>32</v>
      </c>
      <c r="K666" s="5">
        <f>22 / 86400</f>
        <v>2.5462962962962961E-4</v>
      </c>
      <c r="L666" s="5">
        <f>124 / 86400</f>
        <v>1.4351851851851852E-3</v>
      </c>
    </row>
    <row r="667" spans="1:12" x14ac:dyDescent="0.25">
      <c r="A667" s="3">
        <v>45714.554942129631</v>
      </c>
      <c r="B667" t="s">
        <v>160</v>
      </c>
      <c r="C667" s="3">
        <v>45714.556423611109</v>
      </c>
      <c r="D667" t="s">
        <v>121</v>
      </c>
      <c r="E667" s="4">
        <v>0.191</v>
      </c>
      <c r="F667" s="4">
        <v>56949.538</v>
      </c>
      <c r="G667" s="4">
        <v>56949.728999999999</v>
      </c>
      <c r="H667" s="5">
        <f>39 / 86400</f>
        <v>4.5138888888888887E-4</v>
      </c>
      <c r="I667" t="s">
        <v>132</v>
      </c>
      <c r="J667" t="s">
        <v>77</v>
      </c>
      <c r="K667" s="5">
        <f>128 / 86400</f>
        <v>1.4814814814814814E-3</v>
      </c>
      <c r="L667" s="5">
        <f>1003 / 86400</f>
        <v>1.1608796296296296E-2</v>
      </c>
    </row>
    <row r="668" spans="1:12" x14ac:dyDescent="0.25">
      <c r="A668" s="3">
        <v>45714.568032407406</v>
      </c>
      <c r="B668" t="s">
        <v>121</v>
      </c>
      <c r="C668" s="3">
        <v>45714.571168981478</v>
      </c>
      <c r="D668" t="s">
        <v>80</v>
      </c>
      <c r="E668" s="4">
        <v>0.28199999999999997</v>
      </c>
      <c r="F668" s="4">
        <v>56949.728999999999</v>
      </c>
      <c r="G668" s="4">
        <v>56950.010999999999</v>
      </c>
      <c r="H668" s="5">
        <f>140 / 86400</f>
        <v>1.6203703703703703E-3</v>
      </c>
      <c r="I668" t="s">
        <v>136</v>
      </c>
      <c r="J668" t="s">
        <v>152</v>
      </c>
      <c r="K668" s="5">
        <f>271 / 86400</f>
        <v>3.1365740740740742E-3</v>
      </c>
      <c r="L668" s="5">
        <f>86 / 86400</f>
        <v>9.9537037037037042E-4</v>
      </c>
    </row>
    <row r="669" spans="1:12" x14ac:dyDescent="0.25">
      <c r="A669" s="3">
        <v>45714.572164351848</v>
      </c>
      <c r="B669" t="s">
        <v>80</v>
      </c>
      <c r="C669" s="3">
        <v>45714.573518518519</v>
      </c>
      <c r="D669" t="s">
        <v>80</v>
      </c>
      <c r="E669" s="4">
        <v>4.1000000000000002E-2</v>
      </c>
      <c r="F669" s="4">
        <v>56950.010999999999</v>
      </c>
      <c r="G669" s="4">
        <v>56950.052000000003</v>
      </c>
      <c r="H669" s="5">
        <f>59 / 86400</f>
        <v>6.8287037037037036E-4</v>
      </c>
      <c r="I669" t="s">
        <v>152</v>
      </c>
      <c r="J669" t="s">
        <v>78</v>
      </c>
      <c r="K669" s="5">
        <f>117 / 86400</f>
        <v>1.3541666666666667E-3</v>
      </c>
      <c r="L669" s="5">
        <f>69 / 86400</f>
        <v>7.9861111111111116E-4</v>
      </c>
    </row>
    <row r="670" spans="1:12" x14ac:dyDescent="0.25">
      <c r="A670" s="3">
        <v>45714.574317129634</v>
      </c>
      <c r="B670" t="s">
        <v>80</v>
      </c>
      <c r="C670" s="3">
        <v>45714.574733796297</v>
      </c>
      <c r="D670" t="s">
        <v>80</v>
      </c>
      <c r="E670" s="4">
        <v>1.9E-2</v>
      </c>
      <c r="F670" s="4">
        <v>56950.052000000003</v>
      </c>
      <c r="G670" s="4">
        <v>56950.071000000004</v>
      </c>
      <c r="H670" s="5">
        <f>0 / 86400</f>
        <v>0</v>
      </c>
      <c r="I670" t="s">
        <v>77</v>
      </c>
      <c r="J670" t="s">
        <v>32</v>
      </c>
      <c r="K670" s="5">
        <f>36 / 86400</f>
        <v>4.1666666666666669E-4</v>
      </c>
      <c r="L670" s="5">
        <f>482 / 86400</f>
        <v>5.5787037037037038E-3</v>
      </c>
    </row>
    <row r="671" spans="1:12" x14ac:dyDescent="0.25">
      <c r="A671" s="3">
        <v>45714.580312499995</v>
      </c>
      <c r="B671" t="s">
        <v>80</v>
      </c>
      <c r="C671" s="3">
        <v>45714.581689814819</v>
      </c>
      <c r="D671" t="s">
        <v>160</v>
      </c>
      <c r="E671" s="4">
        <v>8.7999999999999995E-2</v>
      </c>
      <c r="F671" s="4">
        <v>56950.071000000004</v>
      </c>
      <c r="G671" s="4">
        <v>56950.159</v>
      </c>
      <c r="H671" s="5">
        <f>59 / 86400</f>
        <v>6.8287037037037036E-4</v>
      </c>
      <c r="I671" t="s">
        <v>147</v>
      </c>
      <c r="J671" t="s">
        <v>102</v>
      </c>
      <c r="K671" s="5">
        <f>119 / 86400</f>
        <v>1.3773148148148147E-3</v>
      </c>
      <c r="L671" s="5">
        <f>118 / 86400</f>
        <v>1.3657407407407407E-3</v>
      </c>
    </row>
    <row r="672" spans="1:12" x14ac:dyDescent="0.25">
      <c r="A672" s="3">
        <v>45714.583055555559</v>
      </c>
      <c r="B672" t="s">
        <v>160</v>
      </c>
      <c r="C672" s="3">
        <v>45714.592962962968</v>
      </c>
      <c r="D672" t="s">
        <v>416</v>
      </c>
      <c r="E672" s="4">
        <v>4.4889999999999999</v>
      </c>
      <c r="F672" s="4">
        <v>56950.159</v>
      </c>
      <c r="G672" s="4">
        <v>56954.648000000001</v>
      </c>
      <c r="H672" s="5">
        <f>79 / 86400</f>
        <v>9.1435185185185185E-4</v>
      </c>
      <c r="I672" t="s">
        <v>154</v>
      </c>
      <c r="J672" t="s">
        <v>25</v>
      </c>
      <c r="K672" s="5">
        <f>856 / 86400</f>
        <v>9.9074074074074082E-3</v>
      </c>
      <c r="L672" s="5">
        <f>2363 / 86400</f>
        <v>2.7349537037037037E-2</v>
      </c>
    </row>
    <row r="673" spans="1:12" x14ac:dyDescent="0.25">
      <c r="A673" s="3">
        <v>45714.620312500003</v>
      </c>
      <c r="B673" t="s">
        <v>416</v>
      </c>
      <c r="C673" s="3">
        <v>45714.626770833333</v>
      </c>
      <c r="D673" t="s">
        <v>394</v>
      </c>
      <c r="E673" s="4">
        <v>0.13500000000000001</v>
      </c>
      <c r="F673" s="4">
        <v>56954.648000000001</v>
      </c>
      <c r="G673" s="4">
        <v>56954.783000000003</v>
      </c>
      <c r="H673" s="5">
        <f>480 / 86400</f>
        <v>5.5555555555555558E-3</v>
      </c>
      <c r="I673" t="s">
        <v>98</v>
      </c>
      <c r="J673" t="s">
        <v>78</v>
      </c>
      <c r="K673" s="5">
        <f>558 / 86400</f>
        <v>6.4583333333333333E-3</v>
      </c>
      <c r="L673" s="5">
        <f>4 / 86400</f>
        <v>4.6296296296296294E-5</v>
      </c>
    </row>
    <row r="674" spans="1:12" x14ac:dyDescent="0.25">
      <c r="A674" s="3">
        <v>45714.626817129625</v>
      </c>
      <c r="B674" t="s">
        <v>394</v>
      </c>
      <c r="C674" s="3">
        <v>45714.718217592592</v>
      </c>
      <c r="D674" t="s">
        <v>417</v>
      </c>
      <c r="E674" s="4">
        <v>42.204000000000001</v>
      </c>
      <c r="F674" s="4">
        <v>56954.783000000003</v>
      </c>
      <c r="G674" s="4">
        <v>56996.987000000001</v>
      </c>
      <c r="H674" s="5">
        <f>2584 / 86400</f>
        <v>2.9907407407407407E-2</v>
      </c>
      <c r="I674" t="s">
        <v>84</v>
      </c>
      <c r="J674" t="s">
        <v>25</v>
      </c>
      <c r="K674" s="5">
        <f>7897 / 86400</f>
        <v>9.1400462962962961E-2</v>
      </c>
      <c r="L674" s="5">
        <f>64 / 86400</f>
        <v>7.407407407407407E-4</v>
      </c>
    </row>
    <row r="675" spans="1:12" x14ac:dyDescent="0.25">
      <c r="A675" s="3">
        <v>45714.718958333338</v>
      </c>
      <c r="B675" t="s">
        <v>417</v>
      </c>
      <c r="C675" s="3">
        <v>45714.854965277773</v>
      </c>
      <c r="D675" t="s">
        <v>80</v>
      </c>
      <c r="E675" s="4">
        <v>46.359000000000002</v>
      </c>
      <c r="F675" s="4">
        <v>56996.987000000001</v>
      </c>
      <c r="G675" s="4">
        <v>57043.345999999998</v>
      </c>
      <c r="H675" s="5">
        <f>4440 / 86400</f>
        <v>5.1388888888888887E-2</v>
      </c>
      <c r="I675" t="s">
        <v>161</v>
      </c>
      <c r="J675" t="s">
        <v>52</v>
      </c>
      <c r="K675" s="5">
        <f>11750 / 86400</f>
        <v>0.13599537037037038</v>
      </c>
      <c r="L675" s="5">
        <f>337 / 86400</f>
        <v>3.9004629629629628E-3</v>
      </c>
    </row>
    <row r="676" spans="1:12" x14ac:dyDescent="0.25">
      <c r="A676" s="3">
        <v>45714.858865740738</v>
      </c>
      <c r="B676" t="s">
        <v>80</v>
      </c>
      <c r="C676" s="3">
        <v>45714.859456018516</v>
      </c>
      <c r="D676" t="s">
        <v>160</v>
      </c>
      <c r="E676" s="4">
        <v>6.9000000000000006E-2</v>
      </c>
      <c r="F676" s="4">
        <v>57043.345999999998</v>
      </c>
      <c r="G676" s="4">
        <v>57043.415000000001</v>
      </c>
      <c r="H676" s="5">
        <f>0 / 86400</f>
        <v>0</v>
      </c>
      <c r="I676" t="s">
        <v>77</v>
      </c>
      <c r="J676" t="s">
        <v>77</v>
      </c>
      <c r="K676" s="5">
        <f>51 / 86400</f>
        <v>5.9027777777777778E-4</v>
      </c>
      <c r="L676" s="5">
        <f>402 / 86400</f>
        <v>4.6527777777777774E-3</v>
      </c>
    </row>
    <row r="677" spans="1:12" x14ac:dyDescent="0.25">
      <c r="A677" s="3">
        <v>45714.864108796297</v>
      </c>
      <c r="B677" t="s">
        <v>160</v>
      </c>
      <c r="C677" s="3">
        <v>45714.878935185188</v>
      </c>
      <c r="D677" t="s">
        <v>44</v>
      </c>
      <c r="E677" s="4">
        <v>4.9550000000000001</v>
      </c>
      <c r="F677" s="4">
        <v>57043.415000000001</v>
      </c>
      <c r="G677" s="4">
        <v>57048.37</v>
      </c>
      <c r="H677" s="5">
        <f>140 / 86400</f>
        <v>1.6203703703703703E-3</v>
      </c>
      <c r="I677" t="s">
        <v>184</v>
      </c>
      <c r="J677" t="s">
        <v>52</v>
      </c>
      <c r="K677" s="5">
        <f>1281 / 86400</f>
        <v>1.4826388888888889E-2</v>
      </c>
      <c r="L677" s="5">
        <f>10459 / 86400</f>
        <v>0.12105324074074074</v>
      </c>
    </row>
    <row r="678" spans="1:12" x14ac:dyDescent="0.25">
      <c r="A678" s="12"/>
      <c r="B678" s="12"/>
      <c r="C678" s="12"/>
      <c r="D678" s="12"/>
      <c r="E678" s="12"/>
      <c r="F678" s="12"/>
      <c r="G678" s="12"/>
      <c r="H678" s="12"/>
      <c r="I678" s="12"/>
      <c r="J678" s="12"/>
    </row>
    <row r="679" spans="1:12" x14ac:dyDescent="0.25">
      <c r="A679" s="12"/>
      <c r="B679" s="12"/>
      <c r="C679" s="12"/>
      <c r="D679" s="12"/>
      <c r="E679" s="12"/>
      <c r="F679" s="12"/>
      <c r="G679" s="12"/>
      <c r="H679" s="12"/>
      <c r="I679" s="12"/>
      <c r="J679" s="12"/>
    </row>
    <row r="680" spans="1:12" s="10" customFormat="1" ht="20.100000000000001" customHeight="1" x14ac:dyDescent="0.35">
      <c r="A680" s="15" t="s">
        <v>479</v>
      </c>
      <c r="B680" s="15"/>
      <c r="C680" s="15"/>
      <c r="D680" s="15"/>
      <c r="E680" s="15"/>
      <c r="F680" s="15"/>
      <c r="G680" s="15"/>
      <c r="H680" s="15"/>
      <c r="I680" s="15"/>
      <c r="J680" s="15"/>
    </row>
    <row r="681" spans="1:12" x14ac:dyDescent="0.25">
      <c r="A681" s="12"/>
      <c r="B681" s="12"/>
      <c r="C681" s="12"/>
      <c r="D681" s="12"/>
      <c r="E681" s="12"/>
      <c r="F681" s="12"/>
      <c r="G681" s="12"/>
      <c r="H681" s="12"/>
      <c r="I681" s="12"/>
      <c r="J681" s="12"/>
    </row>
    <row r="682" spans="1:12" ht="30" x14ac:dyDescent="0.25">
      <c r="A682" s="2" t="s">
        <v>6</v>
      </c>
      <c r="B682" s="2" t="s">
        <v>7</v>
      </c>
      <c r="C682" s="2" t="s">
        <v>8</v>
      </c>
      <c r="D682" s="2" t="s">
        <v>9</v>
      </c>
      <c r="E682" s="2" t="s">
        <v>10</v>
      </c>
      <c r="F682" s="2" t="s">
        <v>11</v>
      </c>
      <c r="G682" s="2" t="s">
        <v>12</v>
      </c>
      <c r="H682" s="2" t="s">
        <v>13</v>
      </c>
      <c r="I682" s="2" t="s">
        <v>14</v>
      </c>
      <c r="J682" s="2" t="s">
        <v>15</v>
      </c>
      <c r="K682" s="2" t="s">
        <v>16</v>
      </c>
      <c r="L682" s="2" t="s">
        <v>17</v>
      </c>
    </row>
    <row r="683" spans="1:12" x14ac:dyDescent="0.25">
      <c r="A683" s="3">
        <v>45714.206250000003</v>
      </c>
      <c r="B683" t="s">
        <v>47</v>
      </c>
      <c r="C683" s="3">
        <v>45714.206400462965</v>
      </c>
      <c r="D683" t="s">
        <v>47</v>
      </c>
      <c r="E683" s="4">
        <v>0</v>
      </c>
      <c r="F683" s="4">
        <v>217451.56599999999</v>
      </c>
      <c r="G683" s="4">
        <v>217451.56599999999</v>
      </c>
      <c r="H683" s="5">
        <f>0 / 86400</f>
        <v>0</v>
      </c>
      <c r="I683" t="s">
        <v>22</v>
      </c>
      <c r="J683" t="s">
        <v>22</v>
      </c>
      <c r="K683" s="5">
        <f>13 / 86400</f>
        <v>1.5046296296296297E-4</v>
      </c>
      <c r="L683" s="5">
        <f>23226 / 86400</f>
        <v>0.26881944444444444</v>
      </c>
    </row>
    <row r="684" spans="1:12" x14ac:dyDescent="0.25">
      <c r="A684" s="3">
        <v>45714.268969907411</v>
      </c>
      <c r="B684" t="s">
        <v>47</v>
      </c>
      <c r="C684" s="3">
        <v>45714.269062499996</v>
      </c>
      <c r="D684" t="s">
        <v>47</v>
      </c>
      <c r="E684" s="4">
        <v>0</v>
      </c>
      <c r="F684" s="4">
        <v>217451.56599999999</v>
      </c>
      <c r="G684" s="4">
        <v>217451.56599999999</v>
      </c>
      <c r="H684" s="5">
        <f>0 / 86400</f>
        <v>0</v>
      </c>
      <c r="I684" t="s">
        <v>22</v>
      </c>
      <c r="J684" t="s">
        <v>22</v>
      </c>
      <c r="K684" s="5">
        <f>8 / 86400</f>
        <v>9.2592592592592588E-5</v>
      </c>
      <c r="L684" s="5">
        <f>3 / 86400</f>
        <v>3.4722222222222222E-5</v>
      </c>
    </row>
    <row r="685" spans="1:12" x14ac:dyDescent="0.25">
      <c r="A685" s="3">
        <v>45714.269097222219</v>
      </c>
      <c r="B685" t="s">
        <v>47</v>
      </c>
      <c r="C685" s="3">
        <v>45714.517071759255</v>
      </c>
      <c r="D685" t="s">
        <v>160</v>
      </c>
      <c r="E685" s="4">
        <v>100.749</v>
      </c>
      <c r="F685" s="4">
        <v>217451.56599999999</v>
      </c>
      <c r="G685" s="4">
        <v>217552.315</v>
      </c>
      <c r="H685" s="5">
        <f>7928 / 86400</f>
        <v>9.1759259259259263E-2</v>
      </c>
      <c r="I685" t="s">
        <v>48</v>
      </c>
      <c r="J685" t="s">
        <v>61</v>
      </c>
      <c r="K685" s="5">
        <f>21425 / 86400</f>
        <v>0.24797453703703703</v>
      </c>
      <c r="L685" s="5">
        <f>4441 / 86400</f>
        <v>5.140046296296296E-2</v>
      </c>
    </row>
    <row r="686" spans="1:12" x14ac:dyDescent="0.25">
      <c r="A686" s="3">
        <v>45714.568472222221</v>
      </c>
      <c r="B686" t="s">
        <v>160</v>
      </c>
      <c r="C686" s="3">
        <v>45714.790474537032</v>
      </c>
      <c r="D686" t="s">
        <v>156</v>
      </c>
      <c r="E686" s="4">
        <v>93.233999999999995</v>
      </c>
      <c r="F686" s="4">
        <v>217552.315</v>
      </c>
      <c r="G686" s="4">
        <v>217645.549</v>
      </c>
      <c r="H686" s="5">
        <f>7149 / 86400</f>
        <v>8.2743055555555556E-2</v>
      </c>
      <c r="I686" t="s">
        <v>418</v>
      </c>
      <c r="J686" t="s">
        <v>61</v>
      </c>
      <c r="K686" s="5">
        <f>19181 / 86400</f>
        <v>0.22200231481481481</v>
      </c>
      <c r="L686" s="5">
        <f>371 / 86400</f>
        <v>4.2939814814814811E-3</v>
      </c>
    </row>
    <row r="687" spans="1:12" x14ac:dyDescent="0.25">
      <c r="A687" s="3">
        <v>45714.794768518521</v>
      </c>
      <c r="B687" t="s">
        <v>156</v>
      </c>
      <c r="C687" s="3">
        <v>45714.79686342593</v>
      </c>
      <c r="D687" t="s">
        <v>47</v>
      </c>
      <c r="E687" s="4">
        <v>0.33500000000000002</v>
      </c>
      <c r="F687" s="4">
        <v>217645.549</v>
      </c>
      <c r="G687" s="4">
        <v>217645.88399999999</v>
      </c>
      <c r="H687" s="5">
        <f>60 / 86400</f>
        <v>6.9444444444444447E-4</v>
      </c>
      <c r="I687" t="s">
        <v>52</v>
      </c>
      <c r="J687" t="s">
        <v>147</v>
      </c>
      <c r="K687" s="5">
        <f>180 / 86400</f>
        <v>2.0833333333333333E-3</v>
      </c>
      <c r="L687" s="5">
        <f>484 / 86400</f>
        <v>5.6018518518518518E-3</v>
      </c>
    </row>
    <row r="688" spans="1:12" x14ac:dyDescent="0.25">
      <c r="A688" s="3">
        <v>45714.802465277782</v>
      </c>
      <c r="B688" t="s">
        <v>47</v>
      </c>
      <c r="C688" s="3">
        <v>45714.807650462964</v>
      </c>
      <c r="D688" t="s">
        <v>80</v>
      </c>
      <c r="E688" s="4">
        <v>1.3029999999999999</v>
      </c>
      <c r="F688" s="4">
        <v>217645.88399999999</v>
      </c>
      <c r="G688" s="4">
        <v>217647.18700000001</v>
      </c>
      <c r="H688" s="5">
        <f>159 / 86400</f>
        <v>1.8402777777777777E-3</v>
      </c>
      <c r="I688" t="s">
        <v>288</v>
      </c>
      <c r="J688" t="s">
        <v>132</v>
      </c>
      <c r="K688" s="5">
        <f>447 / 86400</f>
        <v>5.1736111111111115E-3</v>
      </c>
      <c r="L688" s="5">
        <f>308 / 86400</f>
        <v>3.5648148148148149E-3</v>
      </c>
    </row>
    <row r="689" spans="1:12" x14ac:dyDescent="0.25">
      <c r="A689" s="3">
        <v>45714.811215277776</v>
      </c>
      <c r="B689" t="s">
        <v>80</v>
      </c>
      <c r="C689" s="3">
        <v>45714.812627314815</v>
      </c>
      <c r="D689" t="s">
        <v>160</v>
      </c>
      <c r="E689" s="4">
        <v>0.35699999999999998</v>
      </c>
      <c r="F689" s="4">
        <v>217647.18700000001</v>
      </c>
      <c r="G689" s="4">
        <v>217647.54399999999</v>
      </c>
      <c r="H689" s="5">
        <f>0 / 86400</f>
        <v>0</v>
      </c>
      <c r="I689" t="s">
        <v>140</v>
      </c>
      <c r="J689" t="s">
        <v>31</v>
      </c>
      <c r="K689" s="5">
        <f>122 / 86400</f>
        <v>1.4120370370370369E-3</v>
      </c>
      <c r="L689" s="5">
        <f>114 / 86400</f>
        <v>1.3194444444444445E-3</v>
      </c>
    </row>
    <row r="690" spans="1:12" x14ac:dyDescent="0.25">
      <c r="A690" s="3">
        <v>45714.813946759255</v>
      </c>
      <c r="B690" t="s">
        <v>160</v>
      </c>
      <c r="C690" s="3">
        <v>45714.814756944441</v>
      </c>
      <c r="D690" t="s">
        <v>156</v>
      </c>
      <c r="E690" s="4">
        <v>0.214</v>
      </c>
      <c r="F690" s="4">
        <v>217647.54399999999</v>
      </c>
      <c r="G690" s="4">
        <v>217647.758</v>
      </c>
      <c r="H690" s="5">
        <f>0 / 86400</f>
        <v>0</v>
      </c>
      <c r="I690" t="s">
        <v>181</v>
      </c>
      <c r="J690" t="s">
        <v>31</v>
      </c>
      <c r="K690" s="5">
        <f>70 / 86400</f>
        <v>8.1018518518518516E-4</v>
      </c>
      <c r="L690" s="5">
        <f>331 / 86400</f>
        <v>3.8310185185185183E-3</v>
      </c>
    </row>
    <row r="691" spans="1:12" x14ac:dyDescent="0.25">
      <c r="A691" s="3">
        <v>45714.81858796296</v>
      </c>
      <c r="B691" t="s">
        <v>156</v>
      </c>
      <c r="C691" s="3">
        <v>45714.822523148148</v>
      </c>
      <c r="D691" t="s">
        <v>156</v>
      </c>
      <c r="E691" s="4">
        <v>5.0000000000000001E-3</v>
      </c>
      <c r="F691" s="4">
        <v>217647.758</v>
      </c>
      <c r="G691" s="4">
        <v>217647.76300000001</v>
      </c>
      <c r="H691" s="5">
        <f>320 / 86400</f>
        <v>3.7037037037037038E-3</v>
      </c>
      <c r="I691" t="s">
        <v>78</v>
      </c>
      <c r="J691" t="s">
        <v>22</v>
      </c>
      <c r="K691" s="5">
        <f>340 / 86400</f>
        <v>3.9351851851851848E-3</v>
      </c>
      <c r="L691" s="5">
        <f>433 / 86400</f>
        <v>5.0115740740740737E-3</v>
      </c>
    </row>
    <row r="692" spans="1:12" x14ac:dyDescent="0.25">
      <c r="A692" s="3">
        <v>45714.827534722222</v>
      </c>
      <c r="B692" t="s">
        <v>156</v>
      </c>
      <c r="C692" s="3">
        <v>45714.902488425927</v>
      </c>
      <c r="D692" t="s">
        <v>281</v>
      </c>
      <c r="E692" s="4">
        <v>40.091999999999999</v>
      </c>
      <c r="F692" s="4">
        <v>217647.76300000001</v>
      </c>
      <c r="G692" s="4">
        <v>217687.85500000001</v>
      </c>
      <c r="H692" s="5">
        <f>2059 / 86400</f>
        <v>2.3831018518518519E-2</v>
      </c>
      <c r="I692" t="s">
        <v>48</v>
      </c>
      <c r="J692" t="s">
        <v>140</v>
      </c>
      <c r="K692" s="5">
        <f>6475 / 86400</f>
        <v>7.4942129629629636E-2</v>
      </c>
      <c r="L692" s="5">
        <f>71 / 86400</f>
        <v>8.2175925925925927E-4</v>
      </c>
    </row>
    <row r="693" spans="1:12" x14ac:dyDescent="0.25">
      <c r="A693" s="3">
        <v>45714.903310185182</v>
      </c>
      <c r="B693" t="s">
        <v>210</v>
      </c>
      <c r="C693" s="3">
        <v>45714.903449074074</v>
      </c>
      <c r="D693" t="s">
        <v>210</v>
      </c>
      <c r="E693" s="4">
        <v>1E-3</v>
      </c>
      <c r="F693" s="4">
        <v>217687.85500000001</v>
      </c>
      <c r="G693" s="4">
        <v>217687.856</v>
      </c>
      <c r="H693" s="5">
        <f>0 / 86400</f>
        <v>0</v>
      </c>
      <c r="I693" t="s">
        <v>22</v>
      </c>
      <c r="J693" t="s">
        <v>22</v>
      </c>
      <c r="K693" s="5">
        <f>12 / 86400</f>
        <v>1.3888888888888889E-4</v>
      </c>
      <c r="L693" s="5">
        <f>136 / 86400</f>
        <v>1.5740740740740741E-3</v>
      </c>
    </row>
    <row r="694" spans="1:12" x14ac:dyDescent="0.25">
      <c r="A694" s="3">
        <v>45714.905023148152</v>
      </c>
      <c r="B694" t="s">
        <v>210</v>
      </c>
      <c r="C694" s="3">
        <v>45714.982777777783</v>
      </c>
      <c r="D694" t="s">
        <v>47</v>
      </c>
      <c r="E694" s="4">
        <v>40.250999999999998</v>
      </c>
      <c r="F694" s="4">
        <v>217687.856</v>
      </c>
      <c r="G694" s="4">
        <v>217728.10699999999</v>
      </c>
      <c r="H694" s="5">
        <f>2019 / 86400</f>
        <v>2.3368055555555555E-2</v>
      </c>
      <c r="I694" t="s">
        <v>51</v>
      </c>
      <c r="J694" t="s">
        <v>140</v>
      </c>
      <c r="K694" s="5">
        <f>6718 / 86400</f>
        <v>7.7754629629629632E-2</v>
      </c>
      <c r="L694" s="5">
        <f>640 / 86400</f>
        <v>7.4074074074074077E-3</v>
      </c>
    </row>
    <row r="695" spans="1:12" x14ac:dyDescent="0.25">
      <c r="A695" s="3">
        <v>45714.99018518519</v>
      </c>
      <c r="B695" t="s">
        <v>47</v>
      </c>
      <c r="C695" s="3">
        <v>45714.990277777775</v>
      </c>
      <c r="D695" t="s">
        <v>47</v>
      </c>
      <c r="E695" s="4">
        <v>0</v>
      </c>
      <c r="F695" s="4">
        <v>217728.10699999999</v>
      </c>
      <c r="G695" s="4">
        <v>217728.10699999999</v>
      </c>
      <c r="H695" s="5">
        <f>0 / 86400</f>
        <v>0</v>
      </c>
      <c r="I695" t="s">
        <v>22</v>
      </c>
      <c r="J695" t="s">
        <v>22</v>
      </c>
      <c r="K695" s="5">
        <f>7 / 86400</f>
        <v>8.1018518518518516E-5</v>
      </c>
      <c r="L695" s="5">
        <f>839 / 86400</f>
        <v>9.7106481481481488E-3</v>
      </c>
    </row>
    <row r="696" spans="1:12" x14ac:dyDescent="0.25">
      <c r="A696" s="12"/>
      <c r="B696" s="12"/>
      <c r="C696" s="12"/>
      <c r="D696" s="12"/>
      <c r="E696" s="12"/>
      <c r="F696" s="12"/>
      <c r="G696" s="12"/>
      <c r="H696" s="12"/>
      <c r="I696" s="12"/>
      <c r="J696" s="12"/>
    </row>
    <row r="697" spans="1:12" x14ac:dyDescent="0.25">
      <c r="A697" s="12"/>
      <c r="B697" s="12"/>
      <c r="C697" s="12"/>
      <c r="D697" s="12"/>
      <c r="E697" s="12"/>
      <c r="F697" s="12"/>
      <c r="G697" s="12"/>
      <c r="H697" s="12"/>
      <c r="I697" s="12"/>
      <c r="J697" s="12"/>
    </row>
    <row r="698" spans="1:12" s="10" customFormat="1" ht="20.100000000000001" customHeight="1" x14ac:dyDescent="0.35">
      <c r="A698" s="15" t="s">
        <v>480</v>
      </c>
      <c r="B698" s="15"/>
      <c r="C698" s="15"/>
      <c r="D698" s="15"/>
      <c r="E698" s="15"/>
      <c r="F698" s="15"/>
      <c r="G698" s="15"/>
      <c r="H698" s="15"/>
      <c r="I698" s="15"/>
      <c r="J698" s="15"/>
    </row>
    <row r="699" spans="1:12" x14ac:dyDescent="0.25">
      <c r="A699" s="12"/>
      <c r="B699" s="12"/>
      <c r="C699" s="12"/>
      <c r="D699" s="12"/>
      <c r="E699" s="12"/>
      <c r="F699" s="12"/>
      <c r="G699" s="12"/>
      <c r="H699" s="12"/>
      <c r="I699" s="12"/>
      <c r="J699" s="12"/>
    </row>
    <row r="700" spans="1:12" ht="30" x14ac:dyDescent="0.25">
      <c r="A700" s="2" t="s">
        <v>6</v>
      </c>
      <c r="B700" s="2" t="s">
        <v>7</v>
      </c>
      <c r="C700" s="2" t="s">
        <v>8</v>
      </c>
      <c r="D700" s="2" t="s">
        <v>9</v>
      </c>
      <c r="E700" s="2" t="s">
        <v>10</v>
      </c>
      <c r="F700" s="2" t="s">
        <v>11</v>
      </c>
      <c r="G700" s="2" t="s">
        <v>12</v>
      </c>
      <c r="H700" s="2" t="s">
        <v>13</v>
      </c>
      <c r="I700" s="2" t="s">
        <v>14</v>
      </c>
      <c r="J700" s="2" t="s">
        <v>15</v>
      </c>
      <c r="K700" s="2" t="s">
        <v>16</v>
      </c>
      <c r="L700" s="2" t="s">
        <v>17</v>
      </c>
    </row>
    <row r="701" spans="1:12" x14ac:dyDescent="0.25">
      <c r="A701" s="3">
        <v>45714.23436342593</v>
      </c>
      <c r="B701" t="s">
        <v>49</v>
      </c>
      <c r="C701" s="3">
        <v>45714.258692129632</v>
      </c>
      <c r="D701" t="s">
        <v>104</v>
      </c>
      <c r="E701" s="4">
        <v>7.0160000000596048</v>
      </c>
      <c r="F701" s="4">
        <v>527420.34699999995</v>
      </c>
      <c r="G701" s="4">
        <v>527427.36300000001</v>
      </c>
      <c r="H701" s="5">
        <f>739 / 86400</f>
        <v>8.5532407407407415E-3</v>
      </c>
      <c r="I701" t="s">
        <v>213</v>
      </c>
      <c r="J701" t="s">
        <v>98</v>
      </c>
      <c r="K701" s="5">
        <f>2101 / 86400</f>
        <v>2.431712962962963E-2</v>
      </c>
      <c r="L701" s="5">
        <f>21150 / 86400</f>
        <v>0.24479166666666666</v>
      </c>
    </row>
    <row r="702" spans="1:12" x14ac:dyDescent="0.25">
      <c r="A702" s="3">
        <v>45714.269120370373</v>
      </c>
      <c r="B702" t="s">
        <v>104</v>
      </c>
      <c r="C702" s="3">
        <v>45714.377187499995</v>
      </c>
      <c r="D702" t="s">
        <v>240</v>
      </c>
      <c r="E702" s="4">
        <v>30.851000000059603</v>
      </c>
      <c r="F702" s="4">
        <v>527427.36300000001</v>
      </c>
      <c r="G702" s="4">
        <v>527458.21400000004</v>
      </c>
      <c r="H702" s="5">
        <f>4159 / 86400</f>
        <v>4.8136574074074075E-2</v>
      </c>
      <c r="I702" t="s">
        <v>51</v>
      </c>
      <c r="J702" t="s">
        <v>98</v>
      </c>
      <c r="K702" s="5">
        <f>9337 / 86400</f>
        <v>0.10806712962962962</v>
      </c>
      <c r="L702" s="5">
        <f>321 / 86400</f>
        <v>3.7152777777777778E-3</v>
      </c>
    </row>
    <row r="703" spans="1:12" x14ac:dyDescent="0.25">
      <c r="A703" s="3">
        <v>45714.380902777775</v>
      </c>
      <c r="B703" t="s">
        <v>240</v>
      </c>
      <c r="C703" s="3">
        <v>45714.383587962962</v>
      </c>
      <c r="D703" t="s">
        <v>242</v>
      </c>
      <c r="E703" s="4">
        <v>6.799999994039535E-2</v>
      </c>
      <c r="F703" s="4">
        <v>527458.21400000004</v>
      </c>
      <c r="G703" s="4">
        <v>527458.28200000001</v>
      </c>
      <c r="H703" s="5">
        <f>199 / 86400</f>
        <v>2.3032407407407407E-3</v>
      </c>
      <c r="I703" t="s">
        <v>147</v>
      </c>
      <c r="J703" t="s">
        <v>78</v>
      </c>
      <c r="K703" s="5">
        <f>232 / 86400</f>
        <v>2.685185185185185E-3</v>
      </c>
      <c r="L703" s="5">
        <f>143 / 86400</f>
        <v>1.6550925925925926E-3</v>
      </c>
    </row>
    <row r="704" spans="1:12" x14ac:dyDescent="0.25">
      <c r="A704" s="3">
        <v>45714.385243055556</v>
      </c>
      <c r="B704" t="s">
        <v>242</v>
      </c>
      <c r="C704" s="3">
        <v>45714.528993055559</v>
      </c>
      <c r="D704" t="s">
        <v>163</v>
      </c>
      <c r="E704" s="4">
        <v>50.442000000059608</v>
      </c>
      <c r="F704" s="4">
        <v>527458.28200000001</v>
      </c>
      <c r="G704" s="4">
        <v>527508.72400000005</v>
      </c>
      <c r="H704" s="5">
        <f>4519 / 86400</f>
        <v>5.230324074074074E-2</v>
      </c>
      <c r="I704" t="s">
        <v>33</v>
      </c>
      <c r="J704" t="s">
        <v>46</v>
      </c>
      <c r="K704" s="5">
        <f>12420 / 86400</f>
        <v>0.14374999999999999</v>
      </c>
      <c r="L704" s="5">
        <f>849 / 86400</f>
        <v>9.8263888888888897E-3</v>
      </c>
    </row>
    <row r="705" spans="1:12" x14ac:dyDescent="0.25">
      <c r="A705" s="3">
        <v>45714.538819444446</v>
      </c>
      <c r="B705" t="s">
        <v>163</v>
      </c>
      <c r="C705" s="3">
        <v>45714.541516203702</v>
      </c>
      <c r="D705" t="s">
        <v>47</v>
      </c>
      <c r="E705" s="4">
        <v>0.8879999998807907</v>
      </c>
      <c r="F705" s="4">
        <v>527508.72400000005</v>
      </c>
      <c r="G705" s="4">
        <v>527509.61199999996</v>
      </c>
      <c r="H705" s="5">
        <f>20 / 86400</f>
        <v>2.3148148148148149E-4</v>
      </c>
      <c r="I705" t="s">
        <v>155</v>
      </c>
      <c r="J705" t="s">
        <v>52</v>
      </c>
      <c r="K705" s="5">
        <f>232 / 86400</f>
        <v>2.685185185185185E-3</v>
      </c>
      <c r="L705" s="5">
        <f>2360 / 86400</f>
        <v>2.7314814814814816E-2</v>
      </c>
    </row>
    <row r="706" spans="1:12" x14ac:dyDescent="0.25">
      <c r="A706" s="3">
        <v>45714.568831018521</v>
      </c>
      <c r="B706" t="s">
        <v>47</v>
      </c>
      <c r="C706" s="3">
        <v>45714.572743055556</v>
      </c>
      <c r="D706" t="s">
        <v>80</v>
      </c>
      <c r="E706" s="4">
        <v>0.80200000005960459</v>
      </c>
      <c r="F706" s="4">
        <v>527509.61199999996</v>
      </c>
      <c r="G706" s="4">
        <v>527510.41399999999</v>
      </c>
      <c r="H706" s="5">
        <f>100 / 86400</f>
        <v>1.1574074074074073E-3</v>
      </c>
      <c r="I706" t="s">
        <v>206</v>
      </c>
      <c r="J706" t="s">
        <v>70</v>
      </c>
      <c r="K706" s="5">
        <f>338 / 86400</f>
        <v>3.9120370370370368E-3</v>
      </c>
      <c r="L706" s="5">
        <f>344 / 86400</f>
        <v>3.9814814814814817E-3</v>
      </c>
    </row>
    <row r="707" spans="1:12" x14ac:dyDescent="0.25">
      <c r="A707" s="3">
        <v>45714.576724537037</v>
      </c>
      <c r="B707" t="s">
        <v>80</v>
      </c>
      <c r="C707" s="3">
        <v>45714.577534722222</v>
      </c>
      <c r="D707" t="s">
        <v>80</v>
      </c>
      <c r="E707" s="4">
        <v>0.03</v>
      </c>
      <c r="F707" s="4">
        <v>527510.41399999999</v>
      </c>
      <c r="G707" s="4">
        <v>527510.44400000002</v>
      </c>
      <c r="H707" s="5">
        <f>20 / 86400</f>
        <v>2.3148148148148149E-4</v>
      </c>
      <c r="I707" t="s">
        <v>77</v>
      </c>
      <c r="J707" t="s">
        <v>32</v>
      </c>
      <c r="K707" s="5">
        <f>70 / 86400</f>
        <v>8.1018518518518516E-4</v>
      </c>
      <c r="L707" s="5">
        <f>375 / 86400</f>
        <v>4.340277777777778E-3</v>
      </c>
    </row>
    <row r="708" spans="1:12" x14ac:dyDescent="0.25">
      <c r="A708" s="3">
        <v>45714.581875000003</v>
      </c>
      <c r="B708" t="s">
        <v>80</v>
      </c>
      <c r="C708" s="3">
        <v>45714.581979166665</v>
      </c>
      <c r="D708" t="s">
        <v>80</v>
      </c>
      <c r="E708" s="4">
        <v>0</v>
      </c>
      <c r="F708" s="4">
        <v>527510.44400000002</v>
      </c>
      <c r="G708" s="4">
        <v>527510.44400000002</v>
      </c>
      <c r="H708" s="5">
        <f>0 / 86400</f>
        <v>0</v>
      </c>
      <c r="I708" t="s">
        <v>22</v>
      </c>
      <c r="J708" t="s">
        <v>22</v>
      </c>
      <c r="K708" s="5">
        <f>8 / 86400</f>
        <v>9.2592592592592588E-5</v>
      </c>
      <c r="L708" s="5">
        <f>1212 / 86400</f>
        <v>1.4027777777777778E-2</v>
      </c>
    </row>
    <row r="709" spans="1:12" x14ac:dyDescent="0.25">
      <c r="A709" s="3">
        <v>45714.596006944441</v>
      </c>
      <c r="B709" t="s">
        <v>160</v>
      </c>
      <c r="C709" s="3">
        <v>45714.600023148145</v>
      </c>
      <c r="D709" t="s">
        <v>156</v>
      </c>
      <c r="E709" s="4">
        <v>0.84100000005960462</v>
      </c>
      <c r="F709" s="4">
        <v>527510.44400000002</v>
      </c>
      <c r="G709" s="4">
        <v>527511.28500000003</v>
      </c>
      <c r="H709" s="5">
        <f>100 / 86400</f>
        <v>1.1574074074074073E-3</v>
      </c>
      <c r="I709" t="s">
        <v>134</v>
      </c>
      <c r="J709" t="s">
        <v>70</v>
      </c>
      <c r="K709" s="5">
        <f>347 / 86400</f>
        <v>4.0162037037037041E-3</v>
      </c>
      <c r="L709" s="5">
        <f>282 / 86400</f>
        <v>3.2638888888888891E-3</v>
      </c>
    </row>
    <row r="710" spans="1:12" x14ac:dyDescent="0.25">
      <c r="A710" s="3">
        <v>45714.60328703704</v>
      </c>
      <c r="B710" t="s">
        <v>156</v>
      </c>
      <c r="C710" s="3">
        <v>45714.60355324074</v>
      </c>
      <c r="D710" t="s">
        <v>156</v>
      </c>
      <c r="E710" s="4">
        <v>6.9999999403953551E-3</v>
      </c>
      <c r="F710" s="4">
        <v>527511.28500000003</v>
      </c>
      <c r="G710" s="4">
        <v>527511.29200000002</v>
      </c>
      <c r="H710" s="5">
        <f>0 / 86400</f>
        <v>0</v>
      </c>
      <c r="I710" t="s">
        <v>78</v>
      </c>
      <c r="J710" t="s">
        <v>78</v>
      </c>
      <c r="K710" s="5">
        <f>22 / 86400</f>
        <v>2.5462962962962961E-4</v>
      </c>
      <c r="L710" s="5">
        <f>688 / 86400</f>
        <v>7.9629629629629634E-3</v>
      </c>
    </row>
    <row r="711" spans="1:12" x14ac:dyDescent="0.25">
      <c r="A711" s="3">
        <v>45714.611516203702</v>
      </c>
      <c r="B711" t="s">
        <v>156</v>
      </c>
      <c r="C711" s="3">
        <v>45714.703912037032</v>
      </c>
      <c r="D711" t="s">
        <v>370</v>
      </c>
      <c r="E711" s="4">
        <v>40.795999999999999</v>
      </c>
      <c r="F711" s="4">
        <v>527511.29200000002</v>
      </c>
      <c r="G711" s="4">
        <v>527552.08799999999</v>
      </c>
      <c r="H711" s="5">
        <f>2760 / 86400</f>
        <v>3.1944444444444442E-2</v>
      </c>
      <c r="I711" t="s">
        <v>57</v>
      </c>
      <c r="J711" t="s">
        <v>20</v>
      </c>
      <c r="K711" s="5">
        <f>7983 / 86400</f>
        <v>9.239583333333333E-2</v>
      </c>
      <c r="L711" s="5">
        <f>170 / 86400</f>
        <v>1.9675925925925924E-3</v>
      </c>
    </row>
    <row r="712" spans="1:12" x14ac:dyDescent="0.25">
      <c r="A712" s="3">
        <v>45714.705879629633</v>
      </c>
      <c r="B712" t="s">
        <v>370</v>
      </c>
      <c r="C712" s="3">
        <v>45714.881076388891</v>
      </c>
      <c r="D712" t="s">
        <v>59</v>
      </c>
      <c r="E712" s="4">
        <v>52.724000000059604</v>
      </c>
      <c r="F712" s="4">
        <v>527552.08799999999</v>
      </c>
      <c r="G712" s="4">
        <v>527604.81200000003</v>
      </c>
      <c r="H712" s="5">
        <f>5500 / 86400</f>
        <v>6.3657407407407413E-2</v>
      </c>
      <c r="I712" t="s">
        <v>97</v>
      </c>
      <c r="J712" t="s">
        <v>42</v>
      </c>
      <c r="K712" s="5">
        <f>15137 / 86400</f>
        <v>0.17519675925925926</v>
      </c>
      <c r="L712" s="5">
        <f>1402 / 86400</f>
        <v>1.6226851851851853E-2</v>
      </c>
    </row>
    <row r="713" spans="1:12" x14ac:dyDescent="0.25">
      <c r="A713" s="3">
        <v>45714.897303240738</v>
      </c>
      <c r="B713" t="s">
        <v>59</v>
      </c>
      <c r="C713" s="3">
        <v>45714.903831018513</v>
      </c>
      <c r="D713" t="s">
        <v>50</v>
      </c>
      <c r="E713" s="4">
        <v>2.7119999999403954</v>
      </c>
      <c r="F713" s="4">
        <v>527604.81200000003</v>
      </c>
      <c r="G713" s="4">
        <v>527607.52399999998</v>
      </c>
      <c r="H713" s="5">
        <f>59 / 86400</f>
        <v>6.8287037037037036E-4</v>
      </c>
      <c r="I713" t="s">
        <v>167</v>
      </c>
      <c r="J713" t="s">
        <v>61</v>
      </c>
      <c r="K713" s="5">
        <f>563 / 86400</f>
        <v>6.5162037037037037E-3</v>
      </c>
      <c r="L713" s="5">
        <f>8308 / 86400</f>
        <v>9.6157407407407414E-2</v>
      </c>
    </row>
    <row r="714" spans="1:12" x14ac:dyDescent="0.25">
      <c r="A714" s="12"/>
      <c r="B714" s="12"/>
      <c r="C714" s="12"/>
      <c r="D714" s="12"/>
      <c r="E714" s="12"/>
      <c r="F714" s="12"/>
      <c r="G714" s="12"/>
      <c r="H714" s="12"/>
      <c r="I714" s="12"/>
      <c r="J714" s="12"/>
    </row>
    <row r="715" spans="1:12" x14ac:dyDescent="0.25">
      <c r="A715" s="12"/>
      <c r="B715" s="12"/>
      <c r="C715" s="12"/>
      <c r="D715" s="12"/>
      <c r="E715" s="12"/>
      <c r="F715" s="12"/>
      <c r="G715" s="12"/>
      <c r="H715" s="12"/>
      <c r="I715" s="12"/>
      <c r="J715" s="12"/>
    </row>
    <row r="716" spans="1:12" s="10" customFormat="1" ht="20.100000000000001" customHeight="1" x14ac:dyDescent="0.35">
      <c r="A716" s="15" t="s">
        <v>481</v>
      </c>
      <c r="B716" s="15"/>
      <c r="C716" s="15"/>
      <c r="D716" s="15"/>
      <c r="E716" s="15"/>
      <c r="F716" s="15"/>
      <c r="G716" s="15"/>
      <c r="H716" s="15"/>
      <c r="I716" s="15"/>
      <c r="J716" s="15"/>
    </row>
    <row r="717" spans="1:12" x14ac:dyDescent="0.25">
      <c r="A717" s="12"/>
      <c r="B717" s="12"/>
      <c r="C717" s="12"/>
      <c r="D717" s="12"/>
      <c r="E717" s="12"/>
      <c r="F717" s="12"/>
      <c r="G717" s="12"/>
      <c r="H717" s="12"/>
      <c r="I717" s="12"/>
      <c r="J717" s="12"/>
    </row>
    <row r="718" spans="1:12" ht="30" x14ac:dyDescent="0.25">
      <c r="A718" s="2" t="s">
        <v>6</v>
      </c>
      <c r="B718" s="2" t="s">
        <v>7</v>
      </c>
      <c r="C718" s="2" t="s">
        <v>8</v>
      </c>
      <c r="D718" s="2" t="s">
        <v>9</v>
      </c>
      <c r="E718" s="2" t="s">
        <v>10</v>
      </c>
      <c r="F718" s="2" t="s">
        <v>11</v>
      </c>
      <c r="G718" s="2" t="s">
        <v>12</v>
      </c>
      <c r="H718" s="2" t="s">
        <v>13</v>
      </c>
      <c r="I718" s="2" t="s">
        <v>14</v>
      </c>
      <c r="J718" s="2" t="s">
        <v>15</v>
      </c>
      <c r="K718" s="2" t="s">
        <v>16</v>
      </c>
      <c r="L718" s="2" t="s">
        <v>17</v>
      </c>
    </row>
    <row r="719" spans="1:12" x14ac:dyDescent="0.25">
      <c r="A719" s="3">
        <v>45714.250289351854</v>
      </c>
      <c r="B719" t="s">
        <v>53</v>
      </c>
      <c r="C719" s="3">
        <v>45714.381863425922</v>
      </c>
      <c r="D719" t="s">
        <v>240</v>
      </c>
      <c r="E719" s="4">
        <v>49.290999999999997</v>
      </c>
      <c r="F719" s="4">
        <v>346858.35499999998</v>
      </c>
      <c r="G719" s="4">
        <v>346907.64600000001</v>
      </c>
      <c r="H719" s="5">
        <f>4262 / 86400</f>
        <v>4.9328703703703701E-2</v>
      </c>
      <c r="I719" t="s">
        <v>54</v>
      </c>
      <c r="J719" t="s">
        <v>28</v>
      </c>
      <c r="K719" s="5">
        <f>11368 / 86400</f>
        <v>0.13157407407407407</v>
      </c>
      <c r="L719" s="5">
        <f>22308 / 86400</f>
        <v>0.25819444444444445</v>
      </c>
    </row>
    <row r="720" spans="1:12" x14ac:dyDescent="0.25">
      <c r="A720" s="3">
        <v>45714.389768518522</v>
      </c>
      <c r="B720" t="s">
        <v>240</v>
      </c>
      <c r="C720" s="3">
        <v>45714.521203703705</v>
      </c>
      <c r="D720" t="s">
        <v>80</v>
      </c>
      <c r="E720" s="4">
        <v>49.491999999999997</v>
      </c>
      <c r="F720" s="4">
        <v>346907.64600000001</v>
      </c>
      <c r="G720" s="4">
        <v>346957.13799999998</v>
      </c>
      <c r="H720" s="5">
        <f>4300 / 86400</f>
        <v>4.9768518518518517E-2</v>
      </c>
      <c r="I720" t="s">
        <v>173</v>
      </c>
      <c r="J720" t="s">
        <v>28</v>
      </c>
      <c r="K720" s="5">
        <f>11356 / 86400</f>
        <v>0.13143518518518518</v>
      </c>
      <c r="L720" s="5">
        <f>3723 / 86400</f>
        <v>4.3090277777777776E-2</v>
      </c>
    </row>
    <row r="721" spans="1:12" x14ac:dyDescent="0.25">
      <c r="A721" s="3">
        <v>45714.564293981486</v>
      </c>
      <c r="B721" t="s">
        <v>80</v>
      </c>
      <c r="C721" s="3">
        <v>45714.56527777778</v>
      </c>
      <c r="D721" t="s">
        <v>80</v>
      </c>
      <c r="E721" s="4">
        <v>1.2E-2</v>
      </c>
      <c r="F721" s="4">
        <v>346957.13799999998</v>
      </c>
      <c r="G721" s="4">
        <v>346957.15</v>
      </c>
      <c r="H721" s="5">
        <f>40 / 86400</f>
        <v>4.6296296296296298E-4</v>
      </c>
      <c r="I721" t="s">
        <v>147</v>
      </c>
      <c r="J721" t="s">
        <v>78</v>
      </c>
      <c r="K721" s="5">
        <f>84 / 86400</f>
        <v>9.7222222222222219E-4</v>
      </c>
      <c r="L721" s="5">
        <f>4963 / 86400</f>
        <v>5.7442129629629628E-2</v>
      </c>
    </row>
    <row r="722" spans="1:12" x14ac:dyDescent="0.25">
      <c r="A722" s="3">
        <v>45714.622719907406</v>
      </c>
      <c r="B722" t="s">
        <v>80</v>
      </c>
      <c r="C722" s="3">
        <v>45714.623379629629</v>
      </c>
      <c r="D722" t="s">
        <v>80</v>
      </c>
      <c r="E722" s="4">
        <v>1.2999999999999999E-2</v>
      </c>
      <c r="F722" s="4">
        <v>346957.15</v>
      </c>
      <c r="G722" s="4">
        <v>346957.163</v>
      </c>
      <c r="H722" s="5">
        <f>39 / 86400</f>
        <v>4.5138888888888887E-4</v>
      </c>
      <c r="I722" t="s">
        <v>22</v>
      </c>
      <c r="J722" t="s">
        <v>78</v>
      </c>
      <c r="K722" s="5">
        <f>57 / 86400</f>
        <v>6.5972222222222224E-4</v>
      </c>
      <c r="L722" s="5">
        <f>1099 / 86400</f>
        <v>1.2719907407407407E-2</v>
      </c>
    </row>
    <row r="723" spans="1:12" x14ac:dyDescent="0.25">
      <c r="A723" s="3">
        <v>45714.636099537034</v>
      </c>
      <c r="B723" t="s">
        <v>80</v>
      </c>
      <c r="C723" s="3">
        <v>45714.636180555557</v>
      </c>
      <c r="D723" t="s">
        <v>80</v>
      </c>
      <c r="E723" s="4">
        <v>0</v>
      </c>
      <c r="F723" s="4">
        <v>346957.163</v>
      </c>
      <c r="G723" s="4">
        <v>346957.163</v>
      </c>
      <c r="H723" s="5">
        <f>0 / 86400</f>
        <v>0</v>
      </c>
      <c r="I723" t="s">
        <v>22</v>
      </c>
      <c r="J723" t="s">
        <v>22</v>
      </c>
      <c r="K723" s="5">
        <f>6 / 86400</f>
        <v>6.9444444444444444E-5</v>
      </c>
      <c r="L723" s="5">
        <f>345 / 86400</f>
        <v>3.9930555555555552E-3</v>
      </c>
    </row>
    <row r="724" spans="1:12" x14ac:dyDescent="0.25">
      <c r="A724" s="3">
        <v>45714.640173611115</v>
      </c>
      <c r="B724" t="s">
        <v>80</v>
      </c>
      <c r="C724" s="3">
        <v>45714.642245370371</v>
      </c>
      <c r="D724" t="s">
        <v>149</v>
      </c>
      <c r="E724" s="4">
        <v>0.124</v>
      </c>
      <c r="F724" s="4">
        <v>346957.163</v>
      </c>
      <c r="G724" s="4">
        <v>346957.28700000001</v>
      </c>
      <c r="H724" s="5">
        <f>59 / 86400</f>
        <v>6.8287037037037036E-4</v>
      </c>
      <c r="I724" t="s">
        <v>70</v>
      </c>
      <c r="J724" t="s">
        <v>32</v>
      </c>
      <c r="K724" s="5">
        <f>179 / 86400</f>
        <v>2.0717592592592593E-3</v>
      </c>
      <c r="L724" s="5">
        <f>785 / 86400</f>
        <v>9.0856481481481483E-3</v>
      </c>
    </row>
    <row r="725" spans="1:12" x14ac:dyDescent="0.25">
      <c r="A725" s="3">
        <v>45714.651331018518</v>
      </c>
      <c r="B725" t="s">
        <v>149</v>
      </c>
      <c r="C725" s="3">
        <v>45714.653587962966</v>
      </c>
      <c r="D725" t="s">
        <v>149</v>
      </c>
      <c r="E725" s="4">
        <v>3.2000000000000001E-2</v>
      </c>
      <c r="F725" s="4">
        <v>346957.28700000001</v>
      </c>
      <c r="G725" s="4">
        <v>346957.31900000002</v>
      </c>
      <c r="H725" s="5">
        <f>140 / 86400</f>
        <v>1.6203703703703703E-3</v>
      </c>
      <c r="I725" t="s">
        <v>77</v>
      </c>
      <c r="J725" t="s">
        <v>78</v>
      </c>
      <c r="K725" s="5">
        <f>194 / 86400</f>
        <v>2.2453703703703702E-3</v>
      </c>
      <c r="L725" s="5">
        <f>18255 / 86400</f>
        <v>0.21128472222222222</v>
      </c>
    </row>
    <row r="726" spans="1:12" x14ac:dyDescent="0.25">
      <c r="A726" s="3">
        <v>45714.864872685182</v>
      </c>
      <c r="B726" t="s">
        <v>113</v>
      </c>
      <c r="C726" s="3">
        <v>45714.869513888887</v>
      </c>
      <c r="D726" t="s">
        <v>53</v>
      </c>
      <c r="E726" s="4">
        <v>0.86799999999999999</v>
      </c>
      <c r="F726" s="4">
        <v>346957.31900000002</v>
      </c>
      <c r="G726" s="4">
        <v>346958.18699999998</v>
      </c>
      <c r="H726" s="5">
        <f>120 / 86400</f>
        <v>1.3888888888888889E-3</v>
      </c>
      <c r="I726" t="s">
        <v>184</v>
      </c>
      <c r="J726" t="s">
        <v>157</v>
      </c>
      <c r="K726" s="5">
        <f>401 / 86400</f>
        <v>4.6412037037037038E-3</v>
      </c>
      <c r="L726" s="5">
        <f>11273 / 86400</f>
        <v>0.13047453703703704</v>
      </c>
    </row>
    <row r="727" spans="1:12" x14ac:dyDescent="0.25">
      <c r="A727" s="12"/>
      <c r="B727" s="12"/>
      <c r="C727" s="12"/>
      <c r="D727" s="12"/>
      <c r="E727" s="12"/>
      <c r="F727" s="12"/>
      <c r="G727" s="12"/>
      <c r="H727" s="12"/>
      <c r="I727" s="12"/>
      <c r="J727" s="12"/>
    </row>
    <row r="728" spans="1:12" x14ac:dyDescent="0.25">
      <c r="A728" s="12"/>
      <c r="B728" s="12"/>
      <c r="C728" s="12"/>
      <c r="D728" s="12"/>
      <c r="E728" s="12"/>
      <c r="F728" s="12"/>
      <c r="G728" s="12"/>
      <c r="H728" s="12"/>
      <c r="I728" s="12"/>
      <c r="J728" s="12"/>
    </row>
    <row r="729" spans="1:12" s="10" customFormat="1" ht="20.100000000000001" customHeight="1" x14ac:dyDescent="0.35">
      <c r="A729" s="15" t="s">
        <v>482</v>
      </c>
      <c r="B729" s="15"/>
      <c r="C729" s="15"/>
      <c r="D729" s="15"/>
      <c r="E729" s="15"/>
      <c r="F729" s="15"/>
      <c r="G729" s="15"/>
      <c r="H729" s="15"/>
      <c r="I729" s="15"/>
      <c r="J729" s="15"/>
    </row>
    <row r="730" spans="1:12" x14ac:dyDescent="0.25">
      <c r="A730" s="12"/>
      <c r="B730" s="12"/>
      <c r="C730" s="12"/>
      <c r="D730" s="12"/>
      <c r="E730" s="12"/>
      <c r="F730" s="12"/>
      <c r="G730" s="12"/>
      <c r="H730" s="12"/>
      <c r="I730" s="12"/>
      <c r="J730" s="12"/>
    </row>
    <row r="731" spans="1:12" ht="30" x14ac:dyDescent="0.25">
      <c r="A731" s="2" t="s">
        <v>6</v>
      </c>
      <c r="B731" s="2" t="s">
        <v>7</v>
      </c>
      <c r="C731" s="2" t="s">
        <v>8</v>
      </c>
      <c r="D731" s="2" t="s">
        <v>9</v>
      </c>
      <c r="E731" s="2" t="s">
        <v>10</v>
      </c>
      <c r="F731" s="2" t="s">
        <v>11</v>
      </c>
      <c r="G731" s="2" t="s">
        <v>12</v>
      </c>
      <c r="H731" s="2" t="s">
        <v>13</v>
      </c>
      <c r="I731" s="2" t="s">
        <v>14</v>
      </c>
      <c r="J731" s="2" t="s">
        <v>15</v>
      </c>
      <c r="K731" s="2" t="s">
        <v>16</v>
      </c>
      <c r="L731" s="2" t="s">
        <v>17</v>
      </c>
    </row>
    <row r="732" spans="1:12" x14ac:dyDescent="0.25">
      <c r="A732" s="3">
        <v>45714.245937500003</v>
      </c>
      <c r="B732" t="s">
        <v>55</v>
      </c>
      <c r="C732" s="3">
        <v>45714.249409722222</v>
      </c>
      <c r="D732" t="s">
        <v>419</v>
      </c>
      <c r="E732" s="4">
        <v>0.35299999999999998</v>
      </c>
      <c r="F732" s="4">
        <v>427515.33799999999</v>
      </c>
      <c r="G732" s="4">
        <v>427515.69099999999</v>
      </c>
      <c r="H732" s="5">
        <f>160 / 86400</f>
        <v>1.8518518518518519E-3</v>
      </c>
      <c r="I732" t="s">
        <v>46</v>
      </c>
      <c r="J732" t="s">
        <v>152</v>
      </c>
      <c r="K732" s="5">
        <f>300 / 86400</f>
        <v>3.472222222222222E-3</v>
      </c>
      <c r="L732" s="5">
        <f>21407 / 86400</f>
        <v>0.2477662037037037</v>
      </c>
    </row>
    <row r="733" spans="1:12" x14ac:dyDescent="0.25">
      <c r="A733" s="3">
        <v>45714.251238425924</v>
      </c>
      <c r="B733" t="s">
        <v>419</v>
      </c>
      <c r="C733" s="3">
        <v>45714.338009259256</v>
      </c>
      <c r="D733" t="s">
        <v>80</v>
      </c>
      <c r="E733" s="4">
        <v>45.779000000000003</v>
      </c>
      <c r="F733" s="4">
        <v>427515.69099999999</v>
      </c>
      <c r="G733" s="4">
        <v>427561.47</v>
      </c>
      <c r="H733" s="5">
        <f>1560 / 86400</f>
        <v>1.8055555555555554E-2</v>
      </c>
      <c r="I733" t="s">
        <v>167</v>
      </c>
      <c r="J733" t="s">
        <v>140</v>
      </c>
      <c r="K733" s="5">
        <f>7497 / 86400</f>
        <v>8.6770833333333339E-2</v>
      </c>
      <c r="L733" s="5">
        <f>1471 / 86400</f>
        <v>1.7025462962962964E-2</v>
      </c>
    </row>
    <row r="734" spans="1:12" x14ac:dyDescent="0.25">
      <c r="A734" s="3">
        <v>45714.355034722219</v>
      </c>
      <c r="B734" t="s">
        <v>80</v>
      </c>
      <c r="C734" s="3">
        <v>45714.358981481477</v>
      </c>
      <c r="D734" t="s">
        <v>163</v>
      </c>
      <c r="E734" s="4">
        <v>1.2729999999999999</v>
      </c>
      <c r="F734" s="4">
        <v>427561.47</v>
      </c>
      <c r="G734" s="4">
        <v>427562.74300000002</v>
      </c>
      <c r="H734" s="5">
        <f>60 / 86400</f>
        <v>6.9444444444444447E-4</v>
      </c>
      <c r="I734" t="s">
        <v>181</v>
      </c>
      <c r="J734" t="s">
        <v>42</v>
      </c>
      <c r="K734" s="5">
        <f>340 / 86400</f>
        <v>3.9351851851851848E-3</v>
      </c>
      <c r="L734" s="5">
        <f>1685 / 86400</f>
        <v>1.9502314814814816E-2</v>
      </c>
    </row>
    <row r="735" spans="1:12" x14ac:dyDescent="0.25">
      <c r="A735" s="3">
        <v>45714.378483796296</v>
      </c>
      <c r="B735" t="s">
        <v>163</v>
      </c>
      <c r="C735" s="3">
        <v>45714.500231481477</v>
      </c>
      <c r="D735" t="s">
        <v>420</v>
      </c>
      <c r="E735" s="4">
        <v>51.45</v>
      </c>
      <c r="F735" s="4">
        <v>427562.74300000002</v>
      </c>
      <c r="G735" s="4">
        <v>427614.19300000003</v>
      </c>
      <c r="H735" s="5">
        <f>3320 / 86400</f>
        <v>3.8425925925925926E-2</v>
      </c>
      <c r="I735" t="s">
        <v>56</v>
      </c>
      <c r="J735" t="s">
        <v>20</v>
      </c>
      <c r="K735" s="5">
        <f>10518 / 86400</f>
        <v>0.12173611111111111</v>
      </c>
      <c r="L735" s="5">
        <f>869 / 86400</f>
        <v>1.005787037037037E-2</v>
      </c>
    </row>
    <row r="736" spans="1:12" x14ac:dyDescent="0.25">
      <c r="A736" s="3">
        <v>45714.510289351849</v>
      </c>
      <c r="B736" t="s">
        <v>420</v>
      </c>
      <c r="C736" s="3">
        <v>45714.634456018517</v>
      </c>
      <c r="D736" t="s">
        <v>160</v>
      </c>
      <c r="E736" s="4">
        <v>50.84</v>
      </c>
      <c r="F736" s="4">
        <v>427614.19300000003</v>
      </c>
      <c r="G736" s="4">
        <v>427665.033</v>
      </c>
      <c r="H736" s="5">
        <f>3159 / 86400</f>
        <v>3.6562499999999998E-2</v>
      </c>
      <c r="I736" t="s">
        <v>346</v>
      </c>
      <c r="J736" t="s">
        <v>61</v>
      </c>
      <c r="K736" s="5">
        <f>10727 / 86400</f>
        <v>0.12415509259259259</v>
      </c>
      <c r="L736" s="5">
        <f>3421 / 86400</f>
        <v>3.9594907407407405E-2</v>
      </c>
    </row>
    <row r="737" spans="1:12" x14ac:dyDescent="0.25">
      <c r="A737" s="3">
        <v>45714.674050925925</v>
      </c>
      <c r="B737" t="s">
        <v>80</v>
      </c>
      <c r="C737" s="3">
        <v>45714.674467592587</v>
      </c>
      <c r="D737" t="s">
        <v>80</v>
      </c>
      <c r="E737" s="4">
        <v>1.7000000000000001E-2</v>
      </c>
      <c r="F737" s="4">
        <v>427665.033</v>
      </c>
      <c r="G737" s="4">
        <v>427665.05</v>
      </c>
      <c r="H737" s="5">
        <f>0 / 86400</f>
        <v>0</v>
      </c>
      <c r="I737" t="s">
        <v>77</v>
      </c>
      <c r="J737" t="s">
        <v>32</v>
      </c>
      <c r="K737" s="5">
        <f>35 / 86400</f>
        <v>4.0509259259259258E-4</v>
      </c>
      <c r="L737" s="5">
        <f>348 / 86400</f>
        <v>4.0277777777777777E-3</v>
      </c>
    </row>
    <row r="738" spans="1:12" x14ac:dyDescent="0.25">
      <c r="A738" s="3">
        <v>45714.678495370375</v>
      </c>
      <c r="B738" t="s">
        <v>80</v>
      </c>
      <c r="C738" s="3">
        <v>45714.681793981479</v>
      </c>
      <c r="D738" t="s">
        <v>125</v>
      </c>
      <c r="E738" s="4">
        <v>0.96399999999999997</v>
      </c>
      <c r="F738" s="4">
        <v>427665.05</v>
      </c>
      <c r="G738" s="4">
        <v>427666.01400000002</v>
      </c>
      <c r="H738" s="5">
        <f>40 / 86400</f>
        <v>4.6296296296296298E-4</v>
      </c>
      <c r="I738" t="s">
        <v>136</v>
      </c>
      <c r="J738" t="s">
        <v>98</v>
      </c>
      <c r="K738" s="5">
        <f>284 / 86400</f>
        <v>3.2870370370370371E-3</v>
      </c>
      <c r="L738" s="5">
        <f>982 / 86400</f>
        <v>1.136574074074074E-2</v>
      </c>
    </row>
    <row r="739" spans="1:12" x14ac:dyDescent="0.25">
      <c r="A739" s="3">
        <v>45714.693159722221</v>
      </c>
      <c r="B739" t="s">
        <v>125</v>
      </c>
      <c r="C739" s="3">
        <v>45714.700682870374</v>
      </c>
      <c r="D739" t="s">
        <v>80</v>
      </c>
      <c r="E739" s="4">
        <v>0.95599999999999996</v>
      </c>
      <c r="F739" s="4">
        <v>427666.01400000002</v>
      </c>
      <c r="G739" s="4">
        <v>427666.97</v>
      </c>
      <c r="H739" s="5">
        <f>379 / 86400</f>
        <v>4.386574074074074E-3</v>
      </c>
      <c r="I739" t="s">
        <v>64</v>
      </c>
      <c r="J739" t="s">
        <v>77</v>
      </c>
      <c r="K739" s="5">
        <f>649 / 86400</f>
        <v>7.5115740740740742E-3</v>
      </c>
      <c r="L739" s="5">
        <f>2451 / 86400</f>
        <v>2.8368055555555556E-2</v>
      </c>
    </row>
    <row r="740" spans="1:12" x14ac:dyDescent="0.25">
      <c r="A740" s="3">
        <v>45714.729050925926</v>
      </c>
      <c r="B740" t="s">
        <v>80</v>
      </c>
      <c r="C740" s="3">
        <v>45714.805798611109</v>
      </c>
      <c r="D740" t="s">
        <v>421</v>
      </c>
      <c r="E740" s="4">
        <v>36.491</v>
      </c>
      <c r="F740" s="4">
        <v>427666.97</v>
      </c>
      <c r="G740" s="4">
        <v>427703.46100000001</v>
      </c>
      <c r="H740" s="5">
        <f>1399 / 86400</f>
        <v>1.6192129629629629E-2</v>
      </c>
      <c r="I740" t="s">
        <v>67</v>
      </c>
      <c r="J740" t="s">
        <v>64</v>
      </c>
      <c r="K740" s="5">
        <f>6631 / 86400</f>
        <v>7.6747685185185183E-2</v>
      </c>
      <c r="L740" s="5">
        <f>237 / 86400</f>
        <v>2.7430555555555554E-3</v>
      </c>
    </row>
    <row r="741" spans="1:12" x14ac:dyDescent="0.25">
      <c r="A741" s="3">
        <v>45714.808541666665</v>
      </c>
      <c r="B741" t="s">
        <v>421</v>
      </c>
      <c r="C741" s="3">
        <v>45714.812835648147</v>
      </c>
      <c r="D741" t="s">
        <v>55</v>
      </c>
      <c r="E741" s="4">
        <v>0.29899999999999999</v>
      </c>
      <c r="F741" s="4">
        <v>427703.46100000001</v>
      </c>
      <c r="G741" s="4">
        <v>427703.76</v>
      </c>
      <c r="H741" s="5">
        <f>180 / 86400</f>
        <v>2.0833333333333333E-3</v>
      </c>
      <c r="I741" t="s">
        <v>31</v>
      </c>
      <c r="J741" t="s">
        <v>102</v>
      </c>
      <c r="K741" s="5">
        <f>370 / 86400</f>
        <v>4.2824074074074075E-3</v>
      </c>
      <c r="L741" s="5">
        <f>16170 / 86400</f>
        <v>0.18715277777777778</v>
      </c>
    </row>
    <row r="742" spans="1:12" x14ac:dyDescent="0.25">
      <c r="A742" s="12"/>
      <c r="B742" s="12"/>
      <c r="C742" s="12"/>
      <c r="D742" s="12"/>
      <c r="E742" s="12"/>
      <c r="F742" s="12"/>
      <c r="G742" s="12"/>
      <c r="H742" s="12"/>
      <c r="I742" s="12"/>
      <c r="J742" s="12"/>
    </row>
    <row r="743" spans="1:12" x14ac:dyDescent="0.25">
      <c r="A743" s="12"/>
      <c r="B743" s="12"/>
      <c r="C743" s="12"/>
      <c r="D743" s="12"/>
      <c r="E743" s="12"/>
      <c r="F743" s="12"/>
      <c r="G743" s="12"/>
      <c r="H743" s="12"/>
      <c r="I743" s="12"/>
      <c r="J743" s="12"/>
    </row>
    <row r="744" spans="1:12" s="10" customFormat="1" ht="20.100000000000001" customHeight="1" x14ac:dyDescent="0.35">
      <c r="A744" s="15" t="s">
        <v>483</v>
      </c>
      <c r="B744" s="15"/>
      <c r="C744" s="15"/>
      <c r="D744" s="15"/>
      <c r="E744" s="15"/>
      <c r="F744" s="15"/>
      <c r="G744" s="15"/>
      <c r="H744" s="15"/>
      <c r="I744" s="15"/>
      <c r="J744" s="15"/>
    </row>
    <row r="745" spans="1:12" x14ac:dyDescent="0.25">
      <c r="A745" s="12"/>
      <c r="B745" s="12"/>
      <c r="C745" s="12"/>
      <c r="D745" s="12"/>
      <c r="E745" s="12"/>
      <c r="F745" s="12"/>
      <c r="G745" s="12"/>
      <c r="H745" s="12"/>
      <c r="I745" s="12"/>
      <c r="J745" s="12"/>
    </row>
    <row r="746" spans="1:12" ht="30" x14ac:dyDescent="0.25">
      <c r="A746" s="2" t="s">
        <v>6</v>
      </c>
      <c r="B746" s="2" t="s">
        <v>7</v>
      </c>
      <c r="C746" s="2" t="s">
        <v>8</v>
      </c>
      <c r="D746" s="2" t="s">
        <v>9</v>
      </c>
      <c r="E746" s="2" t="s">
        <v>10</v>
      </c>
      <c r="F746" s="2" t="s">
        <v>11</v>
      </c>
      <c r="G746" s="2" t="s">
        <v>12</v>
      </c>
      <c r="H746" s="2" t="s">
        <v>13</v>
      </c>
      <c r="I746" s="2" t="s">
        <v>14</v>
      </c>
      <c r="J746" s="2" t="s">
        <v>15</v>
      </c>
      <c r="K746" s="2" t="s">
        <v>16</v>
      </c>
      <c r="L746" s="2" t="s">
        <v>17</v>
      </c>
    </row>
    <row r="747" spans="1:12" x14ac:dyDescent="0.25">
      <c r="A747" s="3">
        <v>45714.234398148154</v>
      </c>
      <c r="B747" t="s">
        <v>26</v>
      </c>
      <c r="C747" s="3">
        <v>45714.321354166663</v>
      </c>
      <c r="D747" t="s">
        <v>238</v>
      </c>
      <c r="E747" s="4">
        <v>30.675000000000001</v>
      </c>
      <c r="F747" s="4">
        <v>14848.36</v>
      </c>
      <c r="G747" s="4">
        <v>14879.035</v>
      </c>
      <c r="H747" s="5">
        <f>2839 / 86400</f>
        <v>3.2858796296296296E-2</v>
      </c>
      <c r="I747" t="s">
        <v>57</v>
      </c>
      <c r="J747" t="s">
        <v>46</v>
      </c>
      <c r="K747" s="5">
        <f>7513 / 86400</f>
        <v>8.6956018518518516E-2</v>
      </c>
      <c r="L747" s="5">
        <f>20333 / 86400</f>
        <v>0.23533564814814814</v>
      </c>
    </row>
    <row r="748" spans="1:12" x14ac:dyDescent="0.25">
      <c r="A748" s="3">
        <v>45714.322291666671</v>
      </c>
      <c r="B748" t="s">
        <v>238</v>
      </c>
      <c r="C748" s="3">
        <v>45714.436527777776</v>
      </c>
      <c r="D748" t="s">
        <v>80</v>
      </c>
      <c r="E748" s="4">
        <v>49.534999999999997</v>
      </c>
      <c r="F748" s="4">
        <v>14879.035</v>
      </c>
      <c r="G748" s="4">
        <v>14928.57</v>
      </c>
      <c r="H748" s="5">
        <f>3209 / 86400</f>
        <v>3.7141203703703704E-2</v>
      </c>
      <c r="I748" t="s">
        <v>150</v>
      </c>
      <c r="J748" t="s">
        <v>20</v>
      </c>
      <c r="K748" s="5">
        <f>9869 / 86400</f>
        <v>0.11422453703703704</v>
      </c>
      <c r="L748" s="5">
        <f>150 / 86400</f>
        <v>1.736111111111111E-3</v>
      </c>
    </row>
    <row r="749" spans="1:12" x14ac:dyDescent="0.25">
      <c r="A749" s="3">
        <v>45714.438263888893</v>
      </c>
      <c r="B749" t="s">
        <v>80</v>
      </c>
      <c r="C749" s="3">
        <v>45714.43986111111</v>
      </c>
      <c r="D749" t="s">
        <v>422</v>
      </c>
      <c r="E749" s="4">
        <v>0.70599999999999996</v>
      </c>
      <c r="F749" s="4">
        <v>14928.57</v>
      </c>
      <c r="G749" s="4">
        <v>14929.276</v>
      </c>
      <c r="H749" s="5">
        <f>0 / 86400</f>
        <v>0</v>
      </c>
      <c r="I749" t="s">
        <v>155</v>
      </c>
      <c r="J749" t="s">
        <v>25</v>
      </c>
      <c r="K749" s="5">
        <f>137 / 86400</f>
        <v>1.5856481481481481E-3</v>
      </c>
      <c r="L749" s="5">
        <f>1577 / 86400</f>
        <v>1.8252314814814815E-2</v>
      </c>
    </row>
    <row r="750" spans="1:12" x14ac:dyDescent="0.25">
      <c r="A750" s="3">
        <v>45714.458113425921</v>
      </c>
      <c r="B750" t="s">
        <v>422</v>
      </c>
      <c r="C750" s="3">
        <v>45714.46193287037</v>
      </c>
      <c r="D750" t="s">
        <v>163</v>
      </c>
      <c r="E750" s="4">
        <v>1.0069999999999999</v>
      </c>
      <c r="F750" s="4">
        <v>14929.276</v>
      </c>
      <c r="G750" s="4">
        <v>14930.282999999999</v>
      </c>
      <c r="H750" s="5">
        <f>40 / 86400</f>
        <v>4.6296296296296298E-4</v>
      </c>
      <c r="I750" t="s">
        <v>151</v>
      </c>
      <c r="J750" t="s">
        <v>31</v>
      </c>
      <c r="K750" s="5">
        <f>330 / 86400</f>
        <v>3.8194444444444443E-3</v>
      </c>
      <c r="L750" s="5">
        <f>736 / 86400</f>
        <v>8.518518518518519E-3</v>
      </c>
    </row>
    <row r="751" spans="1:12" x14ac:dyDescent="0.25">
      <c r="A751" s="3">
        <v>45714.470451388886</v>
      </c>
      <c r="B751" t="s">
        <v>163</v>
      </c>
      <c r="C751" s="3">
        <v>45714.581250000003</v>
      </c>
      <c r="D751" t="s">
        <v>423</v>
      </c>
      <c r="E751" s="4">
        <v>50.218000000000004</v>
      </c>
      <c r="F751" s="4">
        <v>14930.282999999999</v>
      </c>
      <c r="G751" s="4">
        <v>14980.501</v>
      </c>
      <c r="H751" s="5">
        <f>3301 / 86400</f>
        <v>3.8206018518518521E-2</v>
      </c>
      <c r="I751" t="s">
        <v>33</v>
      </c>
      <c r="J751" t="s">
        <v>25</v>
      </c>
      <c r="K751" s="5">
        <f>9573 / 86400</f>
        <v>0.11079861111111111</v>
      </c>
      <c r="L751" s="5">
        <f>206 / 86400</f>
        <v>2.3842592592592591E-3</v>
      </c>
    </row>
    <row r="752" spans="1:12" x14ac:dyDescent="0.25">
      <c r="A752" s="3">
        <v>45714.583634259259</v>
      </c>
      <c r="B752" t="s">
        <v>423</v>
      </c>
      <c r="C752" s="3">
        <v>45714.583831018521</v>
      </c>
      <c r="D752" t="s">
        <v>423</v>
      </c>
      <c r="E752" s="4">
        <v>4.0000000000000001E-3</v>
      </c>
      <c r="F752" s="4">
        <v>14980.501</v>
      </c>
      <c r="G752" s="4">
        <v>14980.504999999999</v>
      </c>
      <c r="H752" s="5">
        <f>0 / 86400</f>
        <v>0</v>
      </c>
      <c r="I752" t="s">
        <v>77</v>
      </c>
      <c r="J752" t="s">
        <v>78</v>
      </c>
      <c r="K752" s="5">
        <f>16 / 86400</f>
        <v>1.8518518518518518E-4</v>
      </c>
      <c r="L752" s="5">
        <f>305 / 86400</f>
        <v>3.5300925925925925E-3</v>
      </c>
    </row>
    <row r="753" spans="1:12" x14ac:dyDescent="0.25">
      <c r="A753" s="3">
        <v>45714.587361111116</v>
      </c>
      <c r="B753" t="s">
        <v>423</v>
      </c>
      <c r="C753" s="3">
        <v>45714.638842592598</v>
      </c>
      <c r="D753" t="s">
        <v>424</v>
      </c>
      <c r="E753" s="4">
        <v>8.4670000000000005</v>
      </c>
      <c r="F753" s="4">
        <v>14980.504999999999</v>
      </c>
      <c r="G753" s="4">
        <v>14988.972</v>
      </c>
      <c r="H753" s="5">
        <f>3219 / 86400</f>
        <v>3.7256944444444447E-2</v>
      </c>
      <c r="I753" t="s">
        <v>346</v>
      </c>
      <c r="J753" t="s">
        <v>147</v>
      </c>
      <c r="K753" s="5">
        <f>4448 / 86400</f>
        <v>5.1481481481481482E-2</v>
      </c>
      <c r="L753" s="5">
        <f>38 / 86400</f>
        <v>4.3981481481481481E-4</v>
      </c>
    </row>
    <row r="754" spans="1:12" x14ac:dyDescent="0.25">
      <c r="A754" s="3">
        <v>45714.639282407406</v>
      </c>
      <c r="B754" t="s">
        <v>424</v>
      </c>
      <c r="C754" s="3">
        <v>45714.753229166672</v>
      </c>
      <c r="D754" t="s">
        <v>59</v>
      </c>
      <c r="E754" s="4">
        <v>34.302</v>
      </c>
      <c r="F754" s="4">
        <v>14988.972</v>
      </c>
      <c r="G754" s="4">
        <v>15023.273999999999</v>
      </c>
      <c r="H754" s="5">
        <f>4678 / 86400</f>
        <v>5.4143518518518521E-2</v>
      </c>
      <c r="I754" t="s">
        <v>195</v>
      </c>
      <c r="J754" t="s">
        <v>42</v>
      </c>
      <c r="K754" s="5">
        <f>9844 / 86400</f>
        <v>0.11393518518518518</v>
      </c>
      <c r="L754" s="5">
        <f>189 / 86400</f>
        <v>2.1875000000000002E-3</v>
      </c>
    </row>
    <row r="755" spans="1:12" x14ac:dyDescent="0.25">
      <c r="A755" s="3">
        <v>45714.755416666667</v>
      </c>
      <c r="B755" t="s">
        <v>425</v>
      </c>
      <c r="C755" s="3">
        <v>45714.755752314813</v>
      </c>
      <c r="D755" t="s">
        <v>426</v>
      </c>
      <c r="E755" s="4">
        <v>5.5E-2</v>
      </c>
      <c r="F755" s="4">
        <v>15023.273999999999</v>
      </c>
      <c r="G755" s="4">
        <v>15023.329</v>
      </c>
      <c r="H755" s="5">
        <f>4 / 86400</f>
        <v>4.6296296296296294E-5</v>
      </c>
      <c r="I755" t="s">
        <v>31</v>
      </c>
      <c r="J755" t="s">
        <v>147</v>
      </c>
      <c r="K755" s="5">
        <f>28 / 86400</f>
        <v>3.2407407407407406E-4</v>
      </c>
      <c r="L755" s="5">
        <f>136 / 86400</f>
        <v>1.5740740740740741E-3</v>
      </c>
    </row>
    <row r="756" spans="1:12" x14ac:dyDescent="0.25">
      <c r="A756" s="3">
        <v>45714.757326388892</v>
      </c>
      <c r="B756" t="s">
        <v>426</v>
      </c>
      <c r="C756" s="3">
        <v>45714.76734953704</v>
      </c>
      <c r="D756" t="s">
        <v>427</v>
      </c>
      <c r="E756" s="4">
        <v>5.2110000000000003</v>
      </c>
      <c r="F756" s="4">
        <v>15023.329</v>
      </c>
      <c r="G756" s="4">
        <v>15028.54</v>
      </c>
      <c r="H756" s="5">
        <f>140 / 86400</f>
        <v>1.6203703703703703E-3</v>
      </c>
      <c r="I756" t="s">
        <v>299</v>
      </c>
      <c r="J756" t="s">
        <v>140</v>
      </c>
      <c r="K756" s="5">
        <f>866 / 86400</f>
        <v>1.0023148148148147E-2</v>
      </c>
      <c r="L756" s="5">
        <f>241 / 86400</f>
        <v>2.7893518518518519E-3</v>
      </c>
    </row>
    <row r="757" spans="1:12" x14ac:dyDescent="0.25">
      <c r="A757" s="3">
        <v>45714.770138888889</v>
      </c>
      <c r="B757" t="s">
        <v>427</v>
      </c>
      <c r="C757" s="3">
        <v>45714.771574074075</v>
      </c>
      <c r="D757" t="s">
        <v>26</v>
      </c>
      <c r="E757" s="4">
        <v>0.38</v>
      </c>
      <c r="F757" s="4">
        <v>15028.54</v>
      </c>
      <c r="G757" s="4">
        <v>15028.92</v>
      </c>
      <c r="H757" s="5">
        <f>0 / 86400</f>
        <v>0</v>
      </c>
      <c r="I757" t="s">
        <v>20</v>
      </c>
      <c r="J757" t="s">
        <v>31</v>
      </c>
      <c r="K757" s="5">
        <f>124 / 86400</f>
        <v>1.4351851851851852E-3</v>
      </c>
      <c r="L757" s="5">
        <f>248 / 86400</f>
        <v>2.8703703703703703E-3</v>
      </c>
    </row>
    <row r="758" spans="1:12" x14ac:dyDescent="0.25">
      <c r="A758" s="3">
        <v>45714.77444444444</v>
      </c>
      <c r="B758" t="s">
        <v>26</v>
      </c>
      <c r="C758" s="3">
        <v>45714.775347222225</v>
      </c>
      <c r="D758" t="s">
        <v>26</v>
      </c>
      <c r="E758" s="4">
        <v>6.8000000000000005E-2</v>
      </c>
      <c r="F758" s="4">
        <v>15028.92</v>
      </c>
      <c r="G758" s="4">
        <v>15028.987999999999</v>
      </c>
      <c r="H758" s="5">
        <f>20 / 86400</f>
        <v>2.3148148148148149E-4</v>
      </c>
      <c r="I758" t="s">
        <v>157</v>
      </c>
      <c r="J758" t="s">
        <v>102</v>
      </c>
      <c r="K758" s="5">
        <f>77 / 86400</f>
        <v>8.9120370370370373E-4</v>
      </c>
      <c r="L758" s="5">
        <f>19409 / 86400</f>
        <v>0.22464120370370369</v>
      </c>
    </row>
    <row r="759" spans="1:12" x14ac:dyDescent="0.25">
      <c r="A759" s="12"/>
      <c r="B759" s="12"/>
      <c r="C759" s="12"/>
      <c r="D759" s="12"/>
      <c r="E759" s="12"/>
      <c r="F759" s="12"/>
      <c r="G759" s="12"/>
      <c r="H759" s="12"/>
      <c r="I759" s="12"/>
      <c r="J759" s="12"/>
    </row>
    <row r="760" spans="1:12" x14ac:dyDescent="0.25">
      <c r="A760" s="12"/>
      <c r="B760" s="12"/>
      <c r="C760" s="12"/>
      <c r="D760" s="12"/>
      <c r="E760" s="12"/>
      <c r="F760" s="12"/>
      <c r="G760" s="12"/>
      <c r="H760" s="12"/>
      <c r="I760" s="12"/>
      <c r="J760" s="12"/>
    </row>
    <row r="761" spans="1:12" s="10" customFormat="1" ht="20.100000000000001" customHeight="1" x14ac:dyDescent="0.35">
      <c r="A761" s="15" t="s">
        <v>484</v>
      </c>
      <c r="B761" s="15"/>
      <c r="C761" s="15"/>
      <c r="D761" s="15"/>
      <c r="E761" s="15"/>
      <c r="F761" s="15"/>
      <c r="G761" s="15"/>
      <c r="H761" s="15"/>
      <c r="I761" s="15"/>
      <c r="J761" s="15"/>
    </row>
    <row r="762" spans="1:12" x14ac:dyDescent="0.25">
      <c r="A762" s="12"/>
      <c r="B762" s="12"/>
      <c r="C762" s="12"/>
      <c r="D762" s="12"/>
      <c r="E762" s="12"/>
      <c r="F762" s="12"/>
      <c r="G762" s="12"/>
      <c r="H762" s="12"/>
      <c r="I762" s="12"/>
      <c r="J762" s="12"/>
    </row>
    <row r="763" spans="1:12" ht="30" x14ac:dyDescent="0.25">
      <c r="A763" s="2" t="s">
        <v>6</v>
      </c>
      <c r="B763" s="2" t="s">
        <v>7</v>
      </c>
      <c r="C763" s="2" t="s">
        <v>8</v>
      </c>
      <c r="D763" s="2" t="s">
        <v>9</v>
      </c>
      <c r="E763" s="2" t="s">
        <v>10</v>
      </c>
      <c r="F763" s="2" t="s">
        <v>11</v>
      </c>
      <c r="G763" s="2" t="s">
        <v>12</v>
      </c>
      <c r="H763" s="2" t="s">
        <v>13</v>
      </c>
      <c r="I763" s="2" t="s">
        <v>14</v>
      </c>
      <c r="J763" s="2" t="s">
        <v>15</v>
      </c>
      <c r="K763" s="2" t="s">
        <v>16</v>
      </c>
      <c r="L763" s="2" t="s">
        <v>17</v>
      </c>
    </row>
    <row r="764" spans="1:12" x14ac:dyDescent="0.25">
      <c r="A764" s="3">
        <v>45714.266793981486</v>
      </c>
      <c r="B764" t="s">
        <v>58</v>
      </c>
      <c r="C764" s="3">
        <v>45714.322719907403</v>
      </c>
      <c r="D764" t="s">
        <v>160</v>
      </c>
      <c r="E764" s="4">
        <v>28.648</v>
      </c>
      <c r="F764" s="4">
        <v>140054.962</v>
      </c>
      <c r="G764" s="4">
        <v>140083.60999999999</v>
      </c>
      <c r="H764" s="5">
        <f>1139 / 86400</f>
        <v>1.3182870370370371E-2</v>
      </c>
      <c r="I764" t="s">
        <v>97</v>
      </c>
      <c r="J764" t="s">
        <v>151</v>
      </c>
      <c r="K764" s="5">
        <f>4831 / 86400</f>
        <v>5.5914351851851854E-2</v>
      </c>
      <c r="L764" s="5">
        <f>23344 / 86400</f>
        <v>0.27018518518518519</v>
      </c>
    </row>
    <row r="765" spans="1:12" x14ac:dyDescent="0.25">
      <c r="A765" s="3">
        <v>45714.326111111106</v>
      </c>
      <c r="B765" t="s">
        <v>160</v>
      </c>
      <c r="C765" s="3">
        <v>45714.330185185187</v>
      </c>
      <c r="D765" t="s">
        <v>80</v>
      </c>
      <c r="E765" s="4">
        <v>5.6000000000000001E-2</v>
      </c>
      <c r="F765" s="4">
        <v>140083.60999999999</v>
      </c>
      <c r="G765" s="4">
        <v>140083.666</v>
      </c>
      <c r="H765" s="5">
        <f>280 / 86400</f>
        <v>3.2407407407407406E-3</v>
      </c>
      <c r="I765" t="s">
        <v>77</v>
      </c>
      <c r="J765" t="s">
        <v>78</v>
      </c>
      <c r="K765" s="5">
        <f>352 / 86400</f>
        <v>4.0740740740740737E-3</v>
      </c>
      <c r="L765" s="5">
        <f>6587 / 86400</f>
        <v>7.6238425925925932E-2</v>
      </c>
    </row>
    <row r="766" spans="1:12" x14ac:dyDescent="0.25">
      <c r="A766" s="3">
        <v>45714.406423611115</v>
      </c>
      <c r="B766" t="s">
        <v>80</v>
      </c>
      <c r="C766" s="3">
        <v>45714.407546296294</v>
      </c>
      <c r="D766" t="s">
        <v>80</v>
      </c>
      <c r="E766" s="4">
        <v>2.3E-2</v>
      </c>
      <c r="F766" s="4">
        <v>140083.666</v>
      </c>
      <c r="G766" s="4">
        <v>140083.68900000001</v>
      </c>
      <c r="H766" s="5">
        <f>39 / 86400</f>
        <v>4.5138888888888887E-4</v>
      </c>
      <c r="I766" t="s">
        <v>102</v>
      </c>
      <c r="J766" t="s">
        <v>78</v>
      </c>
      <c r="K766" s="5">
        <f>96 / 86400</f>
        <v>1.1111111111111111E-3</v>
      </c>
      <c r="L766" s="5">
        <f>2350 / 86400</f>
        <v>2.7199074074074073E-2</v>
      </c>
    </row>
    <row r="767" spans="1:12" x14ac:dyDescent="0.25">
      <c r="A767" s="3">
        <v>45714.434745370367</v>
      </c>
      <c r="B767" t="s">
        <v>80</v>
      </c>
      <c r="C767" s="3">
        <v>45714.439895833333</v>
      </c>
      <c r="D767" t="s">
        <v>47</v>
      </c>
      <c r="E767" s="4">
        <v>0.89900000000000002</v>
      </c>
      <c r="F767" s="4">
        <v>140083.68900000001</v>
      </c>
      <c r="G767" s="4">
        <v>140084.58799999999</v>
      </c>
      <c r="H767" s="5">
        <f>159 / 86400</f>
        <v>1.8402777777777777E-3</v>
      </c>
      <c r="I767" t="s">
        <v>181</v>
      </c>
      <c r="J767" t="s">
        <v>147</v>
      </c>
      <c r="K767" s="5">
        <f>444 / 86400</f>
        <v>5.138888888888889E-3</v>
      </c>
      <c r="L767" s="5">
        <f>1507 / 86400</f>
        <v>1.744212962962963E-2</v>
      </c>
    </row>
    <row r="768" spans="1:12" x14ac:dyDescent="0.25">
      <c r="A768" s="3">
        <v>45714.457337962958</v>
      </c>
      <c r="B768" t="s">
        <v>47</v>
      </c>
      <c r="C768" s="3">
        <v>45714.460636574076</v>
      </c>
      <c r="D768" t="s">
        <v>130</v>
      </c>
      <c r="E768" s="4">
        <v>0.75800000000000001</v>
      </c>
      <c r="F768" s="4">
        <v>140084.58799999999</v>
      </c>
      <c r="G768" s="4">
        <v>140085.34599999999</v>
      </c>
      <c r="H768" s="5">
        <f>0 / 86400</f>
        <v>0</v>
      </c>
      <c r="I768" t="s">
        <v>140</v>
      </c>
      <c r="J768" t="s">
        <v>132</v>
      </c>
      <c r="K768" s="5">
        <f>284 / 86400</f>
        <v>3.2870370370370371E-3</v>
      </c>
      <c r="L768" s="5">
        <f>1712 / 86400</f>
        <v>1.9814814814814816E-2</v>
      </c>
    </row>
    <row r="769" spans="1:12" x14ac:dyDescent="0.25">
      <c r="A769" s="3">
        <v>45714.480451388888</v>
      </c>
      <c r="B769" t="s">
        <v>130</v>
      </c>
      <c r="C769" s="3">
        <v>45714.484884259262</v>
      </c>
      <c r="D769" t="s">
        <v>80</v>
      </c>
      <c r="E769" s="4">
        <v>1.357</v>
      </c>
      <c r="F769" s="4">
        <v>140085.34599999999</v>
      </c>
      <c r="G769" s="4">
        <v>140086.70300000001</v>
      </c>
      <c r="H769" s="5">
        <f>80 / 86400</f>
        <v>9.2592592592592596E-4</v>
      </c>
      <c r="I769" t="s">
        <v>181</v>
      </c>
      <c r="J769" t="s">
        <v>42</v>
      </c>
      <c r="K769" s="5">
        <f>383 / 86400</f>
        <v>4.43287037037037E-3</v>
      </c>
      <c r="L769" s="5">
        <f>867 / 86400</f>
        <v>1.0034722222222223E-2</v>
      </c>
    </row>
    <row r="770" spans="1:12" x14ac:dyDescent="0.25">
      <c r="A770" s="3">
        <v>45714.49491898148</v>
      </c>
      <c r="B770" t="s">
        <v>80</v>
      </c>
      <c r="C770" s="3">
        <v>45714.758321759262</v>
      </c>
      <c r="D770" t="s">
        <v>80</v>
      </c>
      <c r="E770" s="4">
        <v>99.742000000000004</v>
      </c>
      <c r="F770" s="4">
        <v>140086.70300000001</v>
      </c>
      <c r="G770" s="4">
        <v>140186.44500000001</v>
      </c>
      <c r="H770" s="5">
        <f>7759 / 86400</f>
        <v>8.9803240740740739E-2</v>
      </c>
      <c r="I770" t="s">
        <v>40</v>
      </c>
      <c r="J770" t="s">
        <v>28</v>
      </c>
      <c r="K770" s="5">
        <f>22757 / 86400</f>
        <v>0.26339120370370372</v>
      </c>
      <c r="L770" s="5">
        <f>390 / 86400</f>
        <v>4.5138888888888885E-3</v>
      </c>
    </row>
    <row r="771" spans="1:12" x14ac:dyDescent="0.25">
      <c r="A771" s="3">
        <v>45714.762835648144</v>
      </c>
      <c r="B771" t="s">
        <v>80</v>
      </c>
      <c r="C771" s="3">
        <v>45714.819351851853</v>
      </c>
      <c r="D771" t="s">
        <v>428</v>
      </c>
      <c r="E771" s="4">
        <v>24.774999999999999</v>
      </c>
      <c r="F771" s="4">
        <v>140186.44500000001</v>
      </c>
      <c r="G771" s="4">
        <v>140211.22</v>
      </c>
      <c r="H771" s="5">
        <f>1578 / 86400</f>
        <v>1.8263888888888889E-2</v>
      </c>
      <c r="I771" t="s">
        <v>150</v>
      </c>
      <c r="J771" t="s">
        <v>20</v>
      </c>
      <c r="K771" s="5">
        <f>4882 / 86400</f>
        <v>5.6504629629629627E-2</v>
      </c>
      <c r="L771" s="5">
        <f>56 / 86400</f>
        <v>6.4814814814814813E-4</v>
      </c>
    </row>
    <row r="772" spans="1:12" x14ac:dyDescent="0.25">
      <c r="A772" s="3">
        <v>45714.82</v>
      </c>
      <c r="B772" t="s">
        <v>428</v>
      </c>
      <c r="C772" s="3">
        <v>45714.820127314815</v>
      </c>
      <c r="D772" t="s">
        <v>428</v>
      </c>
      <c r="E772" s="4">
        <v>5.0000000000000001E-3</v>
      </c>
      <c r="F772" s="4">
        <v>140211.22</v>
      </c>
      <c r="G772" s="4">
        <v>140211.22500000001</v>
      </c>
      <c r="H772" s="5">
        <f>0 / 86400</f>
        <v>0</v>
      </c>
      <c r="I772" t="s">
        <v>77</v>
      </c>
      <c r="J772" t="s">
        <v>32</v>
      </c>
      <c r="K772" s="5">
        <f>11 / 86400</f>
        <v>1.273148148148148E-4</v>
      </c>
      <c r="L772" s="5">
        <f>327 / 86400</f>
        <v>3.7847222222222223E-3</v>
      </c>
    </row>
    <row r="773" spans="1:12" x14ac:dyDescent="0.25">
      <c r="A773" s="3">
        <v>45714.823912037042</v>
      </c>
      <c r="B773" t="s">
        <v>428</v>
      </c>
      <c r="C773" s="3">
        <v>45714.841493055559</v>
      </c>
      <c r="D773" t="s">
        <v>58</v>
      </c>
      <c r="E773" s="4">
        <v>3.37</v>
      </c>
      <c r="F773" s="4">
        <v>140211.22500000001</v>
      </c>
      <c r="G773" s="4">
        <v>140214.595</v>
      </c>
      <c r="H773" s="5">
        <f>680 / 86400</f>
        <v>7.8703703703703696E-3</v>
      </c>
      <c r="I773" t="s">
        <v>176</v>
      </c>
      <c r="J773" t="s">
        <v>157</v>
      </c>
      <c r="K773" s="5">
        <f>1519 / 86400</f>
        <v>1.758101851851852E-2</v>
      </c>
      <c r="L773" s="5">
        <f>13694 / 86400</f>
        <v>0.15849537037037037</v>
      </c>
    </row>
    <row r="774" spans="1:12" x14ac:dyDescent="0.25">
      <c r="A774" s="12"/>
      <c r="B774" s="12"/>
      <c r="C774" s="12"/>
      <c r="D774" s="12"/>
      <c r="E774" s="12"/>
      <c r="F774" s="12"/>
      <c r="G774" s="12"/>
      <c r="H774" s="12"/>
      <c r="I774" s="12"/>
      <c r="J774" s="12"/>
    </row>
    <row r="775" spans="1:12" x14ac:dyDescent="0.25">
      <c r="A775" s="12"/>
      <c r="B775" s="12"/>
      <c r="C775" s="12"/>
      <c r="D775" s="12"/>
      <c r="E775" s="12"/>
      <c r="F775" s="12"/>
      <c r="G775" s="12"/>
      <c r="H775" s="12"/>
      <c r="I775" s="12"/>
      <c r="J775" s="12"/>
    </row>
    <row r="776" spans="1:12" s="10" customFormat="1" ht="20.100000000000001" customHeight="1" x14ac:dyDescent="0.35">
      <c r="A776" s="15" t="s">
        <v>485</v>
      </c>
      <c r="B776" s="15"/>
      <c r="C776" s="15"/>
      <c r="D776" s="15"/>
      <c r="E776" s="15"/>
      <c r="F776" s="15"/>
      <c r="G776" s="15"/>
      <c r="H776" s="15"/>
      <c r="I776" s="15"/>
      <c r="J776" s="15"/>
    </row>
    <row r="777" spans="1:12" x14ac:dyDescent="0.25">
      <c r="A777" s="12"/>
      <c r="B777" s="12"/>
      <c r="C777" s="12"/>
      <c r="D777" s="12"/>
      <c r="E777" s="12"/>
      <c r="F777" s="12"/>
      <c r="G777" s="12"/>
      <c r="H777" s="12"/>
      <c r="I777" s="12"/>
      <c r="J777" s="12"/>
    </row>
    <row r="778" spans="1:12" ht="30" x14ac:dyDescent="0.25">
      <c r="A778" s="2" t="s">
        <v>6</v>
      </c>
      <c r="B778" s="2" t="s">
        <v>7</v>
      </c>
      <c r="C778" s="2" t="s">
        <v>8</v>
      </c>
      <c r="D778" s="2" t="s">
        <v>9</v>
      </c>
      <c r="E778" s="2" t="s">
        <v>10</v>
      </c>
      <c r="F778" s="2" t="s">
        <v>11</v>
      </c>
      <c r="G778" s="2" t="s">
        <v>12</v>
      </c>
      <c r="H778" s="2" t="s">
        <v>13</v>
      </c>
      <c r="I778" s="2" t="s">
        <v>14</v>
      </c>
      <c r="J778" s="2" t="s">
        <v>15</v>
      </c>
      <c r="K778" s="2" t="s">
        <v>16</v>
      </c>
      <c r="L778" s="2" t="s">
        <v>17</v>
      </c>
    </row>
    <row r="779" spans="1:12" x14ac:dyDescent="0.25">
      <c r="A779" s="3">
        <v>45714.212280092594</v>
      </c>
      <c r="B779" t="s">
        <v>59</v>
      </c>
      <c r="C779" s="3">
        <v>45714.443298611106</v>
      </c>
      <c r="D779" t="s">
        <v>125</v>
      </c>
      <c r="E779" s="4">
        <v>81.215999999999994</v>
      </c>
      <c r="F779" s="4">
        <v>388936.52600000001</v>
      </c>
      <c r="G779" s="4">
        <v>389017.74200000003</v>
      </c>
      <c r="H779" s="5">
        <f>7939 / 86400</f>
        <v>9.1886574074074079E-2</v>
      </c>
      <c r="I779" t="s">
        <v>97</v>
      </c>
      <c r="J779" t="s">
        <v>46</v>
      </c>
      <c r="K779" s="5">
        <f>19960 / 86400</f>
        <v>0.23101851851851851</v>
      </c>
      <c r="L779" s="5">
        <f>18345 / 86400</f>
        <v>0.21232638888888888</v>
      </c>
    </row>
    <row r="780" spans="1:12" x14ac:dyDescent="0.25">
      <c r="A780" s="3">
        <v>45714.443344907406</v>
      </c>
      <c r="B780" t="s">
        <v>125</v>
      </c>
      <c r="C780" s="3">
        <v>45714.443460648152</v>
      </c>
      <c r="D780" t="s">
        <v>125</v>
      </c>
      <c r="E780" s="4">
        <v>0</v>
      </c>
      <c r="F780" s="4">
        <v>389017.74200000003</v>
      </c>
      <c r="G780" s="4">
        <v>389017.74200000003</v>
      </c>
      <c r="H780" s="5">
        <f>0 / 86400</f>
        <v>0</v>
      </c>
      <c r="I780" t="s">
        <v>22</v>
      </c>
      <c r="J780" t="s">
        <v>22</v>
      </c>
      <c r="K780" s="5">
        <f>10 / 86400</f>
        <v>1.1574074074074075E-4</v>
      </c>
      <c r="L780" s="5">
        <f>6184 / 86400</f>
        <v>7.1574074074074068E-2</v>
      </c>
    </row>
    <row r="781" spans="1:12" x14ac:dyDescent="0.25">
      <c r="A781" s="3">
        <v>45714.515034722222</v>
      </c>
      <c r="B781" t="s">
        <v>125</v>
      </c>
      <c r="C781" s="3">
        <v>45714.515231481477</v>
      </c>
      <c r="D781" t="s">
        <v>125</v>
      </c>
      <c r="E781" s="4">
        <v>0</v>
      </c>
      <c r="F781" s="4">
        <v>389017.74200000003</v>
      </c>
      <c r="G781" s="4">
        <v>389017.74200000003</v>
      </c>
      <c r="H781" s="5">
        <f>0 / 86400</f>
        <v>0</v>
      </c>
      <c r="I781" t="s">
        <v>22</v>
      </c>
      <c r="J781" t="s">
        <v>22</v>
      </c>
      <c r="K781" s="5">
        <f>17 / 86400</f>
        <v>1.9675925925925926E-4</v>
      </c>
      <c r="L781" s="5">
        <f>175 / 86400</f>
        <v>2.0254629629629629E-3</v>
      </c>
    </row>
    <row r="782" spans="1:12" x14ac:dyDescent="0.25">
      <c r="A782" s="3">
        <v>45714.51725694444</v>
      </c>
      <c r="B782" t="s">
        <v>125</v>
      </c>
      <c r="C782" s="3">
        <v>45714.523738425924</v>
      </c>
      <c r="D782" t="s">
        <v>130</v>
      </c>
      <c r="E782" s="4">
        <v>1.2210000000000001</v>
      </c>
      <c r="F782" s="4">
        <v>389017.74200000003</v>
      </c>
      <c r="G782" s="4">
        <v>389018.96299999999</v>
      </c>
      <c r="H782" s="5">
        <f>220 / 86400</f>
        <v>2.5462962962962965E-3</v>
      </c>
      <c r="I782" t="s">
        <v>131</v>
      </c>
      <c r="J782" t="s">
        <v>157</v>
      </c>
      <c r="K782" s="5">
        <f>560 / 86400</f>
        <v>6.4814814814814813E-3</v>
      </c>
      <c r="L782" s="5">
        <f>141 / 86400</f>
        <v>1.6319444444444445E-3</v>
      </c>
    </row>
    <row r="783" spans="1:12" x14ac:dyDescent="0.25">
      <c r="A783" s="3">
        <v>45714.525370370371</v>
      </c>
      <c r="B783" t="s">
        <v>130</v>
      </c>
      <c r="C783" s="3">
        <v>45714.6252662037</v>
      </c>
      <c r="D783" t="s">
        <v>227</v>
      </c>
      <c r="E783" s="4">
        <v>47.350999999999999</v>
      </c>
      <c r="F783" s="4">
        <v>389018.96299999999</v>
      </c>
      <c r="G783" s="4">
        <v>389066.31400000001</v>
      </c>
      <c r="H783" s="5">
        <f>2401 / 86400</f>
        <v>2.7789351851851853E-2</v>
      </c>
      <c r="I783" t="s">
        <v>60</v>
      </c>
      <c r="J783" t="s">
        <v>64</v>
      </c>
      <c r="K783" s="5">
        <f>8630 / 86400</f>
        <v>9.9884259259259256E-2</v>
      </c>
      <c r="L783" s="5">
        <f>128 / 86400</f>
        <v>1.4814814814814814E-3</v>
      </c>
    </row>
    <row r="784" spans="1:12" x14ac:dyDescent="0.25">
      <c r="A784" s="3">
        <v>45714.626747685186</v>
      </c>
      <c r="B784" t="s">
        <v>227</v>
      </c>
      <c r="C784" s="3">
        <v>45714.750752314816</v>
      </c>
      <c r="D784" t="s">
        <v>59</v>
      </c>
      <c r="E784" s="4">
        <v>57.253999999999998</v>
      </c>
      <c r="F784" s="4">
        <v>389066.31400000001</v>
      </c>
      <c r="G784" s="4">
        <v>389123.56800000003</v>
      </c>
      <c r="H784" s="5">
        <f>2920 / 86400</f>
        <v>3.3796296296296297E-2</v>
      </c>
      <c r="I784" t="s">
        <v>183</v>
      </c>
      <c r="J784" t="s">
        <v>25</v>
      </c>
      <c r="K784" s="5">
        <f>10713 / 86400</f>
        <v>0.12399305555555555</v>
      </c>
      <c r="L784" s="5">
        <f>545 / 86400</f>
        <v>6.3078703703703708E-3</v>
      </c>
    </row>
    <row r="785" spans="1:12" x14ac:dyDescent="0.25">
      <c r="A785" s="3">
        <v>45714.757060185184</v>
      </c>
      <c r="B785" t="s">
        <v>59</v>
      </c>
      <c r="C785" s="3">
        <v>45714.761215277773</v>
      </c>
      <c r="D785" t="s">
        <v>59</v>
      </c>
      <c r="E785" s="4">
        <v>1.371</v>
      </c>
      <c r="F785" s="4">
        <v>389123.56800000003</v>
      </c>
      <c r="G785" s="4">
        <v>389124.93900000001</v>
      </c>
      <c r="H785" s="5">
        <f>160 / 86400</f>
        <v>1.8518518518518519E-3</v>
      </c>
      <c r="I785" t="s">
        <v>182</v>
      </c>
      <c r="J785" t="s">
        <v>52</v>
      </c>
      <c r="K785" s="5">
        <f>358 / 86400</f>
        <v>4.1435185185185186E-3</v>
      </c>
      <c r="L785" s="5">
        <f>20630 / 86400</f>
        <v>0.23877314814814815</v>
      </c>
    </row>
    <row r="786" spans="1:12" x14ac:dyDescent="0.25">
      <c r="A786" s="12"/>
      <c r="B786" s="12"/>
      <c r="C786" s="12"/>
      <c r="D786" s="12"/>
      <c r="E786" s="12"/>
      <c r="F786" s="12"/>
      <c r="G786" s="12"/>
      <c r="H786" s="12"/>
      <c r="I786" s="12"/>
      <c r="J786" s="12"/>
    </row>
    <row r="787" spans="1:12" x14ac:dyDescent="0.25">
      <c r="A787" s="12"/>
      <c r="B787" s="12"/>
      <c r="C787" s="12"/>
      <c r="D787" s="12"/>
      <c r="E787" s="12"/>
      <c r="F787" s="12"/>
      <c r="G787" s="12"/>
      <c r="H787" s="12"/>
      <c r="I787" s="12"/>
      <c r="J787" s="12"/>
    </row>
    <row r="788" spans="1:12" s="10" customFormat="1" ht="20.100000000000001" customHeight="1" x14ac:dyDescent="0.35">
      <c r="A788" s="15" t="s">
        <v>486</v>
      </c>
      <c r="B788" s="15"/>
      <c r="C788" s="15"/>
      <c r="D788" s="15"/>
      <c r="E788" s="15"/>
      <c r="F788" s="15"/>
      <c r="G788" s="15"/>
      <c r="H788" s="15"/>
      <c r="I788" s="15"/>
      <c r="J788" s="15"/>
    </row>
    <row r="789" spans="1:12" x14ac:dyDescent="0.25">
      <c r="A789" s="12"/>
      <c r="B789" s="12"/>
      <c r="C789" s="12"/>
      <c r="D789" s="12"/>
      <c r="E789" s="12"/>
      <c r="F789" s="12"/>
      <c r="G789" s="12"/>
      <c r="H789" s="12"/>
      <c r="I789" s="12"/>
      <c r="J789" s="12"/>
    </row>
    <row r="790" spans="1:12" ht="30" x14ac:dyDescent="0.25">
      <c r="A790" s="2" t="s">
        <v>6</v>
      </c>
      <c r="B790" s="2" t="s">
        <v>7</v>
      </c>
      <c r="C790" s="2" t="s">
        <v>8</v>
      </c>
      <c r="D790" s="2" t="s">
        <v>9</v>
      </c>
      <c r="E790" s="2" t="s">
        <v>10</v>
      </c>
      <c r="F790" s="2" t="s">
        <v>11</v>
      </c>
      <c r="G790" s="2" t="s">
        <v>12</v>
      </c>
      <c r="H790" s="2" t="s">
        <v>13</v>
      </c>
      <c r="I790" s="2" t="s">
        <v>14</v>
      </c>
      <c r="J790" s="2" t="s">
        <v>15</v>
      </c>
      <c r="K790" s="2" t="s">
        <v>16</v>
      </c>
      <c r="L790" s="2" t="s">
        <v>17</v>
      </c>
    </row>
    <row r="791" spans="1:12" x14ac:dyDescent="0.25">
      <c r="A791" s="3">
        <v>45714.23819444445</v>
      </c>
      <c r="B791" t="s">
        <v>59</v>
      </c>
      <c r="C791" s="3">
        <v>45714.481400462959</v>
      </c>
      <c r="D791" t="s">
        <v>47</v>
      </c>
      <c r="E791" s="4">
        <v>88.578000000000003</v>
      </c>
      <c r="F791" s="4">
        <v>392732.11</v>
      </c>
      <c r="G791" s="4">
        <v>392820.68800000002</v>
      </c>
      <c r="H791" s="5">
        <f>7417 / 86400</f>
        <v>8.5844907407407411E-2</v>
      </c>
      <c r="I791" t="s">
        <v>150</v>
      </c>
      <c r="J791" t="s">
        <v>46</v>
      </c>
      <c r="K791" s="5">
        <f>21013 / 86400</f>
        <v>0.24320601851851853</v>
      </c>
      <c r="L791" s="5">
        <f>21718 / 86400</f>
        <v>0.25136574074074075</v>
      </c>
    </row>
    <row r="792" spans="1:12" x14ac:dyDescent="0.25">
      <c r="A792" s="3">
        <v>45714.494571759264</v>
      </c>
      <c r="B792" t="s">
        <v>47</v>
      </c>
      <c r="C792" s="3">
        <v>45714.498171296298</v>
      </c>
      <c r="D792" t="s">
        <v>163</v>
      </c>
      <c r="E792" s="4">
        <v>0.90900000000000003</v>
      </c>
      <c r="F792" s="4">
        <v>392820.68800000002</v>
      </c>
      <c r="G792" s="4">
        <v>392821.59700000001</v>
      </c>
      <c r="H792" s="5">
        <f>19 / 86400</f>
        <v>2.199074074074074E-4</v>
      </c>
      <c r="I792" t="s">
        <v>64</v>
      </c>
      <c r="J792" t="s">
        <v>31</v>
      </c>
      <c r="K792" s="5">
        <f>311 / 86400</f>
        <v>3.5995370370370369E-3</v>
      </c>
      <c r="L792" s="5">
        <f>2904 / 86400</f>
        <v>3.3611111111111112E-2</v>
      </c>
    </row>
    <row r="793" spans="1:12" x14ac:dyDescent="0.25">
      <c r="A793" s="3">
        <v>45714.531782407408</v>
      </c>
      <c r="B793" t="s">
        <v>163</v>
      </c>
      <c r="C793" s="3">
        <v>45714.84851851852</v>
      </c>
      <c r="D793" t="s">
        <v>345</v>
      </c>
      <c r="E793" s="4">
        <v>134.535</v>
      </c>
      <c r="F793" s="4">
        <v>392821.59700000001</v>
      </c>
      <c r="G793" s="4">
        <v>392956.13199999998</v>
      </c>
      <c r="H793" s="5">
        <f>8598 / 86400</f>
        <v>9.9513888888888888E-2</v>
      </c>
      <c r="I793" t="s">
        <v>51</v>
      </c>
      <c r="J793" t="s">
        <v>20</v>
      </c>
      <c r="K793" s="5">
        <f>27365 / 86400</f>
        <v>0.31672453703703701</v>
      </c>
      <c r="L793" s="5">
        <f>321 / 86400</f>
        <v>3.7152777777777778E-3</v>
      </c>
    </row>
    <row r="794" spans="1:12" x14ac:dyDescent="0.25">
      <c r="A794" s="3">
        <v>45714.852233796293</v>
      </c>
      <c r="B794" t="s">
        <v>345</v>
      </c>
      <c r="C794" s="3">
        <v>45714.861678240741</v>
      </c>
      <c r="D794" t="s">
        <v>59</v>
      </c>
      <c r="E794" s="4">
        <v>6.1920000000000002</v>
      </c>
      <c r="F794" s="4">
        <v>392956.13199999998</v>
      </c>
      <c r="G794" s="4">
        <v>392962.32400000002</v>
      </c>
      <c r="H794" s="5">
        <f>160 / 86400</f>
        <v>1.8518518518518519E-3</v>
      </c>
      <c r="I794" t="s">
        <v>167</v>
      </c>
      <c r="J794" t="s">
        <v>186</v>
      </c>
      <c r="K794" s="5">
        <f>815 / 86400</f>
        <v>9.432870370370371E-3</v>
      </c>
      <c r="L794" s="5">
        <f>11950 / 86400</f>
        <v>0.13831018518518517</v>
      </c>
    </row>
    <row r="795" spans="1:12" x14ac:dyDescent="0.25">
      <c r="A795" s="12"/>
      <c r="B795" s="12"/>
      <c r="C795" s="12"/>
      <c r="D795" s="12"/>
      <c r="E795" s="12"/>
      <c r="F795" s="12"/>
      <c r="G795" s="12"/>
      <c r="H795" s="12"/>
      <c r="I795" s="12"/>
      <c r="J795" s="12"/>
    </row>
    <row r="796" spans="1:12" x14ac:dyDescent="0.25">
      <c r="A796" s="12"/>
      <c r="B796" s="12"/>
      <c r="C796" s="12"/>
      <c r="D796" s="12"/>
      <c r="E796" s="12"/>
      <c r="F796" s="12"/>
      <c r="G796" s="12"/>
      <c r="H796" s="12"/>
      <c r="I796" s="12"/>
      <c r="J796" s="12"/>
    </row>
    <row r="797" spans="1:12" s="10" customFormat="1" ht="20.100000000000001" customHeight="1" x14ac:dyDescent="0.35">
      <c r="A797" s="15" t="s">
        <v>487</v>
      </c>
      <c r="B797" s="15"/>
      <c r="C797" s="15"/>
      <c r="D797" s="15"/>
      <c r="E797" s="15"/>
      <c r="F797" s="15"/>
      <c r="G797" s="15"/>
      <c r="H797" s="15"/>
      <c r="I797" s="15"/>
      <c r="J797" s="15"/>
    </row>
    <row r="798" spans="1:12" x14ac:dyDescent="0.25">
      <c r="A798" s="12"/>
      <c r="B798" s="12"/>
      <c r="C798" s="12"/>
      <c r="D798" s="12"/>
      <c r="E798" s="12"/>
      <c r="F798" s="12"/>
      <c r="G798" s="12"/>
      <c r="H798" s="12"/>
      <c r="I798" s="12"/>
      <c r="J798" s="12"/>
    </row>
    <row r="799" spans="1:12" ht="30" x14ac:dyDescent="0.25">
      <c r="A799" s="2" t="s">
        <v>6</v>
      </c>
      <c r="B799" s="2" t="s">
        <v>7</v>
      </c>
      <c r="C799" s="2" t="s">
        <v>8</v>
      </c>
      <c r="D799" s="2" t="s">
        <v>9</v>
      </c>
      <c r="E799" s="2" t="s">
        <v>10</v>
      </c>
      <c r="F799" s="2" t="s">
        <v>11</v>
      </c>
      <c r="G799" s="2" t="s">
        <v>12</v>
      </c>
      <c r="H799" s="2" t="s">
        <v>13</v>
      </c>
      <c r="I799" s="2" t="s">
        <v>14</v>
      </c>
      <c r="J799" s="2" t="s">
        <v>15</v>
      </c>
      <c r="K799" s="2" t="s">
        <v>16</v>
      </c>
      <c r="L799" s="2" t="s">
        <v>17</v>
      </c>
    </row>
    <row r="800" spans="1:12" x14ac:dyDescent="0.25">
      <c r="A800" s="3">
        <v>45714.146967592591</v>
      </c>
      <c r="B800" t="s">
        <v>62</v>
      </c>
      <c r="C800" s="3">
        <v>45714.291041666671</v>
      </c>
      <c r="D800" t="s">
        <v>130</v>
      </c>
      <c r="E800" s="4">
        <v>80.832000000059608</v>
      </c>
      <c r="F800" s="4">
        <v>526080.53599999996</v>
      </c>
      <c r="G800" s="4">
        <v>526161.36800000002</v>
      </c>
      <c r="H800" s="5">
        <f>2719 / 86400</f>
        <v>3.1469907407407405E-2</v>
      </c>
      <c r="I800" t="s">
        <v>112</v>
      </c>
      <c r="J800" t="s">
        <v>134</v>
      </c>
      <c r="K800" s="5">
        <f>12448 / 86400</f>
        <v>0.14407407407407408</v>
      </c>
      <c r="L800" s="5">
        <f>14449 / 86400</f>
        <v>0.16723379629629628</v>
      </c>
    </row>
    <row r="801" spans="1:12" x14ac:dyDescent="0.25">
      <c r="A801" s="3">
        <v>45714.311307870375</v>
      </c>
      <c r="B801" t="s">
        <v>130</v>
      </c>
      <c r="C801" s="3">
        <v>45714.560462962967</v>
      </c>
      <c r="D801" t="s">
        <v>80</v>
      </c>
      <c r="E801" s="4">
        <v>101.026</v>
      </c>
      <c r="F801" s="4">
        <v>526161.36800000002</v>
      </c>
      <c r="G801" s="4">
        <v>526262.39399999997</v>
      </c>
      <c r="H801" s="5">
        <f>6821 / 86400</f>
        <v>7.8946759259259258E-2</v>
      </c>
      <c r="I801" t="s">
        <v>63</v>
      </c>
      <c r="J801" t="s">
        <v>61</v>
      </c>
      <c r="K801" s="5">
        <f>21526 / 86400</f>
        <v>0.24914351851851851</v>
      </c>
      <c r="L801" s="5">
        <f>221 / 86400</f>
        <v>2.5578703703703705E-3</v>
      </c>
    </row>
    <row r="802" spans="1:12" x14ac:dyDescent="0.25">
      <c r="A802" s="3">
        <v>45714.563020833331</v>
      </c>
      <c r="B802" t="s">
        <v>80</v>
      </c>
      <c r="C802" s="3">
        <v>45714.564363425925</v>
      </c>
      <c r="D802" t="s">
        <v>80</v>
      </c>
      <c r="E802" s="4">
        <v>0</v>
      </c>
      <c r="F802" s="4">
        <v>526262.39399999997</v>
      </c>
      <c r="G802" s="4">
        <v>526262.39399999997</v>
      </c>
      <c r="H802" s="5">
        <f>99 / 86400</f>
        <v>1.1458333333333333E-3</v>
      </c>
      <c r="I802" t="s">
        <v>22</v>
      </c>
      <c r="J802" t="s">
        <v>22</v>
      </c>
      <c r="K802" s="5">
        <f>115 / 86400</f>
        <v>1.3310185185185185E-3</v>
      </c>
      <c r="L802" s="5">
        <f>2129 / 86400</f>
        <v>2.4641203703703703E-2</v>
      </c>
    </row>
    <row r="803" spans="1:12" x14ac:dyDescent="0.25">
      <c r="A803" s="3">
        <v>45714.589004629626</v>
      </c>
      <c r="B803" t="s">
        <v>80</v>
      </c>
      <c r="C803" s="3">
        <v>45714.6330787037</v>
      </c>
      <c r="D803" t="s">
        <v>141</v>
      </c>
      <c r="E803" s="4">
        <v>24.099999999940394</v>
      </c>
      <c r="F803" s="4">
        <v>526262.39399999997</v>
      </c>
      <c r="G803" s="4">
        <v>526286.49399999995</v>
      </c>
      <c r="H803" s="5">
        <f>720 / 86400</f>
        <v>8.3333333333333332E-3</v>
      </c>
      <c r="I803" t="s">
        <v>185</v>
      </c>
      <c r="J803" t="s">
        <v>134</v>
      </c>
      <c r="K803" s="5">
        <f>3807 / 86400</f>
        <v>4.4062499999999998E-2</v>
      </c>
      <c r="L803" s="5">
        <f>341 / 86400</f>
        <v>3.9467592592592592E-3</v>
      </c>
    </row>
    <row r="804" spans="1:12" x14ac:dyDescent="0.25">
      <c r="A804" s="3">
        <v>45714.637025462958</v>
      </c>
      <c r="B804" t="s">
        <v>141</v>
      </c>
      <c r="C804" s="3">
        <v>45714.640428240746</v>
      </c>
      <c r="D804" t="s">
        <v>429</v>
      </c>
      <c r="E804" s="4">
        <v>1.5670000000596047</v>
      </c>
      <c r="F804" s="4">
        <v>526286.49399999995</v>
      </c>
      <c r="G804" s="4">
        <v>526288.06099999999</v>
      </c>
      <c r="H804" s="5">
        <f>20 / 86400</f>
        <v>2.3148148148148149E-4</v>
      </c>
      <c r="I804" t="s">
        <v>91</v>
      </c>
      <c r="J804" t="s">
        <v>25</v>
      </c>
      <c r="K804" s="5">
        <f>294 / 86400</f>
        <v>3.4027777777777776E-3</v>
      </c>
      <c r="L804" s="5">
        <f>2507 / 86400</f>
        <v>2.9016203703703704E-2</v>
      </c>
    </row>
    <row r="805" spans="1:12" x14ac:dyDescent="0.25">
      <c r="A805" s="3">
        <v>45714.669444444444</v>
      </c>
      <c r="B805" t="s">
        <v>429</v>
      </c>
      <c r="C805" s="3">
        <v>45714.671157407407</v>
      </c>
      <c r="D805" t="s">
        <v>62</v>
      </c>
      <c r="E805" s="4">
        <v>0.38200000000000001</v>
      </c>
      <c r="F805" s="4">
        <v>526288.06099999999</v>
      </c>
      <c r="G805" s="4">
        <v>526288.44299999997</v>
      </c>
      <c r="H805" s="5">
        <f>20 / 86400</f>
        <v>2.3148148148148149E-4</v>
      </c>
      <c r="I805" t="s">
        <v>28</v>
      </c>
      <c r="J805" t="s">
        <v>70</v>
      </c>
      <c r="K805" s="5">
        <f>148 / 86400</f>
        <v>1.712962962962963E-3</v>
      </c>
      <c r="L805" s="5">
        <f>3969 / 86400</f>
        <v>4.5937499999999999E-2</v>
      </c>
    </row>
    <row r="806" spans="1:12" x14ac:dyDescent="0.25">
      <c r="A806" s="3">
        <v>45714.717094907406</v>
      </c>
      <c r="B806" t="s">
        <v>62</v>
      </c>
      <c r="C806" s="3">
        <v>45714.718969907408</v>
      </c>
      <c r="D806" t="s">
        <v>305</v>
      </c>
      <c r="E806" s="4">
        <v>0.31900000000000001</v>
      </c>
      <c r="F806" s="4">
        <v>526288.44299999997</v>
      </c>
      <c r="G806" s="4">
        <v>526288.76199999999</v>
      </c>
      <c r="H806" s="5">
        <f>60 / 86400</f>
        <v>6.9444444444444447E-4</v>
      </c>
      <c r="I806" t="s">
        <v>61</v>
      </c>
      <c r="J806" t="s">
        <v>147</v>
      </c>
      <c r="K806" s="5">
        <f>161 / 86400</f>
        <v>1.8634259259259259E-3</v>
      </c>
      <c r="L806" s="5">
        <f>28 / 86400</f>
        <v>3.2407407407407406E-4</v>
      </c>
    </row>
    <row r="807" spans="1:12" x14ac:dyDescent="0.25">
      <c r="A807" s="3">
        <v>45714.719293981485</v>
      </c>
      <c r="B807" t="s">
        <v>429</v>
      </c>
      <c r="C807" s="3">
        <v>45714.762291666666</v>
      </c>
      <c r="D807" t="s">
        <v>160</v>
      </c>
      <c r="E807" s="4">
        <v>23.382999999999999</v>
      </c>
      <c r="F807" s="4">
        <v>526288.76199999999</v>
      </c>
      <c r="G807" s="4">
        <v>526312.14500000002</v>
      </c>
      <c r="H807" s="5">
        <f>700 / 86400</f>
        <v>8.1018518518518514E-3</v>
      </c>
      <c r="I807" t="s">
        <v>167</v>
      </c>
      <c r="J807" t="s">
        <v>134</v>
      </c>
      <c r="K807" s="5">
        <f>3714 / 86400</f>
        <v>4.2986111111111114E-2</v>
      </c>
      <c r="L807" s="5">
        <f>333 / 86400</f>
        <v>3.8541666666666668E-3</v>
      </c>
    </row>
    <row r="808" spans="1:12" x14ac:dyDescent="0.25">
      <c r="A808" s="3">
        <v>45714.766145833331</v>
      </c>
      <c r="B808" t="s">
        <v>160</v>
      </c>
      <c r="C808" s="3">
        <v>45714.805578703701</v>
      </c>
      <c r="D808" t="s">
        <v>388</v>
      </c>
      <c r="E808" s="4">
        <v>22.973999999940396</v>
      </c>
      <c r="F808" s="4">
        <v>526312.14500000002</v>
      </c>
      <c r="G808" s="4">
        <v>526335.11899999995</v>
      </c>
      <c r="H808" s="5">
        <f>581 / 86400</f>
        <v>6.7245370370370367E-3</v>
      </c>
      <c r="I808" t="s">
        <v>56</v>
      </c>
      <c r="J808" t="s">
        <v>37</v>
      </c>
      <c r="K808" s="5">
        <f>3406 / 86400</f>
        <v>3.9421296296296295E-2</v>
      </c>
      <c r="L808" s="5">
        <f>265 / 86400</f>
        <v>3.0671296296296297E-3</v>
      </c>
    </row>
    <row r="809" spans="1:12" x14ac:dyDescent="0.25">
      <c r="A809" s="3">
        <v>45714.808645833335</v>
      </c>
      <c r="B809" t="s">
        <v>388</v>
      </c>
      <c r="C809" s="3">
        <v>45714.810844907406</v>
      </c>
      <c r="D809" t="s">
        <v>62</v>
      </c>
      <c r="E809" s="4">
        <v>0.39500000000000002</v>
      </c>
      <c r="F809" s="4">
        <v>526335.11899999995</v>
      </c>
      <c r="G809" s="4">
        <v>526335.51399999997</v>
      </c>
      <c r="H809" s="5">
        <f>40 / 86400</f>
        <v>4.6296296296296298E-4</v>
      </c>
      <c r="I809" t="s">
        <v>42</v>
      </c>
      <c r="J809" t="s">
        <v>157</v>
      </c>
      <c r="K809" s="5">
        <f>189 / 86400</f>
        <v>2.1875000000000002E-3</v>
      </c>
      <c r="L809" s="5">
        <f>173 / 86400</f>
        <v>2.0023148148148148E-3</v>
      </c>
    </row>
    <row r="810" spans="1:12" x14ac:dyDescent="0.25">
      <c r="A810" s="3">
        <v>45714.812847222223</v>
      </c>
      <c r="B810" t="s">
        <v>62</v>
      </c>
      <c r="C810" s="3">
        <v>45714.813333333332</v>
      </c>
      <c r="D810" t="s">
        <v>62</v>
      </c>
      <c r="E810" s="4">
        <v>4.0000001192092892E-3</v>
      </c>
      <c r="F810" s="4">
        <v>526335.51399999997</v>
      </c>
      <c r="G810" s="4">
        <v>526335.51800000004</v>
      </c>
      <c r="H810" s="5">
        <f>39 / 86400</f>
        <v>4.5138888888888887E-4</v>
      </c>
      <c r="I810" t="s">
        <v>22</v>
      </c>
      <c r="J810" t="s">
        <v>22</v>
      </c>
      <c r="K810" s="5">
        <f>41 / 86400</f>
        <v>4.7453703703703704E-4</v>
      </c>
      <c r="L810" s="5">
        <f>16127 / 86400</f>
        <v>0.18665509259259258</v>
      </c>
    </row>
    <row r="811" spans="1:12" x14ac:dyDescent="0.25">
      <c r="A811" s="12"/>
      <c r="B811" s="12"/>
      <c r="C811" s="12"/>
      <c r="D811" s="12"/>
      <c r="E811" s="12"/>
      <c r="F811" s="12"/>
      <c r="G811" s="12"/>
      <c r="H811" s="12"/>
      <c r="I811" s="12"/>
      <c r="J811" s="12"/>
    </row>
    <row r="812" spans="1:12" x14ac:dyDescent="0.25">
      <c r="A812" s="12"/>
      <c r="B812" s="12"/>
      <c r="C812" s="12"/>
      <c r="D812" s="12"/>
      <c r="E812" s="12"/>
      <c r="F812" s="12"/>
      <c r="G812" s="12"/>
      <c r="H812" s="12"/>
      <c r="I812" s="12"/>
      <c r="J812" s="12"/>
    </row>
    <row r="813" spans="1:12" s="10" customFormat="1" ht="20.100000000000001" customHeight="1" x14ac:dyDescent="0.35">
      <c r="A813" s="15" t="s">
        <v>488</v>
      </c>
      <c r="B813" s="15"/>
      <c r="C813" s="15"/>
      <c r="D813" s="15"/>
      <c r="E813" s="15"/>
      <c r="F813" s="15"/>
      <c r="G813" s="15"/>
      <c r="H813" s="15"/>
      <c r="I813" s="15"/>
      <c r="J813" s="15"/>
    </row>
    <row r="814" spans="1:12" x14ac:dyDescent="0.25">
      <c r="A814" s="12"/>
      <c r="B814" s="12"/>
      <c r="C814" s="12"/>
      <c r="D814" s="12"/>
      <c r="E814" s="12"/>
      <c r="F814" s="12"/>
      <c r="G814" s="12"/>
      <c r="H814" s="12"/>
      <c r="I814" s="12"/>
      <c r="J814" s="12"/>
    </row>
    <row r="815" spans="1:12" ht="30" x14ac:dyDescent="0.25">
      <c r="A815" s="2" t="s">
        <v>6</v>
      </c>
      <c r="B815" s="2" t="s">
        <v>7</v>
      </c>
      <c r="C815" s="2" t="s">
        <v>8</v>
      </c>
      <c r="D815" s="2" t="s">
        <v>9</v>
      </c>
      <c r="E815" s="2" t="s">
        <v>10</v>
      </c>
      <c r="F815" s="2" t="s">
        <v>11</v>
      </c>
      <c r="G815" s="2" t="s">
        <v>12</v>
      </c>
      <c r="H815" s="2" t="s">
        <v>13</v>
      </c>
      <c r="I815" s="2" t="s">
        <v>14</v>
      </c>
      <c r="J815" s="2" t="s">
        <v>15</v>
      </c>
      <c r="K815" s="2" t="s">
        <v>16</v>
      </c>
      <c r="L815" s="2" t="s">
        <v>17</v>
      </c>
    </row>
    <row r="816" spans="1:12" x14ac:dyDescent="0.25">
      <c r="A816" s="3">
        <v>45714</v>
      </c>
      <c r="B816" t="s">
        <v>65</v>
      </c>
      <c r="C816" s="3">
        <v>45714.034525462965</v>
      </c>
      <c r="D816" t="s">
        <v>160</v>
      </c>
      <c r="E816" s="4">
        <v>22.123999999999999</v>
      </c>
      <c r="F816" s="4">
        <v>413685.163</v>
      </c>
      <c r="G816" s="4">
        <v>413707.28700000001</v>
      </c>
      <c r="H816" s="5">
        <f>280 / 86400</f>
        <v>3.2407407407407406E-3</v>
      </c>
      <c r="I816" t="s">
        <v>188</v>
      </c>
      <c r="J816" t="s">
        <v>186</v>
      </c>
      <c r="K816" s="5">
        <f>2983 / 86400</f>
        <v>3.4525462962962966E-2</v>
      </c>
      <c r="L816" s="5">
        <f>2166 / 86400</f>
        <v>2.5069444444444443E-2</v>
      </c>
    </row>
    <row r="817" spans="1:12" x14ac:dyDescent="0.25">
      <c r="A817" s="3">
        <v>45714.059594907405</v>
      </c>
      <c r="B817" t="s">
        <v>160</v>
      </c>
      <c r="C817" s="3">
        <v>45714.067847222221</v>
      </c>
      <c r="D817" t="s">
        <v>430</v>
      </c>
      <c r="E817" s="4">
        <v>2.04</v>
      </c>
      <c r="F817" s="4">
        <v>413707.28700000001</v>
      </c>
      <c r="G817" s="4">
        <v>413709.32699999999</v>
      </c>
      <c r="H817" s="5">
        <f>99 / 86400</f>
        <v>1.1458333333333333E-3</v>
      </c>
      <c r="I817" t="s">
        <v>151</v>
      </c>
      <c r="J817" t="s">
        <v>132</v>
      </c>
      <c r="K817" s="5">
        <f>713 / 86400</f>
        <v>8.2523148148148148E-3</v>
      </c>
      <c r="L817" s="5">
        <f>42853 / 86400</f>
        <v>0.4959837962962963</v>
      </c>
    </row>
    <row r="818" spans="1:12" x14ac:dyDescent="0.25">
      <c r="A818" s="3">
        <v>45714.563831018517</v>
      </c>
      <c r="B818" t="s">
        <v>430</v>
      </c>
      <c r="C818" s="3">
        <v>45714.586701388893</v>
      </c>
      <c r="D818" t="s">
        <v>430</v>
      </c>
      <c r="E818" s="4">
        <v>0</v>
      </c>
      <c r="F818" s="4">
        <v>413709.32699999999</v>
      </c>
      <c r="G818" s="4">
        <v>413709.32699999999</v>
      </c>
      <c r="H818" s="5">
        <f>1959 / 86400</f>
        <v>2.267361111111111E-2</v>
      </c>
      <c r="I818" t="s">
        <v>22</v>
      </c>
      <c r="J818" t="s">
        <v>22</v>
      </c>
      <c r="K818" s="5">
        <f>1976 / 86400</f>
        <v>2.2870370370370371E-2</v>
      </c>
      <c r="L818" s="5">
        <f>582 / 86400</f>
        <v>6.7361111111111111E-3</v>
      </c>
    </row>
    <row r="819" spans="1:12" x14ac:dyDescent="0.25">
      <c r="A819" s="3">
        <v>45714.5934375</v>
      </c>
      <c r="B819" t="s">
        <v>430</v>
      </c>
      <c r="C819" s="3">
        <v>45714.595138888893</v>
      </c>
      <c r="D819" t="s">
        <v>430</v>
      </c>
      <c r="E819" s="4">
        <v>0.112</v>
      </c>
      <c r="F819" s="4">
        <v>413709.32699999999</v>
      </c>
      <c r="G819" s="4">
        <v>413709.43900000001</v>
      </c>
      <c r="H819" s="5">
        <f>39 / 86400</f>
        <v>4.5138888888888887E-4</v>
      </c>
      <c r="I819" t="s">
        <v>147</v>
      </c>
      <c r="J819" t="s">
        <v>102</v>
      </c>
      <c r="K819" s="5">
        <f>147 / 86400</f>
        <v>1.7013888888888888E-3</v>
      </c>
      <c r="L819" s="5">
        <f>248 / 86400</f>
        <v>2.8703703703703703E-3</v>
      </c>
    </row>
    <row r="820" spans="1:12" x14ac:dyDescent="0.25">
      <c r="A820" s="3">
        <v>45714.598009259258</v>
      </c>
      <c r="B820" t="s">
        <v>430</v>
      </c>
      <c r="C820" s="3">
        <v>45714.598634259259</v>
      </c>
      <c r="D820" t="s">
        <v>430</v>
      </c>
      <c r="E820" s="4">
        <v>6.3E-2</v>
      </c>
      <c r="F820" s="4">
        <v>413709.43900000001</v>
      </c>
      <c r="G820" s="4">
        <v>413709.50199999998</v>
      </c>
      <c r="H820" s="5">
        <f>20 / 86400</f>
        <v>2.3148148148148149E-4</v>
      </c>
      <c r="I820" t="s">
        <v>147</v>
      </c>
      <c r="J820" t="s">
        <v>152</v>
      </c>
      <c r="K820" s="5">
        <f>54 / 86400</f>
        <v>6.2500000000000001E-4</v>
      </c>
      <c r="L820" s="5">
        <f>335 / 86400</f>
        <v>3.8773148148148148E-3</v>
      </c>
    </row>
    <row r="821" spans="1:12" x14ac:dyDescent="0.25">
      <c r="A821" s="3">
        <v>45714.602511574078</v>
      </c>
      <c r="B821" t="s">
        <v>430</v>
      </c>
      <c r="C821" s="3">
        <v>45714.608935185184</v>
      </c>
      <c r="D821" t="s">
        <v>89</v>
      </c>
      <c r="E821" s="4">
        <v>1.7909999999999999</v>
      </c>
      <c r="F821" s="4">
        <v>413709.50199999998</v>
      </c>
      <c r="G821" s="4">
        <v>413711.29300000001</v>
      </c>
      <c r="H821" s="5">
        <f>80 / 86400</f>
        <v>9.2592592592592596E-4</v>
      </c>
      <c r="I821" t="s">
        <v>64</v>
      </c>
      <c r="J821" t="s">
        <v>98</v>
      </c>
      <c r="K821" s="5">
        <f>555 / 86400</f>
        <v>6.4236111111111108E-3</v>
      </c>
      <c r="L821" s="5">
        <f>68 / 86400</f>
        <v>7.8703703703703705E-4</v>
      </c>
    </row>
    <row r="822" spans="1:12" x14ac:dyDescent="0.25">
      <c r="A822" s="3">
        <v>45714.609722222223</v>
      </c>
      <c r="B822" t="s">
        <v>80</v>
      </c>
      <c r="C822" s="3">
        <v>45714.610787037032</v>
      </c>
      <c r="D822" t="s">
        <v>113</v>
      </c>
      <c r="E822" s="4">
        <v>0.216</v>
      </c>
      <c r="F822" s="4">
        <v>413711.29300000001</v>
      </c>
      <c r="G822" s="4">
        <v>413711.50900000002</v>
      </c>
      <c r="H822" s="5">
        <f>25 / 86400</f>
        <v>2.8935185185185184E-4</v>
      </c>
      <c r="I822" t="s">
        <v>28</v>
      </c>
      <c r="J822" t="s">
        <v>157</v>
      </c>
      <c r="K822" s="5">
        <f>92 / 86400</f>
        <v>1.0648148148148149E-3</v>
      </c>
      <c r="L822" s="5">
        <f>35 / 86400</f>
        <v>4.0509259259259258E-4</v>
      </c>
    </row>
    <row r="823" spans="1:12" x14ac:dyDescent="0.25">
      <c r="A823" s="3">
        <v>45714.611192129625</v>
      </c>
      <c r="B823" t="s">
        <v>113</v>
      </c>
      <c r="C823" s="3">
        <v>45714.612500000003</v>
      </c>
      <c r="D823" t="s">
        <v>80</v>
      </c>
      <c r="E823" s="4">
        <v>0.223</v>
      </c>
      <c r="F823" s="4">
        <v>413711.50900000002</v>
      </c>
      <c r="G823" s="4">
        <v>413711.73200000002</v>
      </c>
      <c r="H823" s="5">
        <f>20 / 86400</f>
        <v>2.3148148148148149E-4</v>
      </c>
      <c r="I823" t="s">
        <v>61</v>
      </c>
      <c r="J823" t="s">
        <v>147</v>
      </c>
      <c r="K823" s="5">
        <f>113 / 86400</f>
        <v>1.3078703703703703E-3</v>
      </c>
      <c r="L823" s="5">
        <f>163 / 86400</f>
        <v>1.8865740740740742E-3</v>
      </c>
    </row>
    <row r="824" spans="1:12" x14ac:dyDescent="0.25">
      <c r="A824" s="3">
        <v>45714.614386574074</v>
      </c>
      <c r="B824" t="s">
        <v>80</v>
      </c>
      <c r="C824" s="3">
        <v>45714.614560185189</v>
      </c>
      <c r="D824" t="s">
        <v>80</v>
      </c>
      <c r="E824" s="4">
        <v>7.0000000000000001E-3</v>
      </c>
      <c r="F824" s="4">
        <v>413711.73200000002</v>
      </c>
      <c r="G824" s="4">
        <v>413711.739</v>
      </c>
      <c r="H824" s="5">
        <f>0 / 86400</f>
        <v>0</v>
      </c>
      <c r="I824" t="s">
        <v>22</v>
      </c>
      <c r="J824" t="s">
        <v>32</v>
      </c>
      <c r="K824" s="5">
        <f>15 / 86400</f>
        <v>1.7361111111111112E-4</v>
      </c>
      <c r="L824" s="5">
        <f>286 / 86400</f>
        <v>3.3101851851851851E-3</v>
      </c>
    </row>
    <row r="825" spans="1:12" x14ac:dyDescent="0.25">
      <c r="A825" s="3">
        <v>45714.61787037037</v>
      </c>
      <c r="B825" t="s">
        <v>80</v>
      </c>
      <c r="C825" s="3">
        <v>45714.618611111116</v>
      </c>
      <c r="D825" t="s">
        <v>80</v>
      </c>
      <c r="E825" s="4">
        <v>3.9E-2</v>
      </c>
      <c r="F825" s="4">
        <v>413711.739</v>
      </c>
      <c r="G825" s="4">
        <v>413711.77799999999</v>
      </c>
      <c r="H825" s="5">
        <f>20 / 86400</f>
        <v>2.3148148148148149E-4</v>
      </c>
      <c r="I825" t="s">
        <v>77</v>
      </c>
      <c r="J825" t="s">
        <v>32</v>
      </c>
      <c r="K825" s="5">
        <f>63 / 86400</f>
        <v>7.291666666666667E-4</v>
      </c>
      <c r="L825" s="5">
        <f>1491 / 86400</f>
        <v>1.7256944444444443E-2</v>
      </c>
    </row>
    <row r="826" spans="1:12" x14ac:dyDescent="0.25">
      <c r="A826" s="3">
        <v>45714.635868055557</v>
      </c>
      <c r="B826" t="s">
        <v>80</v>
      </c>
      <c r="C826" s="3">
        <v>45714.75582175926</v>
      </c>
      <c r="D826" t="s">
        <v>240</v>
      </c>
      <c r="E826" s="4">
        <v>49.887</v>
      </c>
      <c r="F826" s="4">
        <v>413711.77799999999</v>
      </c>
      <c r="G826" s="4">
        <v>413761.66499999998</v>
      </c>
      <c r="H826" s="5">
        <f>2859 / 86400</f>
        <v>3.3090277777777781E-2</v>
      </c>
      <c r="I826" t="s">
        <v>67</v>
      </c>
      <c r="J826" t="s">
        <v>61</v>
      </c>
      <c r="K826" s="5">
        <f>10363 / 86400</f>
        <v>0.11994212962962963</v>
      </c>
      <c r="L826" s="5">
        <f>645 / 86400</f>
        <v>7.4652777777777781E-3</v>
      </c>
    </row>
    <row r="827" spans="1:12" x14ac:dyDescent="0.25">
      <c r="A827" s="3">
        <v>45714.763287037036</v>
      </c>
      <c r="B827" t="s">
        <v>240</v>
      </c>
      <c r="C827" s="3">
        <v>45714.980891203704</v>
      </c>
      <c r="D827" t="s">
        <v>66</v>
      </c>
      <c r="E827" s="4">
        <v>77.777000000000001</v>
      </c>
      <c r="F827" s="4">
        <v>413761.66499999998</v>
      </c>
      <c r="G827" s="4">
        <v>413839.44199999998</v>
      </c>
      <c r="H827" s="5">
        <f>6278 / 86400</f>
        <v>7.2662037037037039E-2</v>
      </c>
      <c r="I827" t="s">
        <v>67</v>
      </c>
      <c r="J827" t="s">
        <v>46</v>
      </c>
      <c r="K827" s="5">
        <f>18800 / 86400</f>
        <v>0.21759259259259259</v>
      </c>
      <c r="L827" s="5">
        <f>1650 / 86400</f>
        <v>1.9097222222222224E-2</v>
      </c>
    </row>
    <row r="828" spans="1:12" x14ac:dyDescent="0.25">
      <c r="A828" s="12"/>
      <c r="B828" s="12"/>
      <c r="C828" s="12"/>
      <c r="D828" s="12"/>
      <c r="E828" s="12"/>
      <c r="F828" s="12"/>
      <c r="G828" s="12"/>
      <c r="H828" s="12"/>
      <c r="I828" s="12"/>
      <c r="J828" s="12"/>
    </row>
    <row r="829" spans="1:12" x14ac:dyDescent="0.25">
      <c r="A829" s="12"/>
      <c r="B829" s="12"/>
      <c r="C829" s="12"/>
      <c r="D829" s="12"/>
      <c r="E829" s="12"/>
      <c r="F829" s="12"/>
      <c r="G829" s="12"/>
      <c r="H829" s="12"/>
      <c r="I829" s="12"/>
      <c r="J829" s="12"/>
    </row>
    <row r="830" spans="1:12" s="10" customFormat="1" ht="20.100000000000001" customHeight="1" x14ac:dyDescent="0.35">
      <c r="A830" s="15" t="s">
        <v>489</v>
      </c>
      <c r="B830" s="15"/>
      <c r="C830" s="15"/>
      <c r="D830" s="15"/>
      <c r="E830" s="15"/>
      <c r="F830" s="15"/>
      <c r="G830" s="15"/>
      <c r="H830" s="15"/>
      <c r="I830" s="15"/>
      <c r="J830" s="15"/>
    </row>
    <row r="831" spans="1:12" x14ac:dyDescent="0.25">
      <c r="A831" s="12"/>
      <c r="B831" s="12"/>
      <c r="C831" s="12"/>
      <c r="D831" s="12"/>
      <c r="E831" s="12"/>
      <c r="F831" s="12"/>
      <c r="G831" s="12"/>
      <c r="H831" s="12"/>
      <c r="I831" s="12"/>
      <c r="J831" s="12"/>
    </row>
    <row r="832" spans="1:12" ht="30" x14ac:dyDescent="0.25">
      <c r="A832" s="2" t="s">
        <v>6</v>
      </c>
      <c r="B832" s="2" t="s">
        <v>7</v>
      </c>
      <c r="C832" s="2" t="s">
        <v>8</v>
      </c>
      <c r="D832" s="2" t="s">
        <v>9</v>
      </c>
      <c r="E832" s="2" t="s">
        <v>10</v>
      </c>
      <c r="F832" s="2" t="s">
        <v>11</v>
      </c>
      <c r="G832" s="2" t="s">
        <v>12</v>
      </c>
      <c r="H832" s="2" t="s">
        <v>13</v>
      </c>
      <c r="I832" s="2" t="s">
        <v>14</v>
      </c>
      <c r="J832" s="2" t="s">
        <v>15</v>
      </c>
      <c r="K832" s="2" t="s">
        <v>16</v>
      </c>
      <c r="L832" s="2" t="s">
        <v>17</v>
      </c>
    </row>
    <row r="833" spans="1:12" x14ac:dyDescent="0.25">
      <c r="A833" s="3">
        <v>45714.28628472222</v>
      </c>
      <c r="B833" t="s">
        <v>68</v>
      </c>
      <c r="C833" s="3">
        <v>45714.287974537037</v>
      </c>
      <c r="D833" t="s">
        <v>53</v>
      </c>
      <c r="E833" s="4">
        <v>3.3000000000000002E-2</v>
      </c>
      <c r="F833" s="4">
        <v>404858.73300000001</v>
      </c>
      <c r="G833" s="4">
        <v>404858.766</v>
      </c>
      <c r="H833" s="5">
        <f>98 / 86400</f>
        <v>1.1342592592592593E-3</v>
      </c>
      <c r="I833" t="s">
        <v>102</v>
      </c>
      <c r="J833" t="s">
        <v>78</v>
      </c>
      <c r="K833" s="5">
        <f>145 / 86400</f>
        <v>1.6782407407407408E-3</v>
      </c>
      <c r="L833" s="5">
        <f>24927 / 86400</f>
        <v>0.28850694444444447</v>
      </c>
    </row>
    <row r="834" spans="1:12" x14ac:dyDescent="0.25">
      <c r="A834" s="3">
        <v>45714.290196759262</v>
      </c>
      <c r="B834" t="s">
        <v>53</v>
      </c>
      <c r="C834" s="3">
        <v>45714.294259259259</v>
      </c>
      <c r="D834" t="s">
        <v>80</v>
      </c>
      <c r="E834" s="4">
        <v>0.52600000000000002</v>
      </c>
      <c r="F834" s="4">
        <v>404858.766</v>
      </c>
      <c r="G834" s="4">
        <v>404859.29200000002</v>
      </c>
      <c r="H834" s="5">
        <f>200 / 86400</f>
        <v>2.3148148148148147E-3</v>
      </c>
      <c r="I834" t="s">
        <v>28</v>
      </c>
      <c r="J834" t="s">
        <v>77</v>
      </c>
      <c r="K834" s="5">
        <f>350 / 86400</f>
        <v>4.0509259259259257E-3</v>
      </c>
      <c r="L834" s="5">
        <f>1957 / 86400</f>
        <v>2.2650462962962963E-2</v>
      </c>
    </row>
    <row r="835" spans="1:12" x14ac:dyDescent="0.25">
      <c r="A835" s="3">
        <v>45714.316909722227</v>
      </c>
      <c r="B835" t="s">
        <v>80</v>
      </c>
      <c r="C835" s="3">
        <v>45714.317685185189</v>
      </c>
      <c r="D835" t="s">
        <v>80</v>
      </c>
      <c r="E835" s="4">
        <v>2.1999999999999999E-2</v>
      </c>
      <c r="F835" s="4">
        <v>404859.29200000002</v>
      </c>
      <c r="G835" s="4">
        <v>404859.31400000001</v>
      </c>
      <c r="H835" s="5">
        <f>20 / 86400</f>
        <v>2.3148148148148149E-4</v>
      </c>
      <c r="I835" t="s">
        <v>77</v>
      </c>
      <c r="J835" t="s">
        <v>78</v>
      </c>
      <c r="K835" s="5">
        <f>66 / 86400</f>
        <v>7.6388888888888893E-4</v>
      </c>
      <c r="L835" s="5">
        <f>1082 / 86400</f>
        <v>1.2523148148148148E-2</v>
      </c>
    </row>
    <row r="836" spans="1:12" x14ac:dyDescent="0.25">
      <c r="A836" s="3">
        <v>45714.330208333333</v>
      </c>
      <c r="B836" t="s">
        <v>80</v>
      </c>
      <c r="C836" s="3">
        <v>45714.330358796295</v>
      </c>
      <c r="D836" t="s">
        <v>80</v>
      </c>
      <c r="E836" s="4">
        <v>0</v>
      </c>
      <c r="F836" s="4">
        <v>404859.31400000001</v>
      </c>
      <c r="G836" s="4">
        <v>404859.31400000001</v>
      </c>
      <c r="H836" s="5">
        <f>0 / 86400</f>
        <v>0</v>
      </c>
      <c r="I836" t="s">
        <v>22</v>
      </c>
      <c r="J836" t="s">
        <v>22</v>
      </c>
      <c r="K836" s="5">
        <f>12 / 86400</f>
        <v>1.3888888888888889E-4</v>
      </c>
      <c r="L836" s="5">
        <f>325 / 86400</f>
        <v>3.7615740740740739E-3</v>
      </c>
    </row>
    <row r="837" spans="1:12" x14ac:dyDescent="0.25">
      <c r="A837" s="3">
        <v>45714.334120370375</v>
      </c>
      <c r="B837" t="s">
        <v>80</v>
      </c>
      <c r="C837" s="3">
        <v>45714.343865740739</v>
      </c>
      <c r="D837" t="s">
        <v>53</v>
      </c>
      <c r="E837" s="4">
        <v>2.8759999999999999</v>
      </c>
      <c r="F837" s="4">
        <v>404859.31400000001</v>
      </c>
      <c r="G837" s="4">
        <v>404862.19</v>
      </c>
      <c r="H837" s="5">
        <f>300 / 86400</f>
        <v>3.472222222222222E-3</v>
      </c>
      <c r="I837" t="s">
        <v>69</v>
      </c>
      <c r="J837" t="s">
        <v>98</v>
      </c>
      <c r="K837" s="5">
        <f>842 / 86400</f>
        <v>9.7453703703703695E-3</v>
      </c>
      <c r="L837" s="5">
        <f>116 / 86400</f>
        <v>1.3425925925925925E-3</v>
      </c>
    </row>
    <row r="838" spans="1:12" x14ac:dyDescent="0.25">
      <c r="A838" s="3">
        <v>45714.345208333332</v>
      </c>
      <c r="B838" t="s">
        <v>53</v>
      </c>
      <c r="C838" s="3">
        <v>45714.345451388886</v>
      </c>
      <c r="D838" t="s">
        <v>53</v>
      </c>
      <c r="E838" s="4">
        <v>2.4E-2</v>
      </c>
      <c r="F838" s="4">
        <v>404862.19</v>
      </c>
      <c r="G838" s="4">
        <v>404862.21399999998</v>
      </c>
      <c r="H838" s="5">
        <f>0 / 86400</f>
        <v>0</v>
      </c>
      <c r="I838" t="s">
        <v>147</v>
      </c>
      <c r="J838" t="s">
        <v>152</v>
      </c>
      <c r="K838" s="5">
        <f>21 / 86400</f>
        <v>2.4305555555555555E-4</v>
      </c>
      <c r="L838" s="5">
        <f>56552 / 86400</f>
        <v>0.65453703703703703</v>
      </c>
    </row>
    <row r="839" spans="1:12" x14ac:dyDescent="0.25">
      <c r="A839" s="12"/>
      <c r="B839" s="12"/>
      <c r="C839" s="12"/>
      <c r="D839" s="12"/>
      <c r="E839" s="12"/>
      <c r="F839" s="12"/>
      <c r="G839" s="12"/>
      <c r="H839" s="12"/>
      <c r="I839" s="12"/>
      <c r="J839" s="12"/>
    </row>
    <row r="840" spans="1:12" x14ac:dyDescent="0.25">
      <c r="A840" s="12"/>
      <c r="B840" s="12"/>
      <c r="C840" s="12"/>
      <c r="D840" s="12"/>
      <c r="E840" s="12"/>
      <c r="F840" s="12"/>
      <c r="G840" s="12"/>
      <c r="H840" s="12"/>
      <c r="I840" s="12"/>
      <c r="J840" s="12"/>
    </row>
    <row r="841" spans="1:12" s="10" customFormat="1" ht="20.100000000000001" customHeight="1" x14ac:dyDescent="0.35">
      <c r="A841" s="15" t="s">
        <v>490</v>
      </c>
      <c r="B841" s="15"/>
      <c r="C841" s="15"/>
      <c r="D841" s="15"/>
      <c r="E841" s="15"/>
      <c r="F841" s="15"/>
      <c r="G841" s="15"/>
      <c r="H841" s="15"/>
      <c r="I841" s="15"/>
      <c r="J841" s="15"/>
    </row>
    <row r="842" spans="1:12" x14ac:dyDescent="0.25">
      <c r="A842" s="12"/>
      <c r="B842" s="12"/>
      <c r="C842" s="12"/>
      <c r="D842" s="12"/>
      <c r="E842" s="12"/>
      <c r="F842" s="12"/>
      <c r="G842" s="12"/>
      <c r="H842" s="12"/>
      <c r="I842" s="12"/>
      <c r="J842" s="12"/>
    </row>
    <row r="843" spans="1:12" ht="30" x14ac:dyDescent="0.25">
      <c r="A843" s="2" t="s">
        <v>6</v>
      </c>
      <c r="B843" s="2" t="s">
        <v>7</v>
      </c>
      <c r="C843" s="2" t="s">
        <v>8</v>
      </c>
      <c r="D843" s="2" t="s">
        <v>9</v>
      </c>
      <c r="E843" s="2" t="s">
        <v>10</v>
      </c>
      <c r="F843" s="2" t="s">
        <v>11</v>
      </c>
      <c r="G843" s="2" t="s">
        <v>12</v>
      </c>
      <c r="H843" s="2" t="s">
        <v>13</v>
      </c>
      <c r="I843" s="2" t="s">
        <v>14</v>
      </c>
      <c r="J843" s="2" t="s">
        <v>15</v>
      </c>
      <c r="K843" s="2" t="s">
        <v>16</v>
      </c>
      <c r="L843" s="2" t="s">
        <v>17</v>
      </c>
    </row>
    <row r="844" spans="1:12" x14ac:dyDescent="0.25">
      <c r="A844" s="3">
        <v>45714.264039351852</v>
      </c>
      <c r="B844" t="s">
        <v>71</v>
      </c>
      <c r="C844" s="3">
        <v>45714.330543981487</v>
      </c>
      <c r="D844" t="s">
        <v>169</v>
      </c>
      <c r="E844" s="4">
        <v>34.716000000000001</v>
      </c>
      <c r="F844" s="4">
        <v>408672.40500000003</v>
      </c>
      <c r="G844" s="4">
        <v>408707.12099999998</v>
      </c>
      <c r="H844" s="5">
        <f>1139 / 86400</f>
        <v>1.3182870370370371E-2</v>
      </c>
      <c r="I844" t="s">
        <v>27</v>
      </c>
      <c r="J844" t="s">
        <v>140</v>
      </c>
      <c r="K844" s="5">
        <f>5745 / 86400</f>
        <v>6.6493055555555555E-2</v>
      </c>
      <c r="L844" s="5">
        <f>23195 / 86400</f>
        <v>0.26846064814814813</v>
      </c>
    </row>
    <row r="845" spans="1:12" x14ac:dyDescent="0.25">
      <c r="A845" s="3">
        <v>45714.334965277776</v>
      </c>
      <c r="B845" t="s">
        <v>169</v>
      </c>
      <c r="C845" s="3">
        <v>45714.336319444439</v>
      </c>
      <c r="D845" t="s">
        <v>431</v>
      </c>
      <c r="E845" s="4">
        <v>0.11799999999999999</v>
      </c>
      <c r="F845" s="4">
        <v>408707.12099999998</v>
      </c>
      <c r="G845" s="4">
        <v>408707.239</v>
      </c>
      <c r="H845" s="5">
        <f>60 / 86400</f>
        <v>6.9444444444444447E-4</v>
      </c>
      <c r="I845" t="s">
        <v>31</v>
      </c>
      <c r="J845" t="s">
        <v>152</v>
      </c>
      <c r="K845" s="5">
        <f>117 / 86400</f>
        <v>1.3541666666666667E-3</v>
      </c>
      <c r="L845" s="5">
        <f>7 / 86400</f>
        <v>8.1018518518518516E-5</v>
      </c>
    </row>
    <row r="846" spans="1:12" x14ac:dyDescent="0.25">
      <c r="A846" s="3">
        <v>45714.336400462962</v>
      </c>
      <c r="B846" t="s">
        <v>431</v>
      </c>
      <c r="C846" s="3">
        <v>45714.336678240739</v>
      </c>
      <c r="D846" t="s">
        <v>431</v>
      </c>
      <c r="E846" s="4">
        <v>3.0000000000000001E-3</v>
      </c>
      <c r="F846" s="4">
        <v>408707.239</v>
      </c>
      <c r="G846" s="4">
        <v>408707.24200000003</v>
      </c>
      <c r="H846" s="5">
        <f>19 / 86400</f>
        <v>2.199074074074074E-4</v>
      </c>
      <c r="I846" t="s">
        <v>22</v>
      </c>
      <c r="J846" t="s">
        <v>22</v>
      </c>
      <c r="K846" s="5">
        <f>23 / 86400</f>
        <v>2.6620370370370372E-4</v>
      </c>
      <c r="L846" s="5">
        <f>201 / 86400</f>
        <v>2.3263888888888887E-3</v>
      </c>
    </row>
    <row r="847" spans="1:12" x14ac:dyDescent="0.25">
      <c r="A847" s="3">
        <v>45714.339004629626</v>
      </c>
      <c r="B847" t="s">
        <v>431</v>
      </c>
      <c r="C847" s="3">
        <v>45714.340196759258</v>
      </c>
      <c r="D847" t="s">
        <v>130</v>
      </c>
      <c r="E847" s="4">
        <v>0.32100000000000001</v>
      </c>
      <c r="F847" s="4">
        <v>408707.24200000003</v>
      </c>
      <c r="G847" s="4">
        <v>408707.56300000002</v>
      </c>
      <c r="H847" s="5">
        <f>0 / 86400</f>
        <v>0</v>
      </c>
      <c r="I847" t="s">
        <v>131</v>
      </c>
      <c r="J847" t="s">
        <v>31</v>
      </c>
      <c r="K847" s="5">
        <f>103 / 86400</f>
        <v>1.1921296296296296E-3</v>
      </c>
      <c r="L847" s="5">
        <f>505 / 86400</f>
        <v>5.8449074074074072E-3</v>
      </c>
    </row>
    <row r="848" spans="1:12" x14ac:dyDescent="0.25">
      <c r="A848" s="3">
        <v>45714.346041666664</v>
      </c>
      <c r="B848" t="s">
        <v>130</v>
      </c>
      <c r="C848" s="3">
        <v>45714.346215277779</v>
      </c>
      <c r="D848" t="s">
        <v>163</v>
      </c>
      <c r="E848" s="4">
        <v>1.0999999999999999E-2</v>
      </c>
      <c r="F848" s="4">
        <v>408707.56300000002</v>
      </c>
      <c r="G848" s="4">
        <v>408707.57400000002</v>
      </c>
      <c r="H848" s="5">
        <f>0 / 86400</f>
        <v>0</v>
      </c>
      <c r="I848" t="s">
        <v>22</v>
      </c>
      <c r="J848" t="s">
        <v>102</v>
      </c>
      <c r="K848" s="5">
        <f>15 / 86400</f>
        <v>1.7361111111111112E-4</v>
      </c>
      <c r="L848" s="5">
        <f>694 / 86400</f>
        <v>8.0324074074074082E-3</v>
      </c>
    </row>
    <row r="849" spans="1:12" x14ac:dyDescent="0.25">
      <c r="A849" s="3">
        <v>45714.354247685187</v>
      </c>
      <c r="B849" t="s">
        <v>163</v>
      </c>
      <c r="C849" s="3">
        <v>45714.618587962963</v>
      </c>
      <c r="D849" t="s">
        <v>129</v>
      </c>
      <c r="E849" s="4">
        <v>101.77200000000001</v>
      </c>
      <c r="F849" s="4">
        <v>408707.57400000002</v>
      </c>
      <c r="G849" s="4">
        <v>408809.34600000002</v>
      </c>
      <c r="H849" s="5">
        <f>8118 / 86400</f>
        <v>9.3958333333333338E-2</v>
      </c>
      <c r="I849" t="s">
        <v>24</v>
      </c>
      <c r="J849" t="s">
        <v>28</v>
      </c>
      <c r="K849" s="5">
        <f>22838 / 86400</f>
        <v>0.2643287037037037</v>
      </c>
      <c r="L849" s="5">
        <f>85 / 86400</f>
        <v>9.837962962962962E-4</v>
      </c>
    </row>
    <row r="850" spans="1:12" x14ac:dyDescent="0.25">
      <c r="A850" s="3">
        <v>45714.619571759264</v>
      </c>
      <c r="B850" t="s">
        <v>129</v>
      </c>
      <c r="C850" s="3">
        <v>45714.619710648149</v>
      </c>
      <c r="D850" t="s">
        <v>129</v>
      </c>
      <c r="E850" s="4">
        <v>0</v>
      </c>
      <c r="F850" s="4">
        <v>408809.34600000002</v>
      </c>
      <c r="G850" s="4">
        <v>408809.34600000002</v>
      </c>
      <c r="H850" s="5">
        <f>0 / 86400</f>
        <v>0</v>
      </c>
      <c r="I850" t="s">
        <v>22</v>
      </c>
      <c r="J850" t="s">
        <v>22</v>
      </c>
      <c r="K850" s="5">
        <f>12 / 86400</f>
        <v>1.3888888888888889E-4</v>
      </c>
      <c r="L850" s="5">
        <f>38 / 86400</f>
        <v>4.3981481481481481E-4</v>
      </c>
    </row>
    <row r="851" spans="1:12" x14ac:dyDescent="0.25">
      <c r="A851" s="3">
        <v>45714.620150462964</v>
      </c>
      <c r="B851" t="s">
        <v>129</v>
      </c>
      <c r="C851" s="3">
        <v>45714.620266203703</v>
      </c>
      <c r="D851" t="s">
        <v>129</v>
      </c>
      <c r="E851" s="4">
        <v>0</v>
      </c>
      <c r="F851" s="4">
        <v>408809.34600000002</v>
      </c>
      <c r="G851" s="4">
        <v>408809.34600000002</v>
      </c>
      <c r="H851" s="5">
        <f>0 / 86400</f>
        <v>0</v>
      </c>
      <c r="I851" t="s">
        <v>22</v>
      </c>
      <c r="J851" t="s">
        <v>22</v>
      </c>
      <c r="K851" s="5">
        <f>10 / 86400</f>
        <v>1.1574074074074075E-4</v>
      </c>
      <c r="L851" s="5">
        <f>2236 / 86400</f>
        <v>2.5879629629629631E-2</v>
      </c>
    </row>
    <row r="852" spans="1:12" x14ac:dyDescent="0.25">
      <c r="A852" s="3">
        <v>45714.646145833336</v>
      </c>
      <c r="B852" t="s">
        <v>129</v>
      </c>
      <c r="C852" s="3">
        <v>45714.649201388893</v>
      </c>
      <c r="D852" t="s">
        <v>80</v>
      </c>
      <c r="E852" s="4">
        <v>0.76800000000000002</v>
      </c>
      <c r="F852" s="4">
        <v>408809.34600000002</v>
      </c>
      <c r="G852" s="4">
        <v>408810.114</v>
      </c>
      <c r="H852" s="5">
        <f>59 / 86400</f>
        <v>6.8287037037037036E-4</v>
      </c>
      <c r="I852" t="s">
        <v>134</v>
      </c>
      <c r="J852" t="s">
        <v>31</v>
      </c>
      <c r="K852" s="5">
        <f>263 / 86400</f>
        <v>3.0439814814814813E-3</v>
      </c>
      <c r="L852" s="5">
        <f>1871 / 86400</f>
        <v>2.1655092592592594E-2</v>
      </c>
    </row>
    <row r="853" spans="1:12" x14ac:dyDescent="0.25">
      <c r="A853" s="3">
        <v>45714.670856481476</v>
      </c>
      <c r="B853" t="s">
        <v>80</v>
      </c>
      <c r="C853" s="3">
        <v>45714.673414351855</v>
      </c>
      <c r="D853" t="s">
        <v>80</v>
      </c>
      <c r="E853" s="4">
        <v>2.4E-2</v>
      </c>
      <c r="F853" s="4">
        <v>408810.114</v>
      </c>
      <c r="G853" s="4">
        <v>408810.13799999998</v>
      </c>
      <c r="H853" s="5">
        <f>180 / 86400</f>
        <v>2.0833333333333333E-3</v>
      </c>
      <c r="I853" t="s">
        <v>32</v>
      </c>
      <c r="J853" t="s">
        <v>22</v>
      </c>
      <c r="K853" s="5">
        <f>221 / 86400</f>
        <v>2.5578703703703705E-3</v>
      </c>
      <c r="L853" s="5">
        <f>4 / 86400</f>
        <v>4.6296296296296294E-5</v>
      </c>
    </row>
    <row r="854" spans="1:12" x14ac:dyDescent="0.25">
      <c r="A854" s="3">
        <v>45714.673460648148</v>
      </c>
      <c r="B854" t="s">
        <v>80</v>
      </c>
      <c r="C854" s="3">
        <v>45714.674108796295</v>
      </c>
      <c r="D854" t="s">
        <v>80</v>
      </c>
      <c r="E854" s="4">
        <v>0</v>
      </c>
      <c r="F854" s="4">
        <v>408810.13799999998</v>
      </c>
      <c r="G854" s="4">
        <v>408810.13799999998</v>
      </c>
      <c r="H854" s="5">
        <f>39 / 86400</f>
        <v>4.5138888888888887E-4</v>
      </c>
      <c r="I854" t="s">
        <v>22</v>
      </c>
      <c r="J854" t="s">
        <v>22</v>
      </c>
      <c r="K854" s="5">
        <f>55 / 86400</f>
        <v>6.3657407407407413E-4</v>
      </c>
      <c r="L854" s="5">
        <f>437 / 86400</f>
        <v>5.0578703703703706E-3</v>
      </c>
    </row>
    <row r="855" spans="1:12" x14ac:dyDescent="0.25">
      <c r="A855" s="3">
        <v>45714.679166666669</v>
      </c>
      <c r="B855" t="s">
        <v>80</v>
      </c>
      <c r="C855" s="3">
        <v>45714.680717592593</v>
      </c>
      <c r="D855" t="s">
        <v>80</v>
      </c>
      <c r="E855" s="4">
        <v>2.5999999999999999E-2</v>
      </c>
      <c r="F855" s="4">
        <v>408810.13799999998</v>
      </c>
      <c r="G855" s="4">
        <v>408810.16399999999</v>
      </c>
      <c r="H855" s="5">
        <f>119 / 86400</f>
        <v>1.3773148148148147E-3</v>
      </c>
      <c r="I855" t="s">
        <v>135</v>
      </c>
      <c r="J855" t="s">
        <v>78</v>
      </c>
      <c r="K855" s="5">
        <f>134 / 86400</f>
        <v>1.5509259259259259E-3</v>
      </c>
      <c r="L855" s="5">
        <f>236 / 86400</f>
        <v>2.7314814814814814E-3</v>
      </c>
    </row>
    <row r="856" spans="1:12" x14ac:dyDescent="0.25">
      <c r="A856" s="3">
        <v>45714.683449074073</v>
      </c>
      <c r="B856" t="s">
        <v>80</v>
      </c>
      <c r="C856" s="3">
        <v>45714.685902777783</v>
      </c>
      <c r="D856" t="s">
        <v>80</v>
      </c>
      <c r="E856" s="4">
        <v>2.5000000000000001E-2</v>
      </c>
      <c r="F856" s="4">
        <v>408810.16399999999</v>
      </c>
      <c r="G856" s="4">
        <v>408810.18900000001</v>
      </c>
      <c r="H856" s="5">
        <f>179 / 86400</f>
        <v>2.0717592592592593E-3</v>
      </c>
      <c r="I856" t="s">
        <v>77</v>
      </c>
      <c r="J856" t="s">
        <v>22</v>
      </c>
      <c r="K856" s="5">
        <f>212 / 86400</f>
        <v>2.4537037037037036E-3</v>
      </c>
      <c r="L856" s="5">
        <f>282 / 86400</f>
        <v>3.2638888888888891E-3</v>
      </c>
    </row>
    <row r="857" spans="1:12" x14ac:dyDescent="0.25">
      <c r="A857" s="3">
        <v>45714.689166666663</v>
      </c>
      <c r="B857" t="s">
        <v>80</v>
      </c>
      <c r="C857" s="3">
        <v>45714.763206018513</v>
      </c>
      <c r="D857" t="s">
        <v>139</v>
      </c>
      <c r="E857" s="4">
        <v>34.174999999999997</v>
      </c>
      <c r="F857" s="4">
        <v>408810.18900000001</v>
      </c>
      <c r="G857" s="4">
        <v>408844.364</v>
      </c>
      <c r="H857" s="5">
        <f>1860 / 86400</f>
        <v>2.1527777777777778E-2</v>
      </c>
      <c r="I857" t="s">
        <v>57</v>
      </c>
      <c r="J857" t="s">
        <v>25</v>
      </c>
      <c r="K857" s="5">
        <f>6396 / 86400</f>
        <v>7.4027777777777776E-2</v>
      </c>
      <c r="L857" s="5">
        <f>274 / 86400</f>
        <v>3.1712962962962962E-3</v>
      </c>
    </row>
    <row r="858" spans="1:12" x14ac:dyDescent="0.25">
      <c r="A858" s="3">
        <v>45714.766377314816</v>
      </c>
      <c r="B858" t="s">
        <v>139</v>
      </c>
      <c r="C858" s="3">
        <v>45714.768506944441</v>
      </c>
      <c r="D858" t="s">
        <v>432</v>
      </c>
      <c r="E858" s="4">
        <v>1.2E-2</v>
      </c>
      <c r="F858" s="4">
        <v>408844.364</v>
      </c>
      <c r="G858" s="4">
        <v>408844.37599999999</v>
      </c>
      <c r="H858" s="5">
        <f>159 / 86400</f>
        <v>1.8402777777777777E-3</v>
      </c>
      <c r="I858" t="s">
        <v>152</v>
      </c>
      <c r="J858" t="s">
        <v>22</v>
      </c>
      <c r="K858" s="5">
        <f>183 / 86400</f>
        <v>2.1180555555555558E-3</v>
      </c>
      <c r="L858" s="5">
        <f>173 / 86400</f>
        <v>2.0023148148148148E-3</v>
      </c>
    </row>
    <row r="859" spans="1:12" x14ac:dyDescent="0.25">
      <c r="A859" s="3">
        <v>45714.770509259259</v>
      </c>
      <c r="B859" t="s">
        <v>432</v>
      </c>
      <c r="C859" s="3">
        <v>45714.775601851856</v>
      </c>
      <c r="D859" t="s">
        <v>71</v>
      </c>
      <c r="E859" s="4">
        <v>1.161</v>
      </c>
      <c r="F859" s="4">
        <v>408844.37599999999</v>
      </c>
      <c r="G859" s="4">
        <v>408845.53700000001</v>
      </c>
      <c r="H859" s="5">
        <f>40 / 86400</f>
        <v>4.6296296296296298E-4</v>
      </c>
      <c r="I859" t="s">
        <v>25</v>
      </c>
      <c r="J859" t="s">
        <v>70</v>
      </c>
      <c r="K859" s="5">
        <f>440 / 86400</f>
        <v>5.092592592592593E-3</v>
      </c>
      <c r="L859" s="5">
        <f>433 / 86400</f>
        <v>5.0115740740740737E-3</v>
      </c>
    </row>
    <row r="860" spans="1:12" x14ac:dyDescent="0.25">
      <c r="A860" s="3">
        <v>45714.78061342593</v>
      </c>
      <c r="B860" t="s">
        <v>71</v>
      </c>
      <c r="C860" s="3">
        <v>45714.784050925926</v>
      </c>
      <c r="D860" t="s">
        <v>71</v>
      </c>
      <c r="E860" s="4">
        <v>2.1999999999999999E-2</v>
      </c>
      <c r="F860" s="4">
        <v>408845.53700000001</v>
      </c>
      <c r="G860" s="4">
        <v>408845.55900000001</v>
      </c>
      <c r="H860" s="5">
        <f>259 / 86400</f>
        <v>2.9976851851851853E-3</v>
      </c>
      <c r="I860" t="s">
        <v>147</v>
      </c>
      <c r="J860" t="s">
        <v>22</v>
      </c>
      <c r="K860" s="5">
        <f>297 / 86400</f>
        <v>3.4375E-3</v>
      </c>
      <c r="L860" s="5">
        <f>18657 / 86400</f>
        <v>0.2159375</v>
      </c>
    </row>
    <row r="861" spans="1:12" x14ac:dyDescent="0.25">
      <c r="A861" s="12"/>
      <c r="B861" s="12"/>
      <c r="C861" s="12"/>
      <c r="D861" s="12"/>
      <c r="E861" s="12"/>
      <c r="F861" s="12"/>
      <c r="G861" s="12"/>
      <c r="H861" s="12"/>
      <c r="I861" s="12"/>
      <c r="J861" s="12"/>
    </row>
    <row r="862" spans="1:12" x14ac:dyDescent="0.25">
      <c r="A862" s="12"/>
      <c r="B862" s="12"/>
      <c r="C862" s="12"/>
      <c r="D862" s="12"/>
      <c r="E862" s="12"/>
      <c r="F862" s="12"/>
      <c r="G862" s="12"/>
      <c r="H862" s="12"/>
      <c r="I862" s="12"/>
      <c r="J862" s="12"/>
    </row>
    <row r="863" spans="1:12" s="10" customFormat="1" ht="20.100000000000001" customHeight="1" x14ac:dyDescent="0.35">
      <c r="A863" s="15" t="s">
        <v>491</v>
      </c>
      <c r="B863" s="15"/>
      <c r="C863" s="15"/>
      <c r="D863" s="15"/>
      <c r="E863" s="15"/>
      <c r="F863" s="15"/>
      <c r="G863" s="15"/>
      <c r="H863" s="15"/>
      <c r="I863" s="15"/>
      <c r="J863" s="15"/>
    </row>
    <row r="864" spans="1:12" x14ac:dyDescent="0.25">
      <c r="A864" s="12"/>
      <c r="B864" s="12"/>
      <c r="C864" s="12"/>
      <c r="D864" s="12"/>
      <c r="E864" s="12"/>
      <c r="F864" s="12"/>
      <c r="G864" s="12"/>
      <c r="H864" s="12"/>
      <c r="I864" s="12"/>
      <c r="J864" s="12"/>
    </row>
    <row r="865" spans="1:12" ht="30" x14ac:dyDescent="0.25">
      <c r="A865" s="2" t="s">
        <v>6</v>
      </c>
      <c r="B865" s="2" t="s">
        <v>7</v>
      </c>
      <c r="C865" s="2" t="s">
        <v>8</v>
      </c>
      <c r="D865" s="2" t="s">
        <v>9</v>
      </c>
      <c r="E865" s="2" t="s">
        <v>10</v>
      </c>
      <c r="F865" s="2" t="s">
        <v>11</v>
      </c>
      <c r="G865" s="2" t="s">
        <v>12</v>
      </c>
      <c r="H865" s="2" t="s">
        <v>13</v>
      </c>
      <c r="I865" s="2" t="s">
        <v>14</v>
      </c>
      <c r="J865" s="2" t="s">
        <v>15</v>
      </c>
      <c r="K865" s="2" t="s">
        <v>16</v>
      </c>
      <c r="L865" s="2" t="s">
        <v>17</v>
      </c>
    </row>
    <row r="866" spans="1:12" x14ac:dyDescent="0.25">
      <c r="A866" s="3">
        <v>45714.294120370367</v>
      </c>
      <c r="B866" t="s">
        <v>72</v>
      </c>
      <c r="C866" s="3">
        <v>45714.4065625</v>
      </c>
      <c r="D866" t="s">
        <v>80</v>
      </c>
      <c r="E866" s="4">
        <v>44.655999999999999</v>
      </c>
      <c r="F866" s="4">
        <v>349193.69199999998</v>
      </c>
      <c r="G866" s="4">
        <v>349238.348</v>
      </c>
      <c r="H866" s="5">
        <f>3479 / 86400</f>
        <v>4.0266203703703707E-2</v>
      </c>
      <c r="I866" t="s">
        <v>185</v>
      </c>
      <c r="J866" t="s">
        <v>61</v>
      </c>
      <c r="K866" s="5">
        <f>9715 / 86400</f>
        <v>0.11244212962962963</v>
      </c>
      <c r="L866" s="5">
        <f>25587 / 86400</f>
        <v>0.29614583333333333</v>
      </c>
    </row>
    <row r="867" spans="1:12" x14ac:dyDescent="0.25">
      <c r="A867" s="3">
        <v>45714.408587962964</v>
      </c>
      <c r="B867" t="s">
        <v>80</v>
      </c>
      <c r="C867" s="3">
        <v>45714.409652777773</v>
      </c>
      <c r="D867" t="s">
        <v>160</v>
      </c>
      <c r="E867" s="4">
        <v>4.1000000000000002E-2</v>
      </c>
      <c r="F867" s="4">
        <v>349238.348</v>
      </c>
      <c r="G867" s="4">
        <v>349238.38900000002</v>
      </c>
      <c r="H867" s="5">
        <f>60 / 86400</f>
        <v>6.9444444444444447E-4</v>
      </c>
      <c r="I867" t="s">
        <v>135</v>
      </c>
      <c r="J867" t="s">
        <v>32</v>
      </c>
      <c r="K867" s="5">
        <f>92 / 86400</f>
        <v>1.0648148148148149E-3</v>
      </c>
      <c r="L867" s="5">
        <f>116 / 86400</f>
        <v>1.3425925925925925E-3</v>
      </c>
    </row>
    <row r="868" spans="1:12" x14ac:dyDescent="0.25">
      <c r="A868" s="3">
        <v>45714.410995370374</v>
      </c>
      <c r="B868" t="s">
        <v>160</v>
      </c>
      <c r="C868" s="3">
        <v>45714.41511574074</v>
      </c>
      <c r="D868" t="s">
        <v>163</v>
      </c>
      <c r="E868" s="4">
        <v>1.2609999999999999</v>
      </c>
      <c r="F868" s="4">
        <v>349238.39</v>
      </c>
      <c r="G868" s="4">
        <v>349239.65100000001</v>
      </c>
      <c r="H868" s="5">
        <f>80 / 86400</f>
        <v>9.2592592592592596E-4</v>
      </c>
      <c r="I868" t="s">
        <v>155</v>
      </c>
      <c r="J868" t="s">
        <v>42</v>
      </c>
      <c r="K868" s="5">
        <f>356 / 86400</f>
        <v>4.1203703703703706E-3</v>
      </c>
      <c r="L868" s="5">
        <f>4085 / 86400</f>
        <v>4.7280092592592596E-2</v>
      </c>
    </row>
    <row r="869" spans="1:12" x14ac:dyDescent="0.25">
      <c r="A869" s="3">
        <v>45714.462395833332</v>
      </c>
      <c r="B869" t="s">
        <v>163</v>
      </c>
      <c r="C869" s="3">
        <v>45714.729027777779</v>
      </c>
      <c r="D869" t="s">
        <v>72</v>
      </c>
      <c r="E869" s="4">
        <v>78.707999999999998</v>
      </c>
      <c r="F869" s="4">
        <v>349239.65100000001</v>
      </c>
      <c r="G869" s="4">
        <v>349318.359</v>
      </c>
      <c r="H869" s="5">
        <f>10360 / 86400</f>
        <v>0.11990740740740741</v>
      </c>
      <c r="I869" t="s">
        <v>27</v>
      </c>
      <c r="J869" t="s">
        <v>98</v>
      </c>
      <c r="K869" s="5">
        <f>23037 / 86400</f>
        <v>0.26663194444444444</v>
      </c>
      <c r="L869" s="5">
        <f>23411 / 86400</f>
        <v>0.27096064814814813</v>
      </c>
    </row>
    <row r="870" spans="1:12" x14ac:dyDescent="0.25">
      <c r="A870" s="12"/>
      <c r="B870" s="12"/>
      <c r="C870" s="12"/>
      <c r="D870" s="12"/>
      <c r="E870" s="12"/>
      <c r="F870" s="12"/>
      <c r="G870" s="12"/>
      <c r="H870" s="12"/>
      <c r="I870" s="12"/>
      <c r="J870" s="12"/>
    </row>
    <row r="871" spans="1:12" x14ac:dyDescent="0.25">
      <c r="A871" s="12"/>
      <c r="B871" s="12"/>
      <c r="C871" s="12"/>
      <c r="D871" s="12"/>
      <c r="E871" s="12"/>
      <c r="F871" s="12"/>
      <c r="G871" s="12"/>
      <c r="H871" s="12"/>
      <c r="I871" s="12"/>
      <c r="J871" s="12"/>
    </row>
    <row r="872" spans="1:12" s="10" customFormat="1" ht="20.100000000000001" customHeight="1" x14ac:dyDescent="0.35">
      <c r="A872" s="15" t="s">
        <v>492</v>
      </c>
      <c r="B872" s="15"/>
      <c r="C872" s="15"/>
      <c r="D872" s="15"/>
      <c r="E872" s="15"/>
      <c r="F872" s="15"/>
      <c r="G872" s="15"/>
      <c r="H872" s="15"/>
      <c r="I872" s="15"/>
      <c r="J872" s="15"/>
    </row>
    <row r="873" spans="1:12" x14ac:dyDescent="0.25">
      <c r="A873" s="12"/>
      <c r="B873" s="12"/>
      <c r="C873" s="12"/>
      <c r="D873" s="12"/>
      <c r="E873" s="12"/>
      <c r="F873" s="12"/>
      <c r="G873" s="12"/>
      <c r="H873" s="12"/>
      <c r="I873" s="12"/>
      <c r="J873" s="12"/>
    </row>
    <row r="874" spans="1:12" ht="30" x14ac:dyDescent="0.25">
      <c r="A874" s="2" t="s">
        <v>6</v>
      </c>
      <c r="B874" s="2" t="s">
        <v>7</v>
      </c>
      <c r="C874" s="2" t="s">
        <v>8</v>
      </c>
      <c r="D874" s="2" t="s">
        <v>9</v>
      </c>
      <c r="E874" s="2" t="s">
        <v>10</v>
      </c>
      <c r="F874" s="2" t="s">
        <v>11</v>
      </c>
      <c r="G874" s="2" t="s">
        <v>12</v>
      </c>
      <c r="H874" s="2" t="s">
        <v>13</v>
      </c>
      <c r="I874" s="2" t="s">
        <v>14</v>
      </c>
      <c r="J874" s="2" t="s">
        <v>15</v>
      </c>
      <c r="K874" s="2" t="s">
        <v>16</v>
      </c>
      <c r="L874" s="2" t="s">
        <v>17</v>
      </c>
    </row>
    <row r="875" spans="1:12" x14ac:dyDescent="0.25">
      <c r="A875" s="3">
        <v>45714.174282407403</v>
      </c>
      <c r="B875" t="s">
        <v>73</v>
      </c>
      <c r="C875" s="3">
        <v>45714.362939814819</v>
      </c>
      <c r="D875" t="s">
        <v>163</v>
      </c>
      <c r="E875" s="4">
        <v>89.396000000000001</v>
      </c>
      <c r="F875" s="4">
        <v>43388.212</v>
      </c>
      <c r="G875" s="4">
        <v>43477.608</v>
      </c>
      <c r="H875" s="5">
        <f>4820 / 86400</f>
        <v>5.5787037037037038E-2</v>
      </c>
      <c r="I875" t="s">
        <v>40</v>
      </c>
      <c r="J875" t="s">
        <v>64</v>
      </c>
      <c r="K875" s="5">
        <f>16300 / 86400</f>
        <v>0.18865740740740741</v>
      </c>
      <c r="L875" s="5">
        <f>17083 / 86400</f>
        <v>0.19771990740740741</v>
      </c>
    </row>
    <row r="876" spans="1:12" x14ac:dyDescent="0.25">
      <c r="A876" s="3">
        <v>45714.386377314819</v>
      </c>
      <c r="B876" t="s">
        <v>163</v>
      </c>
      <c r="C876" s="3">
        <v>45714.62709490741</v>
      </c>
      <c r="D876" t="s">
        <v>160</v>
      </c>
      <c r="E876" s="4">
        <v>100.807</v>
      </c>
      <c r="F876" s="4">
        <v>43477.608</v>
      </c>
      <c r="G876" s="4">
        <v>43578.415000000001</v>
      </c>
      <c r="H876" s="5">
        <f>6479 / 86400</f>
        <v>7.4988425925925931E-2</v>
      </c>
      <c r="I876" t="s">
        <v>40</v>
      </c>
      <c r="J876" t="s">
        <v>61</v>
      </c>
      <c r="K876" s="5">
        <f>20798 / 86400</f>
        <v>0.24071759259259259</v>
      </c>
      <c r="L876" s="5">
        <f>222 / 86400</f>
        <v>2.5694444444444445E-3</v>
      </c>
    </row>
    <row r="877" spans="1:12" x14ac:dyDescent="0.25">
      <c r="A877" s="3">
        <v>45714.629664351851</v>
      </c>
      <c r="B877" t="s">
        <v>160</v>
      </c>
      <c r="C877" s="3">
        <v>45714.630729166667</v>
      </c>
      <c r="D877" t="s">
        <v>113</v>
      </c>
      <c r="E877" s="4">
        <v>0.22900000000000001</v>
      </c>
      <c r="F877" s="4">
        <v>43578.415000000001</v>
      </c>
      <c r="G877" s="4">
        <v>43578.644</v>
      </c>
      <c r="H877" s="5">
        <f>0 / 86400</f>
        <v>0</v>
      </c>
      <c r="I877" t="s">
        <v>46</v>
      </c>
      <c r="J877" t="s">
        <v>70</v>
      </c>
      <c r="K877" s="5">
        <f>92 / 86400</f>
        <v>1.0648148148148149E-3</v>
      </c>
      <c r="L877" s="5">
        <f>205 / 86400</f>
        <v>2.3726851851851851E-3</v>
      </c>
    </row>
    <row r="878" spans="1:12" x14ac:dyDescent="0.25">
      <c r="A878" s="3">
        <v>45714.633101851854</v>
      </c>
      <c r="B878" t="s">
        <v>113</v>
      </c>
      <c r="C878" s="3">
        <v>45714.63890046296</v>
      </c>
      <c r="D878" t="s">
        <v>160</v>
      </c>
      <c r="E878" s="4">
        <v>0.32900000000000001</v>
      </c>
      <c r="F878" s="4">
        <v>43578.644</v>
      </c>
      <c r="G878" s="4">
        <v>43578.972999999998</v>
      </c>
      <c r="H878" s="5">
        <f>360 / 86400</f>
        <v>4.1666666666666666E-3</v>
      </c>
      <c r="I878" t="s">
        <v>25</v>
      </c>
      <c r="J878" t="s">
        <v>32</v>
      </c>
      <c r="K878" s="5">
        <f>501 / 86400</f>
        <v>5.7986111111111112E-3</v>
      </c>
      <c r="L878" s="5">
        <f>117 / 86400</f>
        <v>1.3541666666666667E-3</v>
      </c>
    </row>
    <row r="879" spans="1:12" x14ac:dyDescent="0.25">
      <c r="A879" s="3">
        <v>45714.64025462963</v>
      </c>
      <c r="B879" t="s">
        <v>160</v>
      </c>
      <c r="C879" s="3">
        <v>45714.676261574074</v>
      </c>
      <c r="D879" t="s">
        <v>73</v>
      </c>
      <c r="E879" s="4">
        <v>15.621</v>
      </c>
      <c r="F879" s="4">
        <v>43578.972999999998</v>
      </c>
      <c r="G879" s="4">
        <v>43594.593999999997</v>
      </c>
      <c r="H879" s="5">
        <f>880 / 86400</f>
        <v>1.0185185185185186E-2</v>
      </c>
      <c r="I879" t="s">
        <v>185</v>
      </c>
      <c r="J879" t="s">
        <v>20</v>
      </c>
      <c r="K879" s="5">
        <f>3111 / 86400</f>
        <v>3.6006944444444446E-2</v>
      </c>
      <c r="L879" s="5">
        <f>27970 / 86400</f>
        <v>0.32372685185185185</v>
      </c>
    </row>
    <row r="880" spans="1:12" x14ac:dyDescent="0.25">
      <c r="A880" s="12"/>
      <c r="B880" s="12"/>
      <c r="C880" s="12"/>
      <c r="D880" s="12"/>
      <c r="E880" s="12"/>
      <c r="F880" s="12"/>
      <c r="G880" s="12"/>
      <c r="H880" s="12"/>
      <c r="I880" s="12"/>
      <c r="J880" s="12"/>
    </row>
    <row r="881" spans="1:12" x14ac:dyDescent="0.25">
      <c r="A881" s="12"/>
      <c r="B881" s="12"/>
      <c r="C881" s="12"/>
      <c r="D881" s="12"/>
      <c r="E881" s="12"/>
      <c r="F881" s="12"/>
      <c r="G881" s="12"/>
      <c r="H881" s="12"/>
      <c r="I881" s="12"/>
      <c r="J881" s="12"/>
    </row>
    <row r="882" spans="1:12" s="10" customFormat="1" ht="20.100000000000001" customHeight="1" x14ac:dyDescent="0.35">
      <c r="A882" s="15" t="s">
        <v>493</v>
      </c>
      <c r="B882" s="15"/>
      <c r="C882" s="15"/>
      <c r="D882" s="15"/>
      <c r="E882" s="15"/>
      <c r="F882" s="15"/>
      <c r="G882" s="15"/>
      <c r="H882" s="15"/>
      <c r="I882" s="15"/>
      <c r="J882" s="15"/>
    </row>
    <row r="883" spans="1:12" x14ac:dyDescent="0.25">
      <c r="A883" s="12"/>
      <c r="B883" s="12"/>
      <c r="C883" s="12"/>
      <c r="D883" s="12"/>
      <c r="E883" s="12"/>
      <c r="F883" s="12"/>
      <c r="G883" s="12"/>
      <c r="H883" s="12"/>
      <c r="I883" s="12"/>
      <c r="J883" s="12"/>
    </row>
    <row r="884" spans="1:12" ht="30" x14ac:dyDescent="0.25">
      <c r="A884" s="2" t="s">
        <v>6</v>
      </c>
      <c r="B884" s="2" t="s">
        <v>7</v>
      </c>
      <c r="C884" s="2" t="s">
        <v>8</v>
      </c>
      <c r="D884" s="2" t="s">
        <v>9</v>
      </c>
      <c r="E884" s="2" t="s">
        <v>10</v>
      </c>
      <c r="F884" s="2" t="s">
        <v>11</v>
      </c>
      <c r="G884" s="2" t="s">
        <v>12</v>
      </c>
      <c r="H884" s="2" t="s">
        <v>13</v>
      </c>
      <c r="I884" s="2" t="s">
        <v>14</v>
      </c>
      <c r="J884" s="2" t="s">
        <v>15</v>
      </c>
      <c r="K884" s="2" t="s">
        <v>16</v>
      </c>
      <c r="L884" s="2" t="s">
        <v>17</v>
      </c>
    </row>
    <row r="885" spans="1:12" x14ac:dyDescent="0.25">
      <c r="A885" s="3">
        <v>45714.284074074079</v>
      </c>
      <c r="B885" t="s">
        <v>59</v>
      </c>
      <c r="C885" s="3">
        <v>45714.285439814819</v>
      </c>
      <c r="D885" t="s">
        <v>59</v>
      </c>
      <c r="E885" s="4">
        <v>0</v>
      </c>
      <c r="F885" s="4">
        <v>49488.061000000002</v>
      </c>
      <c r="G885" s="4">
        <v>49488.061000000002</v>
      </c>
      <c r="H885" s="5">
        <f>36 / 86400</f>
        <v>4.1666666666666669E-4</v>
      </c>
      <c r="I885" t="s">
        <v>22</v>
      </c>
      <c r="J885" t="s">
        <v>22</v>
      </c>
      <c r="K885" s="5">
        <f>118 / 86400</f>
        <v>1.3657407407407407E-3</v>
      </c>
      <c r="L885" s="5">
        <f>24585 / 86400</f>
        <v>0.28454861111111113</v>
      </c>
    </row>
    <row r="886" spans="1:12" x14ac:dyDescent="0.25">
      <c r="A886" s="3">
        <v>45714.285914351851</v>
      </c>
      <c r="B886" t="s">
        <v>59</v>
      </c>
      <c r="C886" s="3">
        <v>45714.286041666666</v>
      </c>
      <c r="D886" t="s">
        <v>59</v>
      </c>
      <c r="E886" s="4">
        <v>0</v>
      </c>
      <c r="F886" s="4">
        <v>49488.061000000002</v>
      </c>
      <c r="G886" s="4">
        <v>49488.061000000002</v>
      </c>
      <c r="H886" s="5">
        <f>0 / 86400</f>
        <v>0</v>
      </c>
      <c r="I886" t="s">
        <v>22</v>
      </c>
      <c r="J886" t="s">
        <v>22</v>
      </c>
      <c r="K886" s="5">
        <f>11 / 86400</f>
        <v>1.273148148148148E-4</v>
      </c>
      <c r="L886" s="5">
        <f>1 / 86400</f>
        <v>1.1574074074074073E-5</v>
      </c>
    </row>
    <row r="887" spans="1:12" x14ac:dyDescent="0.25">
      <c r="A887" s="3">
        <v>45714.286053240736</v>
      </c>
      <c r="B887" t="s">
        <v>59</v>
      </c>
      <c r="C887" s="3">
        <v>45714.286111111112</v>
      </c>
      <c r="D887" t="s">
        <v>59</v>
      </c>
      <c r="E887" s="4">
        <v>0</v>
      </c>
      <c r="F887" s="4">
        <v>49488.061000000002</v>
      </c>
      <c r="G887" s="4">
        <v>49488.061000000002</v>
      </c>
      <c r="H887" s="5">
        <f>0 / 86400</f>
        <v>0</v>
      </c>
      <c r="I887" t="s">
        <v>22</v>
      </c>
      <c r="J887" t="s">
        <v>22</v>
      </c>
      <c r="K887" s="5">
        <f>5 / 86400</f>
        <v>5.7870370370370373E-5</v>
      </c>
      <c r="L887" s="5">
        <f>41 / 86400</f>
        <v>4.7453703703703704E-4</v>
      </c>
    </row>
    <row r="888" spans="1:12" x14ac:dyDescent="0.25">
      <c r="A888" s="3">
        <v>45714.286585648151</v>
      </c>
      <c r="B888" t="s">
        <v>59</v>
      </c>
      <c r="C888" s="3">
        <v>45714.286666666667</v>
      </c>
      <c r="D888" t="s">
        <v>59</v>
      </c>
      <c r="E888" s="4">
        <v>0</v>
      </c>
      <c r="F888" s="4">
        <v>49488.061000000002</v>
      </c>
      <c r="G888" s="4">
        <v>49488.061000000002</v>
      </c>
      <c r="H888" s="5">
        <f>0 / 86400</f>
        <v>0</v>
      </c>
      <c r="I888" t="s">
        <v>22</v>
      </c>
      <c r="J888" t="s">
        <v>22</v>
      </c>
      <c r="K888" s="5">
        <f>7 / 86400</f>
        <v>8.1018518518518516E-5</v>
      </c>
      <c r="L888" s="5">
        <f>324 / 86400</f>
        <v>3.7499999999999999E-3</v>
      </c>
    </row>
    <row r="889" spans="1:12" x14ac:dyDescent="0.25">
      <c r="A889" s="3">
        <v>45714.29041666667</v>
      </c>
      <c r="B889" t="s">
        <v>59</v>
      </c>
      <c r="C889" s="3">
        <v>45714.290451388893</v>
      </c>
      <c r="D889" t="s">
        <v>59</v>
      </c>
      <c r="E889" s="4">
        <v>0</v>
      </c>
      <c r="F889" s="4">
        <v>49488.061000000002</v>
      </c>
      <c r="G889" s="4">
        <v>49488.061000000002</v>
      </c>
      <c r="H889" s="5">
        <f>0 / 86400</f>
        <v>0</v>
      </c>
      <c r="I889" t="s">
        <v>22</v>
      </c>
      <c r="J889" t="s">
        <v>22</v>
      </c>
      <c r="K889" s="5">
        <f>2 / 86400</f>
        <v>2.3148148148148147E-5</v>
      </c>
      <c r="L889" s="5">
        <f>8 / 86400</f>
        <v>9.2592592592592588E-5</v>
      </c>
    </row>
    <row r="890" spans="1:12" x14ac:dyDescent="0.25">
      <c r="A890" s="3">
        <v>45714.290543981479</v>
      </c>
      <c r="B890" t="s">
        <v>59</v>
      </c>
      <c r="C890" s="3">
        <v>45714.290567129632</v>
      </c>
      <c r="D890" t="s">
        <v>59</v>
      </c>
      <c r="E890" s="4">
        <v>0</v>
      </c>
      <c r="F890" s="4">
        <v>49488.061000000002</v>
      </c>
      <c r="G890" s="4">
        <v>49488.061000000002</v>
      </c>
      <c r="H890" s="5">
        <f>0 / 86400</f>
        <v>0</v>
      </c>
      <c r="I890" t="s">
        <v>22</v>
      </c>
      <c r="J890" t="s">
        <v>22</v>
      </c>
      <c r="K890" s="5">
        <f>2 / 86400</f>
        <v>2.3148148148148147E-5</v>
      </c>
      <c r="L890" s="5">
        <f>1957 / 86400</f>
        <v>2.2650462962962963E-2</v>
      </c>
    </row>
    <row r="891" spans="1:12" x14ac:dyDescent="0.25">
      <c r="A891" s="3">
        <v>45714.313217592593</v>
      </c>
      <c r="B891" t="s">
        <v>59</v>
      </c>
      <c r="C891" s="3">
        <v>45714.338587962964</v>
      </c>
      <c r="D891" t="s">
        <v>80</v>
      </c>
      <c r="E891" s="4">
        <v>-49469.249000000003</v>
      </c>
      <c r="F891" s="4">
        <v>49488.061000000002</v>
      </c>
      <c r="G891" s="4">
        <v>18.812000000000001</v>
      </c>
      <c r="H891" s="5">
        <f>200 / 86400</f>
        <v>2.3148148148148147E-3</v>
      </c>
      <c r="I891" t="s">
        <v>173</v>
      </c>
      <c r="J891" t="s">
        <v>433</v>
      </c>
      <c r="K891" s="5">
        <f>2192 / 86400</f>
        <v>2.537037037037037E-2</v>
      </c>
      <c r="L891" s="5">
        <f>7223 / 86400</f>
        <v>8.3599537037037042E-2</v>
      </c>
    </row>
    <row r="892" spans="1:12" x14ac:dyDescent="0.25">
      <c r="A892" s="3">
        <v>45714.4221875</v>
      </c>
      <c r="B892" t="s">
        <v>80</v>
      </c>
      <c r="C892" s="3">
        <v>45714.424062499995</v>
      </c>
      <c r="D892" t="s">
        <v>80</v>
      </c>
      <c r="E892" s="4">
        <v>0</v>
      </c>
      <c r="F892" s="4">
        <v>18.812000000000001</v>
      </c>
      <c r="G892" s="4">
        <v>18.812000000000001</v>
      </c>
      <c r="H892" s="5">
        <f>159 / 86400</f>
        <v>1.8402777777777777E-3</v>
      </c>
      <c r="I892" t="s">
        <v>22</v>
      </c>
      <c r="J892" t="s">
        <v>22</v>
      </c>
      <c r="K892" s="5">
        <f>162 / 86400</f>
        <v>1.8749999999999999E-3</v>
      </c>
      <c r="L892" s="5">
        <f>62 / 86400</f>
        <v>7.1759259259259259E-4</v>
      </c>
    </row>
    <row r="893" spans="1:12" x14ac:dyDescent="0.25">
      <c r="A893" s="3">
        <v>45714.424780092595</v>
      </c>
      <c r="B893" t="s">
        <v>80</v>
      </c>
      <c r="C893" s="3">
        <v>45714.433148148149</v>
      </c>
      <c r="D893" t="s">
        <v>160</v>
      </c>
      <c r="E893" s="4">
        <v>0.20899999999999999</v>
      </c>
      <c r="F893" s="4">
        <v>18.812000000000001</v>
      </c>
      <c r="G893" s="4">
        <v>19.021000000000001</v>
      </c>
      <c r="H893" s="5">
        <f>559 / 86400</f>
        <v>6.4699074074074077E-3</v>
      </c>
      <c r="I893" t="s">
        <v>132</v>
      </c>
      <c r="J893" t="s">
        <v>78</v>
      </c>
      <c r="K893" s="5">
        <f>722 / 86400</f>
        <v>8.3564814814814821E-3</v>
      </c>
      <c r="L893" s="5">
        <f>4708 / 86400</f>
        <v>5.4490740740740742E-2</v>
      </c>
    </row>
    <row r="894" spans="1:12" x14ac:dyDescent="0.25">
      <c r="A894" s="3">
        <v>45714.487638888888</v>
      </c>
      <c r="B894" t="s">
        <v>160</v>
      </c>
      <c r="C894" s="3">
        <v>45714.489479166667</v>
      </c>
      <c r="D894" t="s">
        <v>80</v>
      </c>
      <c r="E894" s="4">
        <v>5.5E-2</v>
      </c>
      <c r="F894" s="4">
        <v>19.021000000000001</v>
      </c>
      <c r="G894" s="4">
        <v>19.076000000000001</v>
      </c>
      <c r="H894" s="5">
        <f>100 / 86400</f>
        <v>1.1574074074074073E-3</v>
      </c>
      <c r="I894" t="s">
        <v>157</v>
      </c>
      <c r="J894" t="s">
        <v>78</v>
      </c>
      <c r="K894" s="5">
        <f>159 / 86400</f>
        <v>1.8402777777777777E-3</v>
      </c>
      <c r="L894" s="5">
        <f>380 / 86400</f>
        <v>4.3981481481481484E-3</v>
      </c>
    </row>
    <row r="895" spans="1:12" x14ac:dyDescent="0.25">
      <c r="A895" s="3">
        <v>45714.493877314817</v>
      </c>
      <c r="B895" t="s">
        <v>80</v>
      </c>
      <c r="C895" s="3">
        <v>45714.495879629627</v>
      </c>
      <c r="D895" t="s">
        <v>99</v>
      </c>
      <c r="E895" s="4">
        <v>0.624</v>
      </c>
      <c r="F895" s="4">
        <v>19.076000000000001</v>
      </c>
      <c r="G895" s="4">
        <v>19.7</v>
      </c>
      <c r="H895" s="5">
        <f>20 / 86400</f>
        <v>2.3148148148148149E-4</v>
      </c>
      <c r="I895" t="s">
        <v>206</v>
      </c>
      <c r="J895" t="s">
        <v>42</v>
      </c>
      <c r="K895" s="5">
        <f>173 / 86400</f>
        <v>2.0023148148148148E-3</v>
      </c>
      <c r="L895" s="5">
        <f>520 / 86400</f>
        <v>6.0185185185185185E-3</v>
      </c>
    </row>
    <row r="896" spans="1:12" x14ac:dyDescent="0.25">
      <c r="A896" s="3">
        <v>45714.501898148148</v>
      </c>
      <c r="B896" t="s">
        <v>99</v>
      </c>
      <c r="C896" s="3">
        <v>45714.506979166668</v>
      </c>
      <c r="D896" t="s">
        <v>80</v>
      </c>
      <c r="E896" s="4">
        <v>0.58499999999999996</v>
      </c>
      <c r="F896" s="4">
        <v>19.7</v>
      </c>
      <c r="G896" s="4">
        <v>20.285</v>
      </c>
      <c r="H896" s="5">
        <f>199 / 86400</f>
        <v>2.3032407407407407E-3</v>
      </c>
      <c r="I896" t="s">
        <v>197</v>
      </c>
      <c r="J896" t="s">
        <v>77</v>
      </c>
      <c r="K896" s="5">
        <f>439 / 86400</f>
        <v>5.0810185185185186E-3</v>
      </c>
      <c r="L896" s="5">
        <f>3697 / 86400</f>
        <v>4.2789351851851849E-2</v>
      </c>
    </row>
    <row r="897" spans="1:12" x14ac:dyDescent="0.25">
      <c r="A897" s="3">
        <v>45714.549768518518</v>
      </c>
      <c r="B897" t="s">
        <v>80</v>
      </c>
      <c r="C897" s="3">
        <v>45714.554398148146</v>
      </c>
      <c r="D897" t="s">
        <v>434</v>
      </c>
      <c r="E897" s="4">
        <v>0.51</v>
      </c>
      <c r="F897" s="4">
        <v>20.285</v>
      </c>
      <c r="G897" s="4">
        <v>20.795000000000002</v>
      </c>
      <c r="H897" s="5">
        <f>219 / 86400</f>
        <v>2.5347222222222221E-3</v>
      </c>
      <c r="I897" t="s">
        <v>197</v>
      </c>
      <c r="J897" t="s">
        <v>77</v>
      </c>
      <c r="K897" s="5">
        <f>400 / 86400</f>
        <v>4.6296296296296294E-3</v>
      </c>
      <c r="L897" s="5">
        <f>2363 / 86400</f>
        <v>2.7349537037037037E-2</v>
      </c>
    </row>
    <row r="898" spans="1:12" x14ac:dyDescent="0.25">
      <c r="A898" s="3">
        <v>45714.581747685181</v>
      </c>
      <c r="B898" t="s">
        <v>434</v>
      </c>
      <c r="C898" s="3">
        <v>45714.584907407407</v>
      </c>
      <c r="D898" t="s">
        <v>80</v>
      </c>
      <c r="E898" s="4">
        <v>0.49</v>
      </c>
      <c r="F898" s="4">
        <v>20.795000000000002</v>
      </c>
      <c r="G898" s="4">
        <v>21.285</v>
      </c>
      <c r="H898" s="5">
        <f>159 / 86400</f>
        <v>1.8402777777777777E-3</v>
      </c>
      <c r="I898" t="s">
        <v>181</v>
      </c>
      <c r="J898" t="s">
        <v>135</v>
      </c>
      <c r="K898" s="5">
        <f>272 / 86400</f>
        <v>3.1481481481481482E-3</v>
      </c>
      <c r="L898" s="5">
        <f>1193 / 86400</f>
        <v>1.380787037037037E-2</v>
      </c>
    </row>
    <row r="899" spans="1:12" x14ac:dyDescent="0.25">
      <c r="A899" s="3">
        <v>45714.598715277782</v>
      </c>
      <c r="B899" t="s">
        <v>80</v>
      </c>
      <c r="C899" s="3">
        <v>45714.634409722217</v>
      </c>
      <c r="D899" t="s">
        <v>59</v>
      </c>
      <c r="E899" s="4">
        <v>20.259</v>
      </c>
      <c r="F899" s="4">
        <v>21.285</v>
      </c>
      <c r="G899" s="4">
        <v>41.543999999999997</v>
      </c>
      <c r="H899" s="5">
        <f>580 / 86400</f>
        <v>6.7129629629629631E-3</v>
      </c>
      <c r="I899" t="s">
        <v>97</v>
      </c>
      <c r="J899" t="s">
        <v>37</v>
      </c>
      <c r="K899" s="5">
        <f>3083 / 86400</f>
        <v>3.5682870370370372E-2</v>
      </c>
      <c r="L899" s="5">
        <f>1474 / 86400</f>
        <v>1.7060185185185185E-2</v>
      </c>
    </row>
    <row r="900" spans="1:12" x14ac:dyDescent="0.25">
      <c r="A900" s="3">
        <v>45714.651469907403</v>
      </c>
      <c r="B900" t="s">
        <v>59</v>
      </c>
      <c r="C900" s="3">
        <v>45714.65289351852</v>
      </c>
      <c r="D900" t="s">
        <v>104</v>
      </c>
      <c r="E900" s="4">
        <v>0.06</v>
      </c>
      <c r="F900" s="4">
        <v>41.543999999999997</v>
      </c>
      <c r="G900" s="4">
        <v>41.603999999999999</v>
      </c>
      <c r="H900" s="5">
        <f>59 / 86400</f>
        <v>6.8287037037037036E-4</v>
      </c>
      <c r="I900" t="s">
        <v>157</v>
      </c>
      <c r="J900" t="s">
        <v>32</v>
      </c>
      <c r="K900" s="5">
        <f>122 / 86400</f>
        <v>1.4120370370370369E-3</v>
      </c>
      <c r="L900" s="5">
        <f>661 / 86400</f>
        <v>7.6504629629629631E-3</v>
      </c>
    </row>
    <row r="901" spans="1:12" x14ac:dyDescent="0.25">
      <c r="A901" s="3">
        <v>45714.660543981481</v>
      </c>
      <c r="B901" t="s">
        <v>104</v>
      </c>
      <c r="C901" s="3">
        <v>45714.84337962963</v>
      </c>
      <c r="D901" t="s">
        <v>393</v>
      </c>
      <c r="E901" s="4">
        <v>72.52</v>
      </c>
      <c r="F901" s="4">
        <v>41.603999999999999</v>
      </c>
      <c r="G901" s="4">
        <v>114.124</v>
      </c>
      <c r="H901" s="5">
        <f>5215 / 86400</f>
        <v>6.0358796296296299E-2</v>
      </c>
      <c r="I901" t="s">
        <v>418</v>
      </c>
      <c r="J901" t="s">
        <v>61</v>
      </c>
      <c r="K901" s="5">
        <f>15796 / 86400</f>
        <v>0.18282407407407408</v>
      </c>
      <c r="L901" s="5">
        <f>25 / 86400</f>
        <v>2.8935185185185184E-4</v>
      </c>
    </row>
    <row r="902" spans="1:12" x14ac:dyDescent="0.25">
      <c r="A902" s="3">
        <v>45714.843668981484</v>
      </c>
      <c r="B902" t="s">
        <v>393</v>
      </c>
      <c r="C902" s="3">
        <v>45714.843958333338</v>
      </c>
      <c r="D902" t="s">
        <v>393</v>
      </c>
      <c r="E902" s="4">
        <v>2.1000000000000001E-2</v>
      </c>
      <c r="F902" s="4">
        <v>114.124</v>
      </c>
      <c r="G902" s="4">
        <v>114.145</v>
      </c>
      <c r="H902" s="5">
        <f>19 / 86400</f>
        <v>2.199074074074074E-4</v>
      </c>
      <c r="I902" t="s">
        <v>22</v>
      </c>
      <c r="J902" t="s">
        <v>102</v>
      </c>
      <c r="K902" s="5">
        <f>24 / 86400</f>
        <v>2.7777777777777778E-4</v>
      </c>
      <c r="L902" s="5">
        <f>90 / 86400</f>
        <v>1.0416666666666667E-3</v>
      </c>
    </row>
    <row r="903" spans="1:12" x14ac:dyDescent="0.25">
      <c r="A903" s="3">
        <v>45714.845000000001</v>
      </c>
      <c r="B903" t="s">
        <v>393</v>
      </c>
      <c r="C903" s="3">
        <v>45714.845902777779</v>
      </c>
      <c r="D903" t="s">
        <v>393</v>
      </c>
      <c r="E903" s="4">
        <v>6.0000000000000001E-3</v>
      </c>
      <c r="F903" s="4">
        <v>114.145</v>
      </c>
      <c r="G903" s="4">
        <v>114.151</v>
      </c>
      <c r="H903" s="5">
        <f>39 / 86400</f>
        <v>4.5138888888888887E-4</v>
      </c>
      <c r="I903" t="s">
        <v>78</v>
      </c>
      <c r="J903" t="s">
        <v>22</v>
      </c>
      <c r="K903" s="5">
        <f>77 / 86400</f>
        <v>8.9120370370370373E-4</v>
      </c>
      <c r="L903" s="5">
        <f>2 / 86400</f>
        <v>2.3148148148148147E-5</v>
      </c>
    </row>
    <row r="904" spans="1:12" x14ac:dyDescent="0.25">
      <c r="A904" s="3">
        <v>45714.845925925925</v>
      </c>
      <c r="B904" t="s">
        <v>393</v>
      </c>
      <c r="C904" s="3">
        <v>45714.99998842593</v>
      </c>
      <c r="D904" t="s">
        <v>74</v>
      </c>
      <c r="E904" s="4">
        <v>69.573999999999998</v>
      </c>
      <c r="F904" s="4">
        <v>114.151</v>
      </c>
      <c r="G904" s="4">
        <v>183.72499999999999</v>
      </c>
      <c r="H904" s="5">
        <f>4499 / 86400</f>
        <v>5.2071759259259262E-2</v>
      </c>
      <c r="I904" t="s">
        <v>45</v>
      </c>
      <c r="J904" t="s">
        <v>25</v>
      </c>
      <c r="K904" s="5">
        <f>13311 / 86400</f>
        <v>0.15406249999999999</v>
      </c>
      <c r="L904" s="5">
        <f>0 / 86400</f>
        <v>0</v>
      </c>
    </row>
    <row r="905" spans="1:12" x14ac:dyDescent="0.25">
      <c r="A905" s="12"/>
      <c r="B905" s="12"/>
      <c r="C905" s="12"/>
      <c r="D905" s="12"/>
      <c r="E905" s="12"/>
      <c r="F905" s="12"/>
      <c r="G905" s="12"/>
      <c r="H905" s="12"/>
      <c r="I905" s="12"/>
      <c r="J905" s="12"/>
    </row>
    <row r="906" spans="1:12" x14ac:dyDescent="0.25">
      <c r="A906" s="12"/>
      <c r="B906" s="12"/>
      <c r="C906" s="12"/>
      <c r="D906" s="12"/>
      <c r="E906" s="12"/>
      <c r="F906" s="12"/>
      <c r="G906" s="12"/>
      <c r="H906" s="12"/>
      <c r="I906" s="12"/>
      <c r="J906" s="12"/>
    </row>
    <row r="907" spans="1:12" s="10" customFormat="1" ht="20.100000000000001" customHeight="1" x14ac:dyDescent="0.35">
      <c r="A907" s="15" t="s">
        <v>494</v>
      </c>
      <c r="B907" s="15"/>
      <c r="C907" s="15"/>
      <c r="D907" s="15"/>
      <c r="E907" s="15"/>
      <c r="F907" s="15"/>
      <c r="G907" s="15"/>
      <c r="H907" s="15"/>
      <c r="I907" s="15"/>
      <c r="J907" s="15"/>
    </row>
    <row r="908" spans="1:12" x14ac:dyDescent="0.25">
      <c r="A908" s="12"/>
      <c r="B908" s="12"/>
      <c r="C908" s="12"/>
      <c r="D908" s="12"/>
      <c r="E908" s="12"/>
      <c r="F908" s="12"/>
      <c r="G908" s="12"/>
      <c r="H908" s="12"/>
      <c r="I908" s="12"/>
      <c r="J908" s="12"/>
    </row>
    <row r="909" spans="1:12" ht="30" x14ac:dyDescent="0.25">
      <c r="A909" s="2" t="s">
        <v>6</v>
      </c>
      <c r="B909" s="2" t="s">
        <v>7</v>
      </c>
      <c r="C909" s="2" t="s">
        <v>8</v>
      </c>
      <c r="D909" s="2" t="s">
        <v>9</v>
      </c>
      <c r="E909" s="2" t="s">
        <v>10</v>
      </c>
      <c r="F909" s="2" t="s">
        <v>11</v>
      </c>
      <c r="G909" s="2" t="s">
        <v>12</v>
      </c>
      <c r="H909" s="2" t="s">
        <v>13</v>
      </c>
      <c r="I909" s="2" t="s">
        <v>14</v>
      </c>
      <c r="J909" s="2" t="s">
        <v>15</v>
      </c>
      <c r="K909" s="2" t="s">
        <v>16</v>
      </c>
      <c r="L909" s="2" t="s">
        <v>17</v>
      </c>
    </row>
    <row r="910" spans="1:12" x14ac:dyDescent="0.25">
      <c r="A910" s="3">
        <v>45714</v>
      </c>
      <c r="B910" t="s">
        <v>76</v>
      </c>
      <c r="C910" s="3">
        <v>45714.033402777779</v>
      </c>
      <c r="D910" t="s">
        <v>81</v>
      </c>
      <c r="E910" s="4">
        <v>18.253</v>
      </c>
      <c r="F910" s="4">
        <v>531463.47</v>
      </c>
      <c r="G910" s="4">
        <v>531481.723</v>
      </c>
      <c r="H910" s="5">
        <f>660 / 86400</f>
        <v>7.6388888888888886E-3</v>
      </c>
      <c r="I910" t="s">
        <v>30</v>
      </c>
      <c r="J910" t="s">
        <v>134</v>
      </c>
      <c r="K910" s="5">
        <f>2886 / 86400</f>
        <v>3.3402777777777781E-2</v>
      </c>
      <c r="L910" s="5">
        <f>570 / 86400</f>
        <v>6.5972222222222222E-3</v>
      </c>
    </row>
    <row r="911" spans="1:12" x14ac:dyDescent="0.25">
      <c r="A911" s="3">
        <v>45714.04</v>
      </c>
      <c r="B911" t="s">
        <v>81</v>
      </c>
      <c r="C911" s="3">
        <v>45714.040266203709</v>
      </c>
      <c r="D911" t="s">
        <v>81</v>
      </c>
      <c r="E911" s="4">
        <v>4.2000000000000003E-2</v>
      </c>
      <c r="F911" s="4">
        <v>531481.723</v>
      </c>
      <c r="G911" s="4">
        <v>531481.76500000001</v>
      </c>
      <c r="H911" s="5">
        <f>0 / 86400</f>
        <v>0</v>
      </c>
      <c r="I911" t="s">
        <v>132</v>
      </c>
      <c r="J911" t="s">
        <v>147</v>
      </c>
      <c r="K911" s="5">
        <f>23 / 86400</f>
        <v>2.6620370370370372E-4</v>
      </c>
      <c r="L911" s="5">
        <f>1387 / 86400</f>
        <v>1.6053240740740739E-2</v>
      </c>
    </row>
    <row r="912" spans="1:12" x14ac:dyDescent="0.25">
      <c r="A912" s="3">
        <v>45714.05631944444</v>
      </c>
      <c r="B912" t="s">
        <v>81</v>
      </c>
      <c r="C912" s="3">
        <v>45714.075428240743</v>
      </c>
      <c r="D912" t="s">
        <v>435</v>
      </c>
      <c r="E912" s="4">
        <v>2.9320000000596047</v>
      </c>
      <c r="F912" s="4">
        <v>531481.76500000001</v>
      </c>
      <c r="G912" s="4">
        <v>531484.69700000004</v>
      </c>
      <c r="H912" s="5">
        <f>1099 / 86400</f>
        <v>1.2719907407407407E-2</v>
      </c>
      <c r="I912" t="s">
        <v>184</v>
      </c>
      <c r="J912" t="s">
        <v>135</v>
      </c>
      <c r="K912" s="5">
        <f>1650 / 86400</f>
        <v>1.9097222222222224E-2</v>
      </c>
      <c r="L912" s="5">
        <f>2107 / 86400</f>
        <v>2.4386574074074074E-2</v>
      </c>
    </row>
    <row r="913" spans="1:12" x14ac:dyDescent="0.25">
      <c r="A913" s="3">
        <v>45714.099814814814</v>
      </c>
      <c r="B913" t="s">
        <v>435</v>
      </c>
      <c r="C913" s="3">
        <v>45714.101481481484</v>
      </c>
      <c r="D913" t="s">
        <v>436</v>
      </c>
      <c r="E913" s="4">
        <v>0.27999999988079072</v>
      </c>
      <c r="F913" s="4">
        <v>531484.69700000004</v>
      </c>
      <c r="G913" s="4">
        <v>531484.97699999996</v>
      </c>
      <c r="H913" s="5">
        <f>59 / 86400</f>
        <v>6.8287037037037036E-4</v>
      </c>
      <c r="I913" t="s">
        <v>37</v>
      </c>
      <c r="J913" t="s">
        <v>147</v>
      </c>
      <c r="K913" s="5">
        <f>143 / 86400</f>
        <v>1.6550925925925926E-3</v>
      </c>
      <c r="L913" s="5">
        <f>309 / 86400</f>
        <v>3.5763888888888889E-3</v>
      </c>
    </row>
    <row r="914" spans="1:12" x14ac:dyDescent="0.25">
      <c r="A914" s="3">
        <v>45714.105057870373</v>
      </c>
      <c r="B914" t="s">
        <v>436</v>
      </c>
      <c r="C914" s="3">
        <v>45714.114756944444</v>
      </c>
      <c r="D914" t="s">
        <v>426</v>
      </c>
      <c r="E914" s="4">
        <v>5.9390000000000001</v>
      </c>
      <c r="F914" s="4">
        <v>531484.97699999996</v>
      </c>
      <c r="G914" s="4">
        <v>531490.91599999997</v>
      </c>
      <c r="H914" s="5">
        <f>139 / 86400</f>
        <v>1.6087962962962963E-3</v>
      </c>
      <c r="I914" t="s">
        <v>314</v>
      </c>
      <c r="J914" t="s">
        <v>170</v>
      </c>
      <c r="K914" s="5">
        <f>838 / 86400</f>
        <v>9.6990740740740735E-3</v>
      </c>
      <c r="L914" s="5">
        <f>5092 / 86400</f>
        <v>5.8935185185185188E-2</v>
      </c>
    </row>
    <row r="915" spans="1:12" x14ac:dyDescent="0.25">
      <c r="A915" s="3">
        <v>45714.173692129625</v>
      </c>
      <c r="B915" t="s">
        <v>426</v>
      </c>
      <c r="C915" s="3">
        <v>45714.178622685184</v>
      </c>
      <c r="D915" t="s">
        <v>425</v>
      </c>
      <c r="E915" s="4">
        <v>0.877</v>
      </c>
      <c r="F915" s="4">
        <v>531490.91599999997</v>
      </c>
      <c r="G915" s="4">
        <v>531491.79299999995</v>
      </c>
      <c r="H915" s="5">
        <f>160 / 86400</f>
        <v>1.8518518518518519E-3</v>
      </c>
      <c r="I915" t="s">
        <v>46</v>
      </c>
      <c r="J915" t="s">
        <v>147</v>
      </c>
      <c r="K915" s="5">
        <f>425 / 86400</f>
        <v>4.9189814814814816E-3</v>
      </c>
      <c r="L915" s="5">
        <f>628 / 86400</f>
        <v>7.2685185185185188E-3</v>
      </c>
    </row>
    <row r="916" spans="1:12" x14ac:dyDescent="0.25">
      <c r="A916" s="3">
        <v>45714.185891203699</v>
      </c>
      <c r="B916" t="s">
        <v>425</v>
      </c>
      <c r="C916" s="3">
        <v>45714.368634259255</v>
      </c>
      <c r="D916" t="s">
        <v>100</v>
      </c>
      <c r="E916" s="4">
        <v>83.522000000000006</v>
      </c>
      <c r="F916" s="4">
        <v>531491.79299999995</v>
      </c>
      <c r="G916" s="4">
        <v>531575.31499999994</v>
      </c>
      <c r="H916" s="5">
        <f>5241 / 86400</f>
        <v>6.0659722222222219E-2</v>
      </c>
      <c r="I916" t="s">
        <v>30</v>
      </c>
      <c r="J916" t="s">
        <v>25</v>
      </c>
      <c r="K916" s="5">
        <f>15789 / 86400</f>
        <v>0.18274305555555556</v>
      </c>
      <c r="L916" s="5">
        <f>383 / 86400</f>
        <v>4.43287037037037E-3</v>
      </c>
    </row>
    <row r="917" spans="1:12" x14ac:dyDescent="0.25">
      <c r="A917" s="3">
        <v>45714.373067129629</v>
      </c>
      <c r="B917" t="s">
        <v>100</v>
      </c>
      <c r="C917" s="3">
        <v>45714.384895833333</v>
      </c>
      <c r="D917" t="s">
        <v>100</v>
      </c>
      <c r="E917" s="4">
        <v>0.24900000005960465</v>
      </c>
      <c r="F917" s="4">
        <v>531575.31499999994</v>
      </c>
      <c r="G917" s="4">
        <v>531575.56400000001</v>
      </c>
      <c r="H917" s="5">
        <f>920 / 86400</f>
        <v>1.0648148148148148E-2</v>
      </c>
      <c r="I917" t="s">
        <v>46</v>
      </c>
      <c r="J917" t="s">
        <v>78</v>
      </c>
      <c r="K917" s="5">
        <f>1021 / 86400</f>
        <v>1.1817129629629629E-2</v>
      </c>
      <c r="L917" s="5">
        <f>151 / 86400</f>
        <v>1.7476851851851852E-3</v>
      </c>
    </row>
    <row r="918" spans="1:12" x14ac:dyDescent="0.25">
      <c r="A918" s="3">
        <v>45714.386643518519</v>
      </c>
      <c r="B918" t="s">
        <v>100</v>
      </c>
      <c r="C918" s="3">
        <v>45714.398194444446</v>
      </c>
      <c r="D918" t="s">
        <v>100</v>
      </c>
      <c r="E918" s="4">
        <v>0.17899999999999999</v>
      </c>
      <c r="F918" s="4">
        <v>531575.56400000001</v>
      </c>
      <c r="G918" s="4">
        <v>531575.74300000002</v>
      </c>
      <c r="H918" s="5">
        <f>880 / 86400</f>
        <v>1.0185185185185186E-2</v>
      </c>
      <c r="I918" t="s">
        <v>52</v>
      </c>
      <c r="J918" t="s">
        <v>78</v>
      </c>
      <c r="K918" s="5">
        <f>997 / 86400</f>
        <v>1.1539351851851851E-2</v>
      </c>
      <c r="L918" s="5">
        <f>1099 / 86400</f>
        <v>1.2719907407407407E-2</v>
      </c>
    </row>
    <row r="919" spans="1:12" x14ac:dyDescent="0.25">
      <c r="A919" s="3">
        <v>45714.410914351851</v>
      </c>
      <c r="B919" t="s">
        <v>100</v>
      </c>
      <c r="C919" s="3">
        <v>45714.414513888885</v>
      </c>
      <c r="D919" t="s">
        <v>125</v>
      </c>
      <c r="E919" s="4">
        <v>1.357</v>
      </c>
      <c r="F919" s="4">
        <v>531575.74300000002</v>
      </c>
      <c r="G919" s="4">
        <v>531577.1</v>
      </c>
      <c r="H919" s="5">
        <f>20 / 86400</f>
        <v>2.3148148148148149E-4</v>
      </c>
      <c r="I919" t="s">
        <v>174</v>
      </c>
      <c r="J919" t="s">
        <v>28</v>
      </c>
      <c r="K919" s="5">
        <f>311 / 86400</f>
        <v>3.5995370370370369E-3</v>
      </c>
      <c r="L919" s="5">
        <f>1649 / 86400</f>
        <v>1.9085648148148147E-2</v>
      </c>
    </row>
    <row r="920" spans="1:12" x14ac:dyDescent="0.25">
      <c r="A920" s="3">
        <v>45714.433599537035</v>
      </c>
      <c r="B920" t="s">
        <v>125</v>
      </c>
      <c r="C920" s="3">
        <v>45714.43787037037</v>
      </c>
      <c r="D920" t="s">
        <v>163</v>
      </c>
      <c r="E920" s="4">
        <v>1.165</v>
      </c>
      <c r="F920" s="4">
        <v>531577.1</v>
      </c>
      <c r="G920" s="4">
        <v>531578.26500000001</v>
      </c>
      <c r="H920" s="5">
        <f>60 / 86400</f>
        <v>6.9444444444444447E-4</v>
      </c>
      <c r="I920" t="s">
        <v>37</v>
      </c>
      <c r="J920" t="s">
        <v>31</v>
      </c>
      <c r="K920" s="5">
        <f>369 / 86400</f>
        <v>4.2708333333333331E-3</v>
      </c>
      <c r="L920" s="5">
        <f>1519 / 86400</f>
        <v>1.758101851851852E-2</v>
      </c>
    </row>
    <row r="921" spans="1:12" x14ac:dyDescent="0.25">
      <c r="A921" s="3">
        <v>45714.455451388887</v>
      </c>
      <c r="B921" t="s">
        <v>163</v>
      </c>
      <c r="C921" s="3">
        <v>45714.568518518514</v>
      </c>
      <c r="D921" t="s">
        <v>237</v>
      </c>
      <c r="E921" s="4">
        <v>49.682000000059602</v>
      </c>
      <c r="F921" s="4">
        <v>531578.26500000001</v>
      </c>
      <c r="G921" s="4">
        <v>531627.94700000004</v>
      </c>
      <c r="H921" s="5">
        <f>3658 / 86400</f>
        <v>4.2337962962962966E-2</v>
      </c>
      <c r="I921" t="s">
        <v>30</v>
      </c>
      <c r="J921" t="s">
        <v>20</v>
      </c>
      <c r="K921" s="5">
        <f>9769 / 86400</f>
        <v>0.11306712962962963</v>
      </c>
      <c r="L921" s="5">
        <f>140 / 86400</f>
        <v>1.6203703703703703E-3</v>
      </c>
    </row>
    <row r="922" spans="1:12" x14ac:dyDescent="0.25">
      <c r="A922" s="3">
        <v>45714.570138888885</v>
      </c>
      <c r="B922" t="s">
        <v>237</v>
      </c>
      <c r="C922" s="3">
        <v>45714.701157407406</v>
      </c>
      <c r="D922" t="s">
        <v>80</v>
      </c>
      <c r="E922" s="4">
        <v>49.607999999999997</v>
      </c>
      <c r="F922" s="4">
        <v>531627.94700000004</v>
      </c>
      <c r="G922" s="4">
        <v>531677.55500000005</v>
      </c>
      <c r="H922" s="5">
        <f>4244 / 86400</f>
        <v>4.912037037037037E-2</v>
      </c>
      <c r="I922" t="s">
        <v>143</v>
      </c>
      <c r="J922" t="s">
        <v>28</v>
      </c>
      <c r="K922" s="5">
        <f>11320 / 86400</f>
        <v>0.13101851851851851</v>
      </c>
      <c r="L922" s="5">
        <f>470 / 86400</f>
        <v>5.4398148148148149E-3</v>
      </c>
    </row>
    <row r="923" spans="1:12" x14ac:dyDescent="0.25">
      <c r="A923" s="3">
        <v>45714.706597222219</v>
      </c>
      <c r="B923" t="s">
        <v>80</v>
      </c>
      <c r="C923" s="3">
        <v>45714.706886574073</v>
      </c>
      <c r="D923" t="s">
        <v>80</v>
      </c>
      <c r="E923" s="4">
        <v>9.9999998807907102E-3</v>
      </c>
      <c r="F923" s="4">
        <v>531677.55500000005</v>
      </c>
      <c r="G923" s="4">
        <v>531677.56499999994</v>
      </c>
      <c r="H923" s="5">
        <f>0 / 86400</f>
        <v>0</v>
      </c>
      <c r="I923" t="s">
        <v>135</v>
      </c>
      <c r="J923" t="s">
        <v>78</v>
      </c>
      <c r="K923" s="5">
        <f>25 / 86400</f>
        <v>2.8935185185185184E-4</v>
      </c>
      <c r="L923" s="5">
        <f>603 / 86400</f>
        <v>6.9791666666666665E-3</v>
      </c>
    </row>
    <row r="924" spans="1:12" x14ac:dyDescent="0.25">
      <c r="A924" s="3">
        <v>45714.713865740741</v>
      </c>
      <c r="B924" t="s">
        <v>80</v>
      </c>
      <c r="C924" s="3">
        <v>45714.716192129628</v>
      </c>
      <c r="D924" t="s">
        <v>80</v>
      </c>
      <c r="E924" s="4">
        <v>0.39800000005960462</v>
      </c>
      <c r="F924" s="4">
        <v>531677.56499999994</v>
      </c>
      <c r="G924" s="4">
        <v>531677.96299999999</v>
      </c>
      <c r="H924" s="5">
        <f>40 / 86400</f>
        <v>4.6296296296296298E-4</v>
      </c>
      <c r="I924" t="s">
        <v>61</v>
      </c>
      <c r="J924" t="s">
        <v>147</v>
      </c>
      <c r="K924" s="5">
        <f>200 / 86400</f>
        <v>2.3148148148148147E-3</v>
      </c>
      <c r="L924" s="5">
        <f>715 / 86400</f>
        <v>8.2754629629629636E-3</v>
      </c>
    </row>
    <row r="925" spans="1:12" x14ac:dyDescent="0.25">
      <c r="A925" s="3">
        <v>45714.72446759259</v>
      </c>
      <c r="B925" t="s">
        <v>80</v>
      </c>
      <c r="C925" s="3">
        <v>45714.726041666669</v>
      </c>
      <c r="D925" t="s">
        <v>80</v>
      </c>
      <c r="E925" s="4">
        <v>5.3999999999999999E-2</v>
      </c>
      <c r="F925" s="4">
        <v>531677.96299999999</v>
      </c>
      <c r="G925" s="4">
        <v>531678.01699999999</v>
      </c>
      <c r="H925" s="5">
        <f>99 / 86400</f>
        <v>1.1458333333333333E-3</v>
      </c>
      <c r="I925" t="s">
        <v>147</v>
      </c>
      <c r="J925" t="s">
        <v>78</v>
      </c>
      <c r="K925" s="5">
        <f>136 / 86400</f>
        <v>1.5740740740740741E-3</v>
      </c>
      <c r="L925" s="5">
        <f>2313 / 86400</f>
        <v>2.6770833333333334E-2</v>
      </c>
    </row>
    <row r="926" spans="1:12" x14ac:dyDescent="0.25">
      <c r="A926" s="3">
        <v>45714.752812499995</v>
      </c>
      <c r="B926" t="s">
        <v>160</v>
      </c>
      <c r="C926" s="3">
        <v>45714.791886574079</v>
      </c>
      <c r="D926" t="s">
        <v>109</v>
      </c>
      <c r="E926" s="4">
        <v>21.774999999999999</v>
      </c>
      <c r="F926" s="4">
        <v>531678.01699999999</v>
      </c>
      <c r="G926" s="4">
        <v>531699.79200000002</v>
      </c>
      <c r="H926" s="5">
        <f>778 / 86400</f>
        <v>9.0046296296296298E-3</v>
      </c>
      <c r="I926" t="s">
        <v>115</v>
      </c>
      <c r="J926" t="s">
        <v>134</v>
      </c>
      <c r="K926" s="5">
        <f>3375 / 86400</f>
        <v>3.90625E-2</v>
      </c>
      <c r="L926" s="5">
        <f>47 / 86400</f>
        <v>5.4398148148148144E-4</v>
      </c>
    </row>
    <row r="927" spans="1:12" x14ac:dyDescent="0.25">
      <c r="A927" s="3">
        <v>45714.792430555557</v>
      </c>
      <c r="B927" t="s">
        <v>109</v>
      </c>
      <c r="C927" s="3">
        <v>45714.856793981482</v>
      </c>
      <c r="D927" t="s">
        <v>324</v>
      </c>
      <c r="E927" s="4">
        <v>32.713000000000001</v>
      </c>
      <c r="F927" s="4">
        <v>531699.79200000002</v>
      </c>
      <c r="G927" s="4">
        <v>531732.505</v>
      </c>
      <c r="H927" s="5">
        <f>1718 / 86400</f>
        <v>1.9884259259259258E-2</v>
      </c>
      <c r="I927" t="s">
        <v>57</v>
      </c>
      <c r="J927" t="s">
        <v>151</v>
      </c>
      <c r="K927" s="5">
        <f>5561 / 86400</f>
        <v>6.4363425925925921E-2</v>
      </c>
      <c r="L927" s="5">
        <f>287 / 86400</f>
        <v>3.3217592592592591E-3</v>
      </c>
    </row>
    <row r="928" spans="1:12" x14ac:dyDescent="0.25">
      <c r="A928" s="3">
        <v>45714.860115740739</v>
      </c>
      <c r="B928" t="s">
        <v>324</v>
      </c>
      <c r="C928" s="3">
        <v>45714.927476851852</v>
      </c>
      <c r="D928" t="s">
        <v>374</v>
      </c>
      <c r="E928" s="4">
        <v>35.863</v>
      </c>
      <c r="F928" s="4">
        <v>531732.505</v>
      </c>
      <c r="G928" s="4">
        <v>531768.36800000002</v>
      </c>
      <c r="H928" s="5">
        <f>2180 / 86400</f>
        <v>2.5231481481481483E-2</v>
      </c>
      <c r="I928" t="s">
        <v>63</v>
      </c>
      <c r="J928" t="s">
        <v>140</v>
      </c>
      <c r="K928" s="5">
        <f>5819 / 86400</f>
        <v>6.7349537037037041E-2</v>
      </c>
      <c r="L928" s="5">
        <f>518 / 86400</f>
        <v>5.9953703703703705E-3</v>
      </c>
    </row>
    <row r="929" spans="1:12" x14ac:dyDescent="0.25">
      <c r="A929" s="3">
        <v>45714.933472222227</v>
      </c>
      <c r="B929" t="s">
        <v>374</v>
      </c>
      <c r="C929" s="3">
        <v>45714.990254629629</v>
      </c>
      <c r="D929" t="s">
        <v>177</v>
      </c>
      <c r="E929" s="4">
        <v>27.603999999940395</v>
      </c>
      <c r="F929" s="4">
        <v>531768.36800000002</v>
      </c>
      <c r="G929" s="4">
        <v>531795.97199999995</v>
      </c>
      <c r="H929" s="5">
        <f>1788 / 86400</f>
        <v>2.0694444444444446E-2</v>
      </c>
      <c r="I929" t="s">
        <v>30</v>
      </c>
      <c r="J929" t="s">
        <v>64</v>
      </c>
      <c r="K929" s="5">
        <f>4906 / 86400</f>
        <v>5.6782407407407406E-2</v>
      </c>
      <c r="L929" s="5">
        <f>203 / 86400</f>
        <v>2.3495370370370371E-3</v>
      </c>
    </row>
    <row r="930" spans="1:12" x14ac:dyDescent="0.25">
      <c r="A930" s="3">
        <v>45714.992604166662</v>
      </c>
      <c r="B930" t="s">
        <v>177</v>
      </c>
      <c r="C930" s="3">
        <v>45714.995937500003</v>
      </c>
      <c r="D930" t="s">
        <v>59</v>
      </c>
      <c r="E930" s="4">
        <v>2.2590000000596047</v>
      </c>
      <c r="F930" s="4">
        <v>531795.97199999995</v>
      </c>
      <c r="G930" s="4">
        <v>531798.23100000003</v>
      </c>
      <c r="H930" s="5">
        <f>20 / 86400</f>
        <v>2.3148148148148149E-4</v>
      </c>
      <c r="I930" t="s">
        <v>180</v>
      </c>
      <c r="J930" t="s">
        <v>136</v>
      </c>
      <c r="K930" s="5">
        <f>288 / 86400</f>
        <v>3.3333333333333335E-3</v>
      </c>
      <c r="L930" s="5">
        <f>350 / 86400</f>
        <v>4.0509259259259257E-3</v>
      </c>
    </row>
    <row r="931" spans="1:12" x14ac:dyDescent="0.25">
      <c r="A931" s="12"/>
      <c r="B931" s="12"/>
      <c r="C931" s="12"/>
      <c r="D931" s="12"/>
      <c r="E931" s="12"/>
      <c r="F931" s="12"/>
      <c r="G931" s="12"/>
      <c r="H931" s="12"/>
      <c r="I931" s="12"/>
      <c r="J931" s="12"/>
    </row>
    <row r="932" spans="1:12" x14ac:dyDescent="0.25">
      <c r="A932" s="12"/>
      <c r="B932" s="12"/>
      <c r="C932" s="12"/>
      <c r="D932" s="12"/>
      <c r="E932" s="12"/>
      <c r="F932" s="12"/>
      <c r="G932" s="12"/>
      <c r="H932" s="12"/>
      <c r="I932" s="12"/>
      <c r="J932" s="12"/>
    </row>
    <row r="933" spans="1:12" s="10" customFormat="1" ht="20.100000000000001" customHeight="1" x14ac:dyDescent="0.35">
      <c r="A933" s="15" t="s">
        <v>495</v>
      </c>
      <c r="B933" s="15"/>
      <c r="C933" s="15"/>
      <c r="D933" s="15"/>
      <c r="E933" s="15"/>
      <c r="F933" s="15"/>
      <c r="G933" s="15"/>
      <c r="H933" s="15"/>
      <c r="I933" s="15"/>
      <c r="J933" s="15"/>
    </row>
    <row r="934" spans="1:12" x14ac:dyDescent="0.25">
      <c r="A934" s="12"/>
      <c r="B934" s="12"/>
      <c r="C934" s="12"/>
      <c r="D934" s="12"/>
      <c r="E934" s="12"/>
      <c r="F934" s="12"/>
      <c r="G934" s="12"/>
      <c r="H934" s="12"/>
      <c r="I934" s="12"/>
      <c r="J934" s="12"/>
    </row>
    <row r="935" spans="1:12" ht="30" x14ac:dyDescent="0.25">
      <c r="A935" s="2" t="s">
        <v>6</v>
      </c>
      <c r="B935" s="2" t="s">
        <v>7</v>
      </c>
      <c r="C935" s="2" t="s">
        <v>8</v>
      </c>
      <c r="D935" s="2" t="s">
        <v>9</v>
      </c>
      <c r="E935" s="2" t="s">
        <v>10</v>
      </c>
      <c r="F935" s="2" t="s">
        <v>11</v>
      </c>
      <c r="G935" s="2" t="s">
        <v>12</v>
      </c>
      <c r="H935" s="2" t="s">
        <v>13</v>
      </c>
      <c r="I935" s="2" t="s">
        <v>14</v>
      </c>
      <c r="J935" s="2" t="s">
        <v>15</v>
      </c>
      <c r="K935" s="2" t="s">
        <v>16</v>
      </c>
      <c r="L935" s="2" t="s">
        <v>17</v>
      </c>
    </row>
    <row r="936" spans="1:12" x14ac:dyDescent="0.25">
      <c r="A936" s="3">
        <v>45714.287962962961</v>
      </c>
      <c r="B936" t="s">
        <v>26</v>
      </c>
      <c r="C936" s="3">
        <v>45714.289247685185</v>
      </c>
      <c r="D936" t="s">
        <v>26</v>
      </c>
      <c r="E936" s="4">
        <v>3.4000000000000002E-2</v>
      </c>
      <c r="F936" s="4">
        <v>570317.87399999995</v>
      </c>
      <c r="G936" s="4">
        <v>570317.90800000005</v>
      </c>
      <c r="H936" s="5">
        <f>39 / 86400</f>
        <v>4.5138888888888887E-4</v>
      </c>
      <c r="I936" t="s">
        <v>77</v>
      </c>
      <c r="J936" t="s">
        <v>78</v>
      </c>
      <c r="K936" s="5">
        <f>110 / 86400</f>
        <v>1.2731481481481483E-3</v>
      </c>
      <c r="L936" s="5">
        <f>27999 / 86400</f>
        <v>0.32406249999999998</v>
      </c>
    </row>
    <row r="937" spans="1:12" x14ac:dyDescent="0.25">
      <c r="A937" s="3">
        <v>45714.32534722222</v>
      </c>
      <c r="B937" t="s">
        <v>26</v>
      </c>
      <c r="C937" s="3">
        <v>45714.326273148152</v>
      </c>
      <c r="D937" t="s">
        <v>26</v>
      </c>
      <c r="E937" s="4">
        <v>2.3E-2</v>
      </c>
      <c r="F937" s="4">
        <v>570317.90800000005</v>
      </c>
      <c r="G937" s="4">
        <v>570317.93099999998</v>
      </c>
      <c r="H937" s="5">
        <f>59 / 86400</f>
        <v>6.8287037037037036E-4</v>
      </c>
      <c r="I937" t="s">
        <v>77</v>
      </c>
      <c r="J937" t="s">
        <v>78</v>
      </c>
      <c r="K937" s="5">
        <f>80 / 86400</f>
        <v>9.2592592592592596E-4</v>
      </c>
      <c r="L937" s="5">
        <f>39378 / 86400</f>
        <v>0.45576388888888891</v>
      </c>
    </row>
    <row r="938" spans="1:12" x14ac:dyDescent="0.25">
      <c r="A938" s="3">
        <v>45714.782037037032</v>
      </c>
      <c r="B938" t="s">
        <v>26</v>
      </c>
      <c r="C938" s="3">
        <v>45714.782534722224</v>
      </c>
      <c r="D938" t="s">
        <v>26</v>
      </c>
      <c r="E938" s="4">
        <v>0</v>
      </c>
      <c r="F938" s="4">
        <v>570317.93099999998</v>
      </c>
      <c r="G938" s="4">
        <v>570317.93099999998</v>
      </c>
      <c r="H938" s="5">
        <f>39 / 86400</f>
        <v>4.5138888888888887E-4</v>
      </c>
      <c r="I938" t="s">
        <v>22</v>
      </c>
      <c r="J938" t="s">
        <v>22</v>
      </c>
      <c r="K938" s="5">
        <f>43 / 86400</f>
        <v>4.9768518518518521E-4</v>
      </c>
      <c r="L938" s="5">
        <f>18788 / 86400</f>
        <v>0.2174537037037037</v>
      </c>
    </row>
    <row r="939" spans="1:12" x14ac:dyDescent="0.25">
      <c r="A939" s="12"/>
      <c r="B939" s="12"/>
      <c r="C939" s="12"/>
      <c r="D939" s="12"/>
      <c r="E939" s="12"/>
      <c r="F939" s="12"/>
      <c r="G939" s="12"/>
      <c r="H939" s="12"/>
      <c r="I939" s="12"/>
      <c r="J939" s="12"/>
    </row>
    <row r="940" spans="1:12" x14ac:dyDescent="0.25">
      <c r="A940" s="12"/>
      <c r="B940" s="12"/>
      <c r="C940" s="12"/>
      <c r="D940" s="12"/>
      <c r="E940" s="12"/>
      <c r="F940" s="12"/>
      <c r="G940" s="12"/>
      <c r="H940" s="12"/>
      <c r="I940" s="12"/>
      <c r="J940" s="12"/>
    </row>
    <row r="941" spans="1:12" s="10" customFormat="1" ht="20.100000000000001" customHeight="1" x14ac:dyDescent="0.35">
      <c r="A941" s="15" t="s">
        <v>496</v>
      </c>
      <c r="B941" s="15"/>
      <c r="C941" s="15"/>
      <c r="D941" s="15"/>
      <c r="E941" s="15"/>
      <c r="F941" s="15"/>
      <c r="G941" s="15"/>
      <c r="H941" s="15"/>
      <c r="I941" s="15"/>
      <c r="J941" s="15"/>
    </row>
    <row r="942" spans="1:12" x14ac:dyDescent="0.25">
      <c r="A942" s="12"/>
      <c r="B942" s="12"/>
      <c r="C942" s="12"/>
      <c r="D942" s="12"/>
      <c r="E942" s="12"/>
      <c r="F942" s="12"/>
      <c r="G942" s="12"/>
      <c r="H942" s="12"/>
      <c r="I942" s="12"/>
      <c r="J942" s="12"/>
    </row>
    <row r="943" spans="1:12" ht="30" x14ac:dyDescent="0.25">
      <c r="A943" s="2" t="s">
        <v>6</v>
      </c>
      <c r="B943" s="2" t="s">
        <v>7</v>
      </c>
      <c r="C943" s="2" t="s">
        <v>8</v>
      </c>
      <c r="D943" s="2" t="s">
        <v>9</v>
      </c>
      <c r="E943" s="2" t="s">
        <v>10</v>
      </c>
      <c r="F943" s="2" t="s">
        <v>11</v>
      </c>
      <c r="G943" s="2" t="s">
        <v>12</v>
      </c>
      <c r="H943" s="2" t="s">
        <v>13</v>
      </c>
      <c r="I943" s="2" t="s">
        <v>14</v>
      </c>
      <c r="J943" s="2" t="s">
        <v>15</v>
      </c>
      <c r="K943" s="2" t="s">
        <v>16</v>
      </c>
      <c r="L943" s="2" t="s">
        <v>17</v>
      </c>
    </row>
    <row r="944" spans="1:12" x14ac:dyDescent="0.25">
      <c r="A944" s="3">
        <v>45714.22555555556</v>
      </c>
      <c r="B944" t="s">
        <v>79</v>
      </c>
      <c r="C944" s="3">
        <v>45714.229953703703</v>
      </c>
      <c r="D944" t="s">
        <v>366</v>
      </c>
      <c r="E944" s="4">
        <v>1.823</v>
      </c>
      <c r="F944" s="4">
        <v>437030.24300000002</v>
      </c>
      <c r="G944" s="4">
        <v>437032.06599999999</v>
      </c>
      <c r="H944" s="5">
        <f>39 / 86400</f>
        <v>4.5138888888888887E-4</v>
      </c>
      <c r="I944" t="s">
        <v>174</v>
      </c>
      <c r="J944" t="s">
        <v>61</v>
      </c>
      <c r="K944" s="5">
        <f>379 / 86400</f>
        <v>4.386574074074074E-3</v>
      </c>
      <c r="L944" s="5">
        <f>20228 / 86400</f>
        <v>0.23412037037037037</v>
      </c>
    </row>
    <row r="945" spans="1:12" x14ac:dyDescent="0.25">
      <c r="A945" s="3">
        <v>45714.238518518519</v>
      </c>
      <c r="B945" t="s">
        <v>366</v>
      </c>
      <c r="C945" s="3">
        <v>45714.314722222218</v>
      </c>
      <c r="D945" t="s">
        <v>163</v>
      </c>
      <c r="E945" s="4">
        <v>38.030999999999999</v>
      </c>
      <c r="F945" s="4">
        <v>437032.06599999999</v>
      </c>
      <c r="G945" s="4">
        <v>437070.09700000001</v>
      </c>
      <c r="H945" s="5">
        <f>1139 / 86400</f>
        <v>1.3182870370370371E-2</v>
      </c>
      <c r="I945" t="s">
        <v>150</v>
      </c>
      <c r="J945" t="s">
        <v>151</v>
      </c>
      <c r="K945" s="5">
        <f>6583 / 86400</f>
        <v>7.6192129629629624E-2</v>
      </c>
      <c r="L945" s="5">
        <f>1541 / 86400</f>
        <v>1.7835648148148149E-2</v>
      </c>
    </row>
    <row r="946" spans="1:12" x14ac:dyDescent="0.25">
      <c r="A946" s="3">
        <v>45714.332557870366</v>
      </c>
      <c r="B946" t="s">
        <v>163</v>
      </c>
      <c r="C946" s="3">
        <v>45714.334143518514</v>
      </c>
      <c r="D946" t="s">
        <v>133</v>
      </c>
      <c r="E946" s="4">
        <v>0.373</v>
      </c>
      <c r="F946" s="4">
        <v>437070.09700000001</v>
      </c>
      <c r="G946" s="4">
        <v>437070.47</v>
      </c>
      <c r="H946" s="5">
        <f>20 / 86400</f>
        <v>2.3148148148148149E-4</v>
      </c>
      <c r="I946" t="s">
        <v>140</v>
      </c>
      <c r="J946" t="s">
        <v>132</v>
      </c>
      <c r="K946" s="5">
        <f>136 / 86400</f>
        <v>1.5740740740740741E-3</v>
      </c>
      <c r="L946" s="5">
        <f>10 / 86400</f>
        <v>1.1574074074074075E-4</v>
      </c>
    </row>
    <row r="947" spans="1:12" x14ac:dyDescent="0.25">
      <c r="A947" s="3">
        <v>45714.33425925926</v>
      </c>
      <c r="B947" t="s">
        <v>133</v>
      </c>
      <c r="C947" s="3">
        <v>45714.334363425922</v>
      </c>
      <c r="D947" t="s">
        <v>133</v>
      </c>
      <c r="E947" s="4">
        <v>1E-3</v>
      </c>
      <c r="F947" s="4">
        <v>437070.47</v>
      </c>
      <c r="G947" s="4">
        <v>437070.47100000002</v>
      </c>
      <c r="H947" s="5">
        <f>0 / 86400</f>
        <v>0</v>
      </c>
      <c r="I947" t="s">
        <v>22</v>
      </c>
      <c r="J947" t="s">
        <v>22</v>
      </c>
      <c r="K947" s="5">
        <f>8 / 86400</f>
        <v>9.2592592592592588E-5</v>
      </c>
      <c r="L947" s="5">
        <f>3573 / 86400</f>
        <v>4.1354166666666664E-2</v>
      </c>
    </row>
    <row r="948" spans="1:12" x14ac:dyDescent="0.25">
      <c r="A948" s="3">
        <v>45714.375717592593</v>
      </c>
      <c r="B948" t="s">
        <v>133</v>
      </c>
      <c r="C948" s="3">
        <v>45714.630185185189</v>
      </c>
      <c r="D948" t="s">
        <v>162</v>
      </c>
      <c r="E948" s="4">
        <v>101.437</v>
      </c>
      <c r="F948" s="4">
        <v>437070.47100000002</v>
      </c>
      <c r="G948" s="4">
        <v>437171.908</v>
      </c>
      <c r="H948" s="5">
        <f>6900 / 86400</f>
        <v>7.9861111111111105E-2</v>
      </c>
      <c r="I948" t="s">
        <v>57</v>
      </c>
      <c r="J948" t="s">
        <v>61</v>
      </c>
      <c r="K948" s="5">
        <f>21985 / 86400</f>
        <v>0.25445601851851851</v>
      </c>
      <c r="L948" s="5">
        <f>4349 / 86400</f>
        <v>5.033564814814815E-2</v>
      </c>
    </row>
    <row r="949" spans="1:12" x14ac:dyDescent="0.25">
      <c r="A949" s="3">
        <v>45714.680520833332</v>
      </c>
      <c r="B949" t="s">
        <v>162</v>
      </c>
      <c r="C949" s="3">
        <v>45714.685810185183</v>
      </c>
      <c r="D949" t="s">
        <v>80</v>
      </c>
      <c r="E949" s="4">
        <v>1.27</v>
      </c>
      <c r="F949" s="4">
        <v>437171.908</v>
      </c>
      <c r="G949" s="4">
        <v>437173.17800000001</v>
      </c>
      <c r="H949" s="5">
        <f>80 / 86400</f>
        <v>9.2592592592592596E-4</v>
      </c>
      <c r="I949" t="s">
        <v>138</v>
      </c>
      <c r="J949" t="s">
        <v>132</v>
      </c>
      <c r="K949" s="5">
        <f>457 / 86400</f>
        <v>5.2893518518518515E-3</v>
      </c>
      <c r="L949" s="5">
        <f>536 / 86400</f>
        <v>6.2037037037037035E-3</v>
      </c>
    </row>
    <row r="950" spans="1:12" x14ac:dyDescent="0.25">
      <c r="A950" s="3">
        <v>45714.692013888889</v>
      </c>
      <c r="B950" t="s">
        <v>80</v>
      </c>
      <c r="C950" s="3">
        <v>45714.693773148145</v>
      </c>
      <c r="D950" t="s">
        <v>80</v>
      </c>
      <c r="E950" s="4">
        <v>0.01</v>
      </c>
      <c r="F950" s="4">
        <v>437173.17800000001</v>
      </c>
      <c r="G950" s="4">
        <v>437173.18800000002</v>
      </c>
      <c r="H950" s="5">
        <f>119 / 86400</f>
        <v>1.3773148148148147E-3</v>
      </c>
      <c r="I950" t="s">
        <v>32</v>
      </c>
      <c r="J950" t="s">
        <v>22</v>
      </c>
      <c r="K950" s="5">
        <f>151 / 86400</f>
        <v>1.7476851851851852E-3</v>
      </c>
      <c r="L950" s="5">
        <f>2306 / 86400</f>
        <v>2.6689814814814816E-2</v>
      </c>
    </row>
    <row r="951" spans="1:12" x14ac:dyDescent="0.25">
      <c r="A951" s="3">
        <v>45714.720462962963</v>
      </c>
      <c r="B951" t="s">
        <v>80</v>
      </c>
      <c r="C951" s="3">
        <v>45714.720914351856</v>
      </c>
      <c r="D951" t="s">
        <v>80</v>
      </c>
      <c r="E951" s="4">
        <v>1.6E-2</v>
      </c>
      <c r="F951" s="4">
        <v>437173.18800000002</v>
      </c>
      <c r="G951" s="4">
        <v>437173.20400000003</v>
      </c>
      <c r="H951" s="5">
        <f>19 / 86400</f>
        <v>2.199074074074074E-4</v>
      </c>
      <c r="I951" t="s">
        <v>135</v>
      </c>
      <c r="J951" t="s">
        <v>32</v>
      </c>
      <c r="K951" s="5">
        <f>38 / 86400</f>
        <v>4.3981481481481481E-4</v>
      </c>
      <c r="L951" s="5">
        <f>706 / 86400</f>
        <v>8.1712962962962963E-3</v>
      </c>
    </row>
    <row r="952" spans="1:12" x14ac:dyDescent="0.25">
      <c r="A952" s="3">
        <v>45714.729085648149</v>
      </c>
      <c r="B952" t="s">
        <v>80</v>
      </c>
      <c r="C952" s="3">
        <v>45714.729201388887</v>
      </c>
      <c r="D952" t="s">
        <v>80</v>
      </c>
      <c r="E952" s="4">
        <v>0</v>
      </c>
      <c r="F952" s="4">
        <v>437173.20400000003</v>
      </c>
      <c r="G952" s="4">
        <v>437173.20400000003</v>
      </c>
      <c r="H952" s="5">
        <f>0 / 86400</f>
        <v>0</v>
      </c>
      <c r="I952" t="s">
        <v>22</v>
      </c>
      <c r="J952" t="s">
        <v>22</v>
      </c>
      <c r="K952" s="5">
        <f>9 / 86400</f>
        <v>1.0416666666666667E-4</v>
      </c>
      <c r="L952" s="5">
        <f>39 / 86400</f>
        <v>4.5138888888888887E-4</v>
      </c>
    </row>
    <row r="953" spans="1:12" x14ac:dyDescent="0.25">
      <c r="A953" s="3">
        <v>45714.72965277778</v>
      </c>
      <c r="B953" t="s">
        <v>80</v>
      </c>
      <c r="C953" s="3">
        <v>45714.731678240743</v>
      </c>
      <c r="D953" t="s">
        <v>160</v>
      </c>
      <c r="E953" s="4">
        <v>4.2000000000000003E-2</v>
      </c>
      <c r="F953" s="4">
        <v>437173.20400000003</v>
      </c>
      <c r="G953" s="4">
        <v>437173.24599999998</v>
      </c>
      <c r="H953" s="5">
        <f>139 / 86400</f>
        <v>1.6087962962962963E-3</v>
      </c>
      <c r="I953" t="s">
        <v>157</v>
      </c>
      <c r="J953" t="s">
        <v>78</v>
      </c>
      <c r="K953" s="5">
        <f>174 / 86400</f>
        <v>2.0138888888888888E-3</v>
      </c>
      <c r="L953" s="5">
        <f>120 / 86400</f>
        <v>1.3888888888888889E-3</v>
      </c>
    </row>
    <row r="954" spans="1:12" x14ac:dyDescent="0.25">
      <c r="A954" s="3">
        <v>45714.733067129629</v>
      </c>
      <c r="B954" t="s">
        <v>160</v>
      </c>
      <c r="C954" s="3">
        <v>45714.914027777777</v>
      </c>
      <c r="D954" t="s">
        <v>437</v>
      </c>
      <c r="E954" s="4">
        <v>71.960999999999999</v>
      </c>
      <c r="F954" s="4">
        <v>437173.24599999998</v>
      </c>
      <c r="G954" s="4">
        <v>437245.20699999999</v>
      </c>
      <c r="H954" s="5">
        <f>4858 / 86400</f>
        <v>5.6226851851851854E-2</v>
      </c>
      <c r="I954" t="s">
        <v>27</v>
      </c>
      <c r="J954" t="s">
        <v>61</v>
      </c>
      <c r="K954" s="5">
        <f>15634 / 86400</f>
        <v>0.18094907407407407</v>
      </c>
      <c r="L954" s="5">
        <f>415 / 86400</f>
        <v>4.8032407407407407E-3</v>
      </c>
    </row>
    <row r="955" spans="1:12" x14ac:dyDescent="0.25">
      <c r="A955" s="3">
        <v>45714.91883101852</v>
      </c>
      <c r="B955" t="s">
        <v>437</v>
      </c>
      <c r="C955" s="3">
        <v>45714.919085648144</v>
      </c>
      <c r="D955" t="s">
        <v>437</v>
      </c>
      <c r="E955" s="4">
        <v>2.1000000000000001E-2</v>
      </c>
      <c r="F955" s="4">
        <v>437245.20699999999</v>
      </c>
      <c r="G955" s="4">
        <v>437245.228</v>
      </c>
      <c r="H955" s="5">
        <f>0 / 86400</f>
        <v>0</v>
      </c>
      <c r="I955" t="s">
        <v>70</v>
      </c>
      <c r="J955" t="s">
        <v>102</v>
      </c>
      <c r="K955" s="5">
        <f>22 / 86400</f>
        <v>2.5462962962962961E-4</v>
      </c>
      <c r="L955" s="5">
        <f>489 / 86400</f>
        <v>5.6597222222222222E-3</v>
      </c>
    </row>
    <row r="956" spans="1:12" x14ac:dyDescent="0.25">
      <c r="A956" s="3">
        <v>45714.924745370372</v>
      </c>
      <c r="B956" t="s">
        <v>437</v>
      </c>
      <c r="C956" s="3">
        <v>45714.926655092597</v>
      </c>
      <c r="D956" t="s">
        <v>438</v>
      </c>
      <c r="E956" s="4">
        <v>0.251</v>
      </c>
      <c r="F956" s="4">
        <v>437245.228</v>
      </c>
      <c r="G956" s="4">
        <v>437245.47899999999</v>
      </c>
      <c r="H956" s="5">
        <f>59 / 86400</f>
        <v>6.8287037037037036E-4</v>
      </c>
      <c r="I956" t="s">
        <v>186</v>
      </c>
      <c r="J956" t="s">
        <v>77</v>
      </c>
      <c r="K956" s="5">
        <f>165 / 86400</f>
        <v>1.9097222222222222E-3</v>
      </c>
      <c r="L956" s="5">
        <f>995 / 86400</f>
        <v>1.1516203703703704E-2</v>
      </c>
    </row>
    <row r="957" spans="1:12" x14ac:dyDescent="0.25">
      <c r="A957" s="3">
        <v>45714.938171296293</v>
      </c>
      <c r="B957" t="s">
        <v>438</v>
      </c>
      <c r="C957" s="3">
        <v>45714.939305555556</v>
      </c>
      <c r="D957" t="s">
        <v>438</v>
      </c>
      <c r="E957" s="4">
        <v>0.26400000000000001</v>
      </c>
      <c r="F957" s="4">
        <v>437245.47899999999</v>
      </c>
      <c r="G957" s="4">
        <v>437245.74300000002</v>
      </c>
      <c r="H957" s="5">
        <f>20 / 86400</f>
        <v>2.3148148148148149E-4</v>
      </c>
      <c r="I957" t="s">
        <v>25</v>
      </c>
      <c r="J957" t="s">
        <v>132</v>
      </c>
      <c r="K957" s="5">
        <f>97 / 86400</f>
        <v>1.1226851851851851E-3</v>
      </c>
      <c r="L957" s="5">
        <f>498 / 86400</f>
        <v>5.7638888888888887E-3</v>
      </c>
    </row>
    <row r="958" spans="1:12" x14ac:dyDescent="0.25">
      <c r="A958" s="3">
        <v>45714.945069444446</v>
      </c>
      <c r="B958" t="s">
        <v>438</v>
      </c>
      <c r="C958" s="3">
        <v>45714.950208333335</v>
      </c>
      <c r="D958" t="s">
        <v>79</v>
      </c>
      <c r="E958" s="4">
        <v>0.67600000000000005</v>
      </c>
      <c r="F958" s="4">
        <v>437245.74300000002</v>
      </c>
      <c r="G958" s="4">
        <v>437246.41899999999</v>
      </c>
      <c r="H958" s="5">
        <f>220 / 86400</f>
        <v>2.5462962962962965E-3</v>
      </c>
      <c r="I958" t="s">
        <v>197</v>
      </c>
      <c r="J958" t="s">
        <v>77</v>
      </c>
      <c r="K958" s="5">
        <f>444 / 86400</f>
        <v>5.138888888888889E-3</v>
      </c>
      <c r="L958" s="5">
        <f>4301 / 86400</f>
        <v>4.9780092592592591E-2</v>
      </c>
    </row>
    <row r="959" spans="1:12" x14ac:dyDescent="0.25">
      <c r="A959" s="12"/>
      <c r="B959" s="12"/>
      <c r="C959" s="12"/>
      <c r="D959" s="12"/>
      <c r="E959" s="12"/>
      <c r="F959" s="12"/>
      <c r="G959" s="12"/>
      <c r="H959" s="12"/>
      <c r="I959" s="12"/>
      <c r="J959" s="12"/>
    </row>
    <row r="960" spans="1:12" x14ac:dyDescent="0.25">
      <c r="A960" s="12"/>
      <c r="B960" s="12"/>
      <c r="C960" s="12"/>
      <c r="D960" s="12"/>
      <c r="E960" s="12"/>
      <c r="F960" s="12"/>
      <c r="G960" s="12"/>
      <c r="H960" s="12"/>
      <c r="I960" s="12"/>
      <c r="J960" s="12"/>
    </row>
    <row r="961" spans="1:12" s="10" customFormat="1" ht="20.100000000000001" customHeight="1" x14ac:dyDescent="0.35">
      <c r="A961" s="15" t="s">
        <v>497</v>
      </c>
      <c r="B961" s="15"/>
      <c r="C961" s="15"/>
      <c r="D961" s="15"/>
      <c r="E961" s="15"/>
      <c r="F961" s="15"/>
      <c r="G961" s="15"/>
      <c r="H961" s="15"/>
      <c r="I961" s="15"/>
      <c r="J961" s="15"/>
    </row>
    <row r="962" spans="1:12" x14ac:dyDescent="0.25">
      <c r="A962" s="12"/>
      <c r="B962" s="12"/>
      <c r="C962" s="12"/>
      <c r="D962" s="12"/>
      <c r="E962" s="12"/>
      <c r="F962" s="12"/>
      <c r="G962" s="12"/>
      <c r="H962" s="12"/>
      <c r="I962" s="12"/>
      <c r="J962" s="12"/>
    </row>
    <row r="963" spans="1:12" ht="30" x14ac:dyDescent="0.25">
      <c r="A963" s="2" t="s">
        <v>6</v>
      </c>
      <c r="B963" s="2" t="s">
        <v>7</v>
      </c>
      <c r="C963" s="2" t="s">
        <v>8</v>
      </c>
      <c r="D963" s="2" t="s">
        <v>9</v>
      </c>
      <c r="E963" s="2" t="s">
        <v>10</v>
      </c>
      <c r="F963" s="2" t="s">
        <v>11</v>
      </c>
      <c r="G963" s="2" t="s">
        <v>12</v>
      </c>
      <c r="H963" s="2" t="s">
        <v>13</v>
      </c>
      <c r="I963" s="2" t="s">
        <v>14</v>
      </c>
      <c r="J963" s="2" t="s">
        <v>15</v>
      </c>
      <c r="K963" s="2" t="s">
        <v>16</v>
      </c>
      <c r="L963" s="2" t="s">
        <v>17</v>
      </c>
    </row>
    <row r="964" spans="1:12" x14ac:dyDescent="0.25">
      <c r="A964" s="3">
        <v>45714.23846064815</v>
      </c>
      <c r="B964" t="s">
        <v>47</v>
      </c>
      <c r="C964" s="3">
        <v>45714.246365740742</v>
      </c>
      <c r="D964" t="s">
        <v>21</v>
      </c>
      <c r="E964" s="4">
        <v>2.5539999999999998</v>
      </c>
      <c r="F964" s="4">
        <v>518070.56699999998</v>
      </c>
      <c r="G964" s="4">
        <v>518073.12099999998</v>
      </c>
      <c r="H964" s="5">
        <f>180 / 86400</f>
        <v>2.0833333333333333E-3</v>
      </c>
      <c r="I964" t="s">
        <v>148</v>
      </c>
      <c r="J964" t="s">
        <v>42</v>
      </c>
      <c r="K964" s="5">
        <f>683 / 86400</f>
        <v>7.905092592592592E-3</v>
      </c>
      <c r="L964" s="5">
        <f>20607 / 86400</f>
        <v>0.23850694444444445</v>
      </c>
    </row>
    <row r="965" spans="1:12" x14ac:dyDescent="0.25">
      <c r="A965" s="3">
        <v>45714.246412037042</v>
      </c>
      <c r="B965" t="s">
        <v>21</v>
      </c>
      <c r="C965" s="3">
        <v>45714.253923611112</v>
      </c>
      <c r="D965" t="s">
        <v>307</v>
      </c>
      <c r="E965" s="4">
        <v>4.3440000000000003</v>
      </c>
      <c r="F965" s="4">
        <v>518073.13500000001</v>
      </c>
      <c r="G965" s="4">
        <v>518077.47899999999</v>
      </c>
      <c r="H965" s="5">
        <f>117 / 86400</f>
        <v>1.3541666666666667E-3</v>
      </c>
      <c r="I965" t="s">
        <v>117</v>
      </c>
      <c r="J965" t="s">
        <v>37</v>
      </c>
      <c r="K965" s="5">
        <f>649 / 86400</f>
        <v>7.5115740740740742E-3</v>
      </c>
      <c r="L965" s="5">
        <f>6 / 86400</f>
        <v>6.9444444444444444E-5</v>
      </c>
    </row>
    <row r="966" spans="1:12" x14ac:dyDescent="0.25">
      <c r="A966" s="3">
        <v>45714.25399305555</v>
      </c>
      <c r="B966" t="s">
        <v>307</v>
      </c>
      <c r="C966" s="3">
        <v>45714.254293981481</v>
      </c>
      <c r="D966" t="s">
        <v>307</v>
      </c>
      <c r="E966" s="4">
        <v>0.24099999999999999</v>
      </c>
      <c r="F966" s="4">
        <v>518077.495</v>
      </c>
      <c r="G966" s="4">
        <v>518077.73599999998</v>
      </c>
      <c r="H966" s="5">
        <f>0 / 86400</f>
        <v>0</v>
      </c>
      <c r="I966" t="s">
        <v>195</v>
      </c>
      <c r="J966" t="s">
        <v>91</v>
      </c>
      <c r="K966" s="5">
        <f>26 / 86400</f>
        <v>3.0092592592592595E-4</v>
      </c>
      <c r="L966" s="5">
        <f>30 / 86400</f>
        <v>3.4722222222222224E-4</v>
      </c>
    </row>
    <row r="967" spans="1:12" x14ac:dyDescent="0.25">
      <c r="A967" s="3">
        <v>45714.254641203705</v>
      </c>
      <c r="B967" t="s">
        <v>325</v>
      </c>
      <c r="C967" s="3">
        <v>45714.255752314813</v>
      </c>
      <c r="D967" t="s">
        <v>349</v>
      </c>
      <c r="E967" s="4">
        <v>0.96699999999999997</v>
      </c>
      <c r="F967" s="4">
        <v>518078.125</v>
      </c>
      <c r="G967" s="4">
        <v>518079.092</v>
      </c>
      <c r="H967" s="5">
        <f>0 / 86400</f>
        <v>0</v>
      </c>
      <c r="I967" t="s">
        <v>183</v>
      </c>
      <c r="J967" t="s">
        <v>288</v>
      </c>
      <c r="K967" s="5">
        <f>96 / 86400</f>
        <v>1.1111111111111111E-3</v>
      </c>
      <c r="L967" s="5">
        <f>6 / 86400</f>
        <v>6.9444444444444444E-5</v>
      </c>
    </row>
    <row r="968" spans="1:12" x14ac:dyDescent="0.25">
      <c r="A968" s="3">
        <v>45714.25582175926</v>
      </c>
      <c r="B968" t="s">
        <v>349</v>
      </c>
      <c r="C968" s="3">
        <v>45714.275949074072</v>
      </c>
      <c r="D968" t="s">
        <v>65</v>
      </c>
      <c r="E968" s="4">
        <v>14.475</v>
      </c>
      <c r="F968" s="4">
        <v>518079.11</v>
      </c>
      <c r="G968" s="4">
        <v>518093.58500000002</v>
      </c>
      <c r="H968" s="5">
        <f>450 / 86400</f>
        <v>5.208333333333333E-3</v>
      </c>
      <c r="I968" t="s">
        <v>45</v>
      </c>
      <c r="J968" t="s">
        <v>197</v>
      </c>
      <c r="K968" s="5">
        <f>1739 / 86400</f>
        <v>2.0127314814814813E-2</v>
      </c>
      <c r="L968" s="5">
        <f>1 / 86400</f>
        <v>1.1574074074074073E-5</v>
      </c>
    </row>
    <row r="969" spans="1:12" x14ac:dyDescent="0.25">
      <c r="A969" s="3">
        <v>45714.275960648149</v>
      </c>
      <c r="B969" t="s">
        <v>65</v>
      </c>
      <c r="C969" s="3">
        <v>45714.276342592595</v>
      </c>
      <c r="D969" t="s">
        <v>168</v>
      </c>
      <c r="E969" s="4">
        <v>0.151</v>
      </c>
      <c r="F969" s="4">
        <v>518093.58500000002</v>
      </c>
      <c r="G969" s="4">
        <v>518093.73599999998</v>
      </c>
      <c r="H969" s="5">
        <f>7 / 86400</f>
        <v>8.1018518518518516E-5</v>
      </c>
      <c r="I969" t="s">
        <v>154</v>
      </c>
      <c r="J969" t="s">
        <v>28</v>
      </c>
      <c r="K969" s="5">
        <f>33 / 86400</f>
        <v>3.8194444444444446E-4</v>
      </c>
      <c r="L969" s="5">
        <f>5 / 86400</f>
        <v>5.7870370370370373E-5</v>
      </c>
    </row>
    <row r="970" spans="1:12" x14ac:dyDescent="0.25">
      <c r="A970" s="3">
        <v>45714.276400462964</v>
      </c>
      <c r="B970" t="s">
        <v>168</v>
      </c>
      <c r="C970" s="3">
        <v>45714.276921296296</v>
      </c>
      <c r="D970" t="s">
        <v>168</v>
      </c>
      <c r="E970" s="4">
        <v>0.45600000000000002</v>
      </c>
      <c r="F970" s="4">
        <v>518093.73599999998</v>
      </c>
      <c r="G970" s="4">
        <v>518094.19199999998</v>
      </c>
      <c r="H970" s="5">
        <f>0 / 86400</f>
        <v>0</v>
      </c>
      <c r="I970" t="s">
        <v>178</v>
      </c>
      <c r="J970" t="s">
        <v>288</v>
      </c>
      <c r="K970" s="5">
        <f>45 / 86400</f>
        <v>5.2083333333333333E-4</v>
      </c>
      <c r="L970" s="5">
        <f>5 / 86400</f>
        <v>5.7870370370370373E-5</v>
      </c>
    </row>
    <row r="971" spans="1:12" x14ac:dyDescent="0.25">
      <c r="A971" s="3">
        <v>45714.276979166665</v>
      </c>
      <c r="B971" t="s">
        <v>168</v>
      </c>
      <c r="C971" s="3">
        <v>45714.277303240742</v>
      </c>
      <c r="D971" t="s">
        <v>168</v>
      </c>
      <c r="E971" s="4">
        <v>0.247</v>
      </c>
      <c r="F971" s="4">
        <v>518094.19300000003</v>
      </c>
      <c r="G971" s="4">
        <v>518094.44</v>
      </c>
      <c r="H971" s="5">
        <f>0 / 86400</f>
        <v>0</v>
      </c>
      <c r="I971" t="s">
        <v>200</v>
      </c>
      <c r="J971" t="s">
        <v>155</v>
      </c>
      <c r="K971" s="5">
        <f>28 / 86400</f>
        <v>3.2407407407407406E-4</v>
      </c>
      <c r="L971" s="5">
        <f>5 / 86400</f>
        <v>5.7870370370370373E-5</v>
      </c>
    </row>
    <row r="972" spans="1:12" x14ac:dyDescent="0.25">
      <c r="A972" s="3">
        <v>45714.277361111112</v>
      </c>
      <c r="B972" t="s">
        <v>168</v>
      </c>
      <c r="C972" s="3">
        <v>45714.277546296296</v>
      </c>
      <c r="D972" t="s">
        <v>168</v>
      </c>
      <c r="E972" s="4">
        <v>0.113</v>
      </c>
      <c r="F972" s="4">
        <v>518094.44</v>
      </c>
      <c r="G972" s="4">
        <v>518094.55300000001</v>
      </c>
      <c r="H972" s="5">
        <f>0 / 86400</f>
        <v>0</v>
      </c>
      <c r="I972" t="s">
        <v>220</v>
      </c>
      <c r="J972" t="s">
        <v>131</v>
      </c>
      <c r="K972" s="5">
        <f>16 / 86400</f>
        <v>1.8518518518518518E-4</v>
      </c>
      <c r="L972" s="5">
        <f>7 / 86400</f>
        <v>8.1018518518518516E-5</v>
      </c>
    </row>
    <row r="973" spans="1:12" x14ac:dyDescent="0.25">
      <c r="A973" s="3">
        <v>45714.277627314819</v>
      </c>
      <c r="B973" t="s">
        <v>168</v>
      </c>
      <c r="C973" s="3">
        <v>45714.28087962963</v>
      </c>
      <c r="D973" t="s">
        <v>168</v>
      </c>
      <c r="E973" s="4">
        <v>2.161</v>
      </c>
      <c r="F973" s="4">
        <v>518094.57</v>
      </c>
      <c r="G973" s="4">
        <v>518096.73100000003</v>
      </c>
      <c r="H973" s="5">
        <f>0 / 86400</f>
        <v>0</v>
      </c>
      <c r="I973" t="s">
        <v>200</v>
      </c>
      <c r="J973" t="s">
        <v>136</v>
      </c>
      <c r="K973" s="5">
        <f>281 / 86400</f>
        <v>3.2523148148148147E-3</v>
      </c>
      <c r="L973" s="5">
        <f>2 / 86400</f>
        <v>2.3148148148148147E-5</v>
      </c>
    </row>
    <row r="974" spans="1:12" x14ac:dyDescent="0.25">
      <c r="A974" s="3">
        <v>45714.280902777777</v>
      </c>
      <c r="B974" t="s">
        <v>168</v>
      </c>
      <c r="C974" s="3">
        <v>45714.30159722222</v>
      </c>
      <c r="D974" t="s">
        <v>199</v>
      </c>
      <c r="E974" s="4">
        <v>8.6929999999999996</v>
      </c>
      <c r="F974" s="4">
        <v>518096.73100000003</v>
      </c>
      <c r="G974" s="4">
        <v>518105.424</v>
      </c>
      <c r="H974" s="5">
        <f>421 / 86400</f>
        <v>4.8726851851851848E-3</v>
      </c>
      <c r="I974" t="s">
        <v>84</v>
      </c>
      <c r="J974" t="s">
        <v>20</v>
      </c>
      <c r="K974" s="5">
        <f>1788 / 86400</f>
        <v>2.0694444444444446E-2</v>
      </c>
      <c r="L974" s="5">
        <f>2 / 86400</f>
        <v>2.3148148148148147E-5</v>
      </c>
    </row>
    <row r="975" spans="1:12" x14ac:dyDescent="0.25">
      <c r="A975" s="3">
        <v>45714.301620370374</v>
      </c>
      <c r="B975" t="s">
        <v>199</v>
      </c>
      <c r="C975" s="3">
        <v>45714.340648148151</v>
      </c>
      <c r="D975" t="s">
        <v>232</v>
      </c>
      <c r="E975" s="4">
        <v>12.565</v>
      </c>
      <c r="F975" s="4">
        <v>518105.43699999998</v>
      </c>
      <c r="G975" s="4">
        <v>518118.00199999998</v>
      </c>
      <c r="H975" s="5">
        <f>1050 / 86400</f>
        <v>1.2152777777777778E-2</v>
      </c>
      <c r="I975" t="s">
        <v>326</v>
      </c>
      <c r="J975" t="s">
        <v>42</v>
      </c>
      <c r="K975" s="5">
        <f>3372 / 86400</f>
        <v>3.9027777777777779E-2</v>
      </c>
      <c r="L975" s="5">
        <f>2 / 86400</f>
        <v>2.3148148148148147E-5</v>
      </c>
    </row>
    <row r="976" spans="1:12" x14ac:dyDescent="0.25">
      <c r="A976" s="3">
        <v>45714.340671296297</v>
      </c>
      <c r="B976" t="s">
        <v>232</v>
      </c>
      <c r="C976" s="3">
        <v>45714.418043981481</v>
      </c>
      <c r="D976" t="s">
        <v>196</v>
      </c>
      <c r="E976" s="4">
        <v>18.818999999999999</v>
      </c>
      <c r="F976" s="4">
        <v>518118.00300000003</v>
      </c>
      <c r="G976" s="4">
        <v>518136.82199999999</v>
      </c>
      <c r="H976" s="5">
        <f>3149 / 86400</f>
        <v>3.6446759259259262E-2</v>
      </c>
      <c r="I976" t="s">
        <v>117</v>
      </c>
      <c r="J976" t="s">
        <v>132</v>
      </c>
      <c r="K976" s="5">
        <f>6685 / 86400</f>
        <v>7.7372685185185183E-2</v>
      </c>
      <c r="L976" s="5">
        <f>30 / 86400</f>
        <v>3.4722222222222224E-4</v>
      </c>
    </row>
    <row r="977" spans="1:12" x14ac:dyDescent="0.25">
      <c r="A977" s="3">
        <v>45714.418391203704</v>
      </c>
      <c r="B977" t="s">
        <v>196</v>
      </c>
      <c r="C977" s="3">
        <v>45714.420694444445</v>
      </c>
      <c r="D977" t="s">
        <v>439</v>
      </c>
      <c r="E977" s="4">
        <v>0.39900000000000002</v>
      </c>
      <c r="F977" s="4">
        <v>518137.02799999999</v>
      </c>
      <c r="G977" s="4">
        <v>518137.42700000003</v>
      </c>
      <c r="H977" s="5">
        <f>30 / 86400</f>
        <v>3.4722222222222224E-4</v>
      </c>
      <c r="I977" t="s">
        <v>140</v>
      </c>
      <c r="J977" t="s">
        <v>147</v>
      </c>
      <c r="K977" s="5">
        <f>199 / 86400</f>
        <v>2.3032407407407407E-3</v>
      </c>
      <c r="L977" s="5">
        <f>2 / 86400</f>
        <v>2.3148148148148147E-5</v>
      </c>
    </row>
    <row r="978" spans="1:12" x14ac:dyDescent="0.25">
      <c r="A978" s="3">
        <v>45714.420717592591</v>
      </c>
      <c r="B978" t="s">
        <v>289</v>
      </c>
      <c r="C978" s="3">
        <v>45714.449988425928</v>
      </c>
      <c r="D978" t="s">
        <v>65</v>
      </c>
      <c r="E978" s="4">
        <v>9.7210000000000001</v>
      </c>
      <c r="F978" s="4">
        <v>518137.43099999998</v>
      </c>
      <c r="G978" s="4">
        <v>518147.152</v>
      </c>
      <c r="H978" s="5">
        <f>960 / 86400</f>
        <v>1.1111111111111112E-2</v>
      </c>
      <c r="I978" t="s">
        <v>116</v>
      </c>
      <c r="J978" t="s">
        <v>52</v>
      </c>
      <c r="K978" s="5">
        <f>2529 / 86400</f>
        <v>2.9270833333333333E-2</v>
      </c>
      <c r="L978" s="5">
        <f>1837 / 86400</f>
        <v>2.1261574074074075E-2</v>
      </c>
    </row>
    <row r="979" spans="1:12" x14ac:dyDescent="0.25">
      <c r="A979" s="3">
        <v>45714.471250000002</v>
      </c>
      <c r="B979" t="s">
        <v>65</v>
      </c>
      <c r="C979" s="3">
        <v>45714.472592592589</v>
      </c>
      <c r="D979" t="s">
        <v>65</v>
      </c>
      <c r="E979" s="4">
        <v>1.0999999999999999E-2</v>
      </c>
      <c r="F979" s="4">
        <v>518147.152</v>
      </c>
      <c r="G979" s="4">
        <v>518147.163</v>
      </c>
      <c r="H979" s="5">
        <f>90 / 86400</f>
        <v>1.0416666666666667E-3</v>
      </c>
      <c r="I979" t="s">
        <v>77</v>
      </c>
      <c r="J979" t="s">
        <v>22</v>
      </c>
      <c r="K979" s="5">
        <f>116 / 86400</f>
        <v>1.3425925925925925E-3</v>
      </c>
      <c r="L979" s="5">
        <f>2815 / 86400</f>
        <v>3.2581018518518516E-2</v>
      </c>
    </row>
    <row r="980" spans="1:12" x14ac:dyDescent="0.25">
      <c r="A980" s="3">
        <v>45714.505173611113</v>
      </c>
      <c r="B980" t="s">
        <v>65</v>
      </c>
      <c r="C980" s="3">
        <v>45714.506898148145</v>
      </c>
      <c r="D980" t="s">
        <v>81</v>
      </c>
      <c r="E980" s="4">
        <v>0.57499999999999996</v>
      </c>
      <c r="F980" s="4">
        <v>518147.163</v>
      </c>
      <c r="G980" s="4">
        <v>518147.73800000001</v>
      </c>
      <c r="H980" s="5">
        <f>32 / 86400</f>
        <v>3.7037037037037035E-4</v>
      </c>
      <c r="I980" t="s">
        <v>134</v>
      </c>
      <c r="J980" t="s">
        <v>52</v>
      </c>
      <c r="K980" s="5">
        <f>149 / 86400</f>
        <v>1.724537037037037E-3</v>
      </c>
      <c r="L980" s="5">
        <f>250 / 86400</f>
        <v>2.8935185185185184E-3</v>
      </c>
    </row>
    <row r="981" spans="1:12" x14ac:dyDescent="0.25">
      <c r="A981" s="3">
        <v>45714.509791666671</v>
      </c>
      <c r="B981" t="s">
        <v>65</v>
      </c>
      <c r="C981" s="3">
        <v>45714.574421296296</v>
      </c>
      <c r="D981" t="s">
        <v>47</v>
      </c>
      <c r="E981" s="4">
        <v>24.792000000000002</v>
      </c>
      <c r="F981" s="4">
        <v>518147.73800000001</v>
      </c>
      <c r="G981" s="4">
        <v>518172.53</v>
      </c>
      <c r="H981" s="5">
        <f>1802 / 86400</f>
        <v>2.0856481481481483E-2</v>
      </c>
      <c r="I981" t="s">
        <v>67</v>
      </c>
      <c r="J981" t="s">
        <v>28</v>
      </c>
      <c r="K981" s="5">
        <f>5584 / 86400</f>
        <v>6.4629629629629634E-2</v>
      </c>
      <c r="L981" s="5">
        <f>2853 / 86400</f>
        <v>3.3020833333333333E-2</v>
      </c>
    </row>
    <row r="982" spans="1:12" x14ac:dyDescent="0.25">
      <c r="A982" s="3">
        <v>45714.607442129629</v>
      </c>
      <c r="B982" t="s">
        <v>47</v>
      </c>
      <c r="C982" s="3">
        <v>45714.63082175926</v>
      </c>
      <c r="D982" t="s">
        <v>307</v>
      </c>
      <c r="E982" s="4">
        <v>7.0049999999999999</v>
      </c>
      <c r="F982" s="4">
        <v>518172.53</v>
      </c>
      <c r="G982" s="4">
        <v>518179.53499999997</v>
      </c>
      <c r="H982" s="5">
        <f>690 / 86400</f>
        <v>7.9861111111111105E-3</v>
      </c>
      <c r="I982" t="s">
        <v>298</v>
      </c>
      <c r="J982" t="s">
        <v>98</v>
      </c>
      <c r="K982" s="5">
        <f>2020 / 86400</f>
        <v>2.3379629629629629E-2</v>
      </c>
      <c r="L982" s="5">
        <f>30 / 86400</f>
        <v>3.4722222222222224E-4</v>
      </c>
    </row>
    <row r="983" spans="1:12" x14ac:dyDescent="0.25">
      <c r="A983" s="3">
        <v>45714.631168981483</v>
      </c>
      <c r="B983" t="s">
        <v>325</v>
      </c>
      <c r="C983" s="3">
        <v>45714.721967592588</v>
      </c>
      <c r="D983" t="s">
        <v>227</v>
      </c>
      <c r="E983" s="4">
        <v>39.802</v>
      </c>
      <c r="F983" s="4">
        <v>518179.96899999998</v>
      </c>
      <c r="G983" s="4">
        <v>518219.77100000001</v>
      </c>
      <c r="H983" s="5">
        <f>2461 / 86400</f>
        <v>2.8483796296296295E-2</v>
      </c>
      <c r="I983" t="s">
        <v>161</v>
      </c>
      <c r="J983" t="s">
        <v>20</v>
      </c>
      <c r="K983" s="5">
        <f>7845 / 86400</f>
        <v>9.0798611111111108E-2</v>
      </c>
      <c r="L983" s="5">
        <f>16 / 86400</f>
        <v>1.8518518518518518E-4</v>
      </c>
    </row>
    <row r="984" spans="1:12" x14ac:dyDescent="0.25">
      <c r="A984" s="3">
        <v>45714.722152777773</v>
      </c>
      <c r="B984" t="s">
        <v>227</v>
      </c>
      <c r="C984" s="3">
        <v>45714.722256944442</v>
      </c>
      <c r="D984" t="s">
        <v>227</v>
      </c>
      <c r="E984" s="4">
        <v>0</v>
      </c>
      <c r="F984" s="4">
        <v>518219.77100000001</v>
      </c>
      <c r="G984" s="4">
        <v>518219.77100000001</v>
      </c>
      <c r="H984" s="5">
        <f>7 / 86400</f>
        <v>8.1018518518518516E-5</v>
      </c>
      <c r="I984" t="s">
        <v>22</v>
      </c>
      <c r="J984" t="s">
        <v>22</v>
      </c>
      <c r="K984" s="5">
        <f>9 / 86400</f>
        <v>1.0416666666666667E-4</v>
      </c>
      <c r="L984" s="5">
        <f>1 / 86400</f>
        <v>1.1574074074074073E-5</v>
      </c>
    </row>
    <row r="985" spans="1:12" x14ac:dyDescent="0.25">
      <c r="A985" s="3">
        <v>45714.722268518519</v>
      </c>
      <c r="B985" t="s">
        <v>227</v>
      </c>
      <c r="C985" s="3">
        <v>45714.735682870371</v>
      </c>
      <c r="D985" t="s">
        <v>237</v>
      </c>
      <c r="E985" s="4">
        <v>2.4209999999999998</v>
      </c>
      <c r="F985" s="4">
        <v>518219.77100000001</v>
      </c>
      <c r="G985" s="4">
        <v>518222.19199999998</v>
      </c>
      <c r="H985" s="5">
        <f>690 / 86400</f>
        <v>7.9861111111111105E-3</v>
      </c>
      <c r="I985" t="s">
        <v>148</v>
      </c>
      <c r="J985" t="s">
        <v>157</v>
      </c>
      <c r="K985" s="5">
        <f>1159 / 86400</f>
        <v>1.3414351851851853E-2</v>
      </c>
      <c r="L985" s="5">
        <f>3 / 86400</f>
        <v>3.4722222222222222E-5</v>
      </c>
    </row>
    <row r="986" spans="1:12" x14ac:dyDescent="0.25">
      <c r="A986" s="3">
        <v>45714.735717592594</v>
      </c>
      <c r="B986" t="s">
        <v>237</v>
      </c>
      <c r="C986" s="3">
        <v>45714.737754629634</v>
      </c>
      <c r="D986" t="s">
        <v>241</v>
      </c>
      <c r="E986" s="4">
        <v>0.35399999999999998</v>
      </c>
      <c r="F986" s="4">
        <v>518222.20799999998</v>
      </c>
      <c r="G986" s="4">
        <v>518222.56199999998</v>
      </c>
      <c r="H986" s="5">
        <f>46 / 86400</f>
        <v>5.3240740740740744E-4</v>
      </c>
      <c r="I986" t="s">
        <v>61</v>
      </c>
      <c r="J986" t="s">
        <v>147</v>
      </c>
      <c r="K986" s="5">
        <f>176 / 86400</f>
        <v>2.0370370370370369E-3</v>
      </c>
      <c r="L986" s="5">
        <f>4 / 86400</f>
        <v>4.6296296296296294E-5</v>
      </c>
    </row>
    <row r="987" spans="1:12" x14ac:dyDescent="0.25">
      <c r="A987" s="3">
        <v>45714.737800925926</v>
      </c>
      <c r="B987" t="s">
        <v>241</v>
      </c>
      <c r="C987" s="3">
        <v>45714.73819444445</v>
      </c>
      <c r="D987" t="s">
        <v>242</v>
      </c>
      <c r="E987" s="4">
        <v>8.0000000000000002E-3</v>
      </c>
      <c r="F987" s="4">
        <v>518222.56199999998</v>
      </c>
      <c r="G987" s="4">
        <v>518222.57</v>
      </c>
      <c r="H987" s="5">
        <f>13 / 86400</f>
        <v>1.5046296296296297E-4</v>
      </c>
      <c r="I987" t="s">
        <v>102</v>
      </c>
      <c r="J987" t="s">
        <v>78</v>
      </c>
      <c r="K987" s="5">
        <f>34 / 86400</f>
        <v>3.9351851851851852E-4</v>
      </c>
      <c r="L987" s="5">
        <f>3 / 86400</f>
        <v>3.4722222222222222E-5</v>
      </c>
    </row>
    <row r="988" spans="1:12" x14ac:dyDescent="0.25">
      <c r="A988" s="3">
        <v>45714.738229166665</v>
      </c>
      <c r="B988" t="s">
        <v>242</v>
      </c>
      <c r="C988" s="3">
        <v>45714.74554398148</v>
      </c>
      <c r="D988" t="s">
        <v>440</v>
      </c>
      <c r="E988" s="4">
        <v>0.81899999999999995</v>
      </c>
      <c r="F988" s="4">
        <v>518222.57</v>
      </c>
      <c r="G988" s="4">
        <v>518223.38900000002</v>
      </c>
      <c r="H988" s="5">
        <f>360 / 86400</f>
        <v>4.1666666666666666E-3</v>
      </c>
      <c r="I988" t="s">
        <v>181</v>
      </c>
      <c r="J988" t="s">
        <v>77</v>
      </c>
      <c r="K988" s="5">
        <f>632 / 86400</f>
        <v>7.3148148148148148E-3</v>
      </c>
      <c r="L988" s="5">
        <f>5 / 86400</f>
        <v>5.7870370370370373E-5</v>
      </c>
    </row>
    <row r="989" spans="1:12" x14ac:dyDescent="0.25">
      <c r="A989" s="3">
        <v>45714.745601851857</v>
      </c>
      <c r="B989" t="s">
        <v>440</v>
      </c>
      <c r="C989" s="3">
        <v>45714.745682870373</v>
      </c>
      <c r="D989" t="s">
        <v>440</v>
      </c>
      <c r="E989" s="4">
        <v>1.4999999999999999E-2</v>
      </c>
      <c r="F989" s="4">
        <v>518223.38900000002</v>
      </c>
      <c r="G989" s="4">
        <v>518223.40399999998</v>
      </c>
      <c r="H989" s="5">
        <f>0 / 86400</f>
        <v>0</v>
      </c>
      <c r="I989" t="s">
        <v>32</v>
      </c>
      <c r="J989" t="s">
        <v>157</v>
      </c>
      <c r="K989" s="5">
        <f>7 / 86400</f>
        <v>8.1018518518518516E-5</v>
      </c>
      <c r="L989" s="5">
        <f>17 / 86400</f>
        <v>1.9675925925925926E-4</v>
      </c>
    </row>
    <row r="990" spans="1:12" x14ac:dyDescent="0.25">
      <c r="A990" s="3">
        <v>45714.745879629627</v>
      </c>
      <c r="B990" t="s">
        <v>441</v>
      </c>
      <c r="C990" s="3">
        <v>45714.749826388885</v>
      </c>
      <c r="D990" t="s">
        <v>442</v>
      </c>
      <c r="E990" s="4">
        <v>0.88900000000000001</v>
      </c>
      <c r="F990" s="4">
        <v>518223.42099999997</v>
      </c>
      <c r="G990" s="4">
        <v>518224.31</v>
      </c>
      <c r="H990" s="5">
        <f>90 / 86400</f>
        <v>1.0416666666666667E-3</v>
      </c>
      <c r="I990" t="s">
        <v>131</v>
      </c>
      <c r="J990" t="s">
        <v>70</v>
      </c>
      <c r="K990" s="5">
        <f>341 / 86400</f>
        <v>3.9467592592592592E-3</v>
      </c>
      <c r="L990" s="5">
        <f>2 / 86400</f>
        <v>2.3148148148148147E-5</v>
      </c>
    </row>
    <row r="991" spans="1:12" x14ac:dyDescent="0.25">
      <c r="A991" s="3">
        <v>45714.749849537038</v>
      </c>
      <c r="B991" t="s">
        <v>250</v>
      </c>
      <c r="C991" s="3">
        <v>45714.752916666665</v>
      </c>
      <c r="D991" t="s">
        <v>253</v>
      </c>
      <c r="E991" s="4">
        <v>0.55600000000000005</v>
      </c>
      <c r="F991" s="4">
        <v>518224.31400000001</v>
      </c>
      <c r="G991" s="4">
        <v>518224.87</v>
      </c>
      <c r="H991" s="5">
        <f>162 / 86400</f>
        <v>1.8749999999999999E-3</v>
      </c>
      <c r="I991" t="s">
        <v>148</v>
      </c>
      <c r="J991" t="s">
        <v>157</v>
      </c>
      <c r="K991" s="5">
        <f>265 / 86400</f>
        <v>3.0671296296296297E-3</v>
      </c>
      <c r="L991" s="5">
        <f>7 / 86400</f>
        <v>8.1018518518518516E-5</v>
      </c>
    </row>
    <row r="992" spans="1:12" x14ac:dyDescent="0.25">
      <c r="A992" s="3">
        <v>45714.75299768518</v>
      </c>
      <c r="B992" t="s">
        <v>253</v>
      </c>
      <c r="C992" s="3">
        <v>45714.753842592589</v>
      </c>
      <c r="D992" t="s">
        <v>255</v>
      </c>
      <c r="E992" s="4">
        <v>6.6000000000000003E-2</v>
      </c>
      <c r="F992" s="4">
        <v>518224.87</v>
      </c>
      <c r="G992" s="4">
        <v>518224.93599999999</v>
      </c>
      <c r="H992" s="5">
        <f>52 / 86400</f>
        <v>6.018518518518519E-4</v>
      </c>
      <c r="I992" t="s">
        <v>42</v>
      </c>
      <c r="J992" t="s">
        <v>102</v>
      </c>
      <c r="K992" s="5">
        <f>73 / 86400</f>
        <v>8.4490740740740739E-4</v>
      </c>
      <c r="L992" s="5">
        <f>1 / 86400</f>
        <v>1.1574074074074073E-5</v>
      </c>
    </row>
    <row r="993" spans="1:12" x14ac:dyDescent="0.25">
      <c r="A993" s="3">
        <v>45714.753854166665</v>
      </c>
      <c r="B993" t="s">
        <v>255</v>
      </c>
      <c r="C993" s="3">
        <v>45714.754606481481</v>
      </c>
      <c r="D993" t="s">
        <v>228</v>
      </c>
      <c r="E993" s="4">
        <v>0.18099999999999999</v>
      </c>
      <c r="F993" s="4">
        <v>518224.94</v>
      </c>
      <c r="G993" s="4">
        <v>518225.12099999998</v>
      </c>
      <c r="H993" s="5">
        <f>0 / 86400</f>
        <v>0</v>
      </c>
      <c r="I993" t="s">
        <v>20</v>
      </c>
      <c r="J993" t="s">
        <v>132</v>
      </c>
      <c r="K993" s="5">
        <f>65 / 86400</f>
        <v>7.5231481481481482E-4</v>
      </c>
      <c r="L993" s="5">
        <f>2 / 86400</f>
        <v>2.3148148148148147E-5</v>
      </c>
    </row>
    <row r="994" spans="1:12" x14ac:dyDescent="0.25">
      <c r="A994" s="3">
        <v>45714.754629629635</v>
      </c>
      <c r="B994" t="s">
        <v>228</v>
      </c>
      <c r="C994" s="3">
        <v>45714.758877314816</v>
      </c>
      <c r="D994" t="s">
        <v>443</v>
      </c>
      <c r="E994" s="4">
        <v>0.621</v>
      </c>
      <c r="F994" s="4">
        <v>518225.13</v>
      </c>
      <c r="G994" s="4">
        <v>518225.75099999999</v>
      </c>
      <c r="H994" s="5">
        <f>240 / 86400</f>
        <v>2.7777777777777779E-3</v>
      </c>
      <c r="I994" t="s">
        <v>197</v>
      </c>
      <c r="J994" t="s">
        <v>135</v>
      </c>
      <c r="K994" s="5">
        <f>367 / 86400</f>
        <v>4.2476851851851851E-3</v>
      </c>
      <c r="L994" s="5">
        <f>2 / 86400</f>
        <v>2.3148148148148147E-5</v>
      </c>
    </row>
    <row r="995" spans="1:12" x14ac:dyDescent="0.25">
      <c r="A995" s="3">
        <v>45714.758900462963</v>
      </c>
      <c r="B995" t="s">
        <v>443</v>
      </c>
      <c r="C995" s="3">
        <v>45714.760462962964</v>
      </c>
      <c r="D995" t="s">
        <v>257</v>
      </c>
      <c r="E995" s="4">
        <v>0.98799999999999999</v>
      </c>
      <c r="F995" s="4">
        <v>518225.76</v>
      </c>
      <c r="G995" s="4">
        <v>518226.74800000002</v>
      </c>
      <c r="H995" s="5">
        <f>0 / 86400</f>
        <v>0</v>
      </c>
      <c r="I995" t="s">
        <v>182</v>
      </c>
      <c r="J995" t="s">
        <v>170</v>
      </c>
      <c r="K995" s="5">
        <f>135 / 86400</f>
        <v>1.5625000000000001E-3</v>
      </c>
      <c r="L995" s="5">
        <f>3 / 86400</f>
        <v>3.4722222222222222E-5</v>
      </c>
    </row>
    <row r="996" spans="1:12" x14ac:dyDescent="0.25">
      <c r="A996" s="3">
        <v>45714.760497685187</v>
      </c>
      <c r="B996" t="s">
        <v>257</v>
      </c>
      <c r="C996" s="3">
        <v>45714.772812499999</v>
      </c>
      <c r="D996" t="s">
        <v>444</v>
      </c>
      <c r="E996" s="4">
        <v>3.1379999999999999</v>
      </c>
      <c r="F996" s="4">
        <v>518226.74800000002</v>
      </c>
      <c r="G996" s="4">
        <v>518229.886</v>
      </c>
      <c r="H996" s="5">
        <f>330 / 86400</f>
        <v>3.8194444444444443E-3</v>
      </c>
      <c r="I996" t="s">
        <v>182</v>
      </c>
      <c r="J996" t="s">
        <v>31</v>
      </c>
      <c r="K996" s="5">
        <f>1064 / 86400</f>
        <v>1.2314814814814815E-2</v>
      </c>
      <c r="L996" s="5">
        <f>30 / 86400</f>
        <v>3.4722222222222224E-4</v>
      </c>
    </row>
    <row r="997" spans="1:12" x14ac:dyDescent="0.25">
      <c r="A997" s="3">
        <v>45714.773159722223</v>
      </c>
      <c r="B997" t="s">
        <v>444</v>
      </c>
      <c r="C997" s="3">
        <v>45714.775706018518</v>
      </c>
      <c r="D997" t="s">
        <v>445</v>
      </c>
      <c r="E997" s="4">
        <v>0.91900000000000004</v>
      </c>
      <c r="F997" s="4">
        <v>518230.065</v>
      </c>
      <c r="G997" s="4">
        <v>518230.984</v>
      </c>
      <c r="H997" s="5">
        <f>30 / 86400</f>
        <v>3.4722222222222224E-4</v>
      </c>
      <c r="I997" t="s">
        <v>138</v>
      </c>
      <c r="J997" t="s">
        <v>46</v>
      </c>
      <c r="K997" s="5">
        <f>220 / 86400</f>
        <v>2.5462962962962965E-3</v>
      </c>
      <c r="L997" s="5">
        <f>3 / 86400</f>
        <v>3.4722222222222222E-5</v>
      </c>
    </row>
    <row r="998" spans="1:12" x14ac:dyDescent="0.25">
      <c r="A998" s="3">
        <v>45714.775740740741</v>
      </c>
      <c r="B998" t="s">
        <v>445</v>
      </c>
      <c r="C998" s="3">
        <v>45714.786597222221</v>
      </c>
      <c r="D998" t="s">
        <v>375</v>
      </c>
      <c r="E998" s="4">
        <v>2.9550000000000001</v>
      </c>
      <c r="F998" s="4">
        <v>518230.99900000001</v>
      </c>
      <c r="G998" s="4">
        <v>518233.95400000003</v>
      </c>
      <c r="H998" s="5">
        <f>480 / 86400</f>
        <v>5.5555555555555558E-3</v>
      </c>
      <c r="I998" t="s">
        <v>167</v>
      </c>
      <c r="J998" t="s">
        <v>31</v>
      </c>
      <c r="K998" s="5">
        <f>938 / 86400</f>
        <v>1.0856481481481481E-2</v>
      </c>
      <c r="L998" s="5">
        <f>2 / 86400</f>
        <v>2.3148148148148147E-5</v>
      </c>
    </row>
    <row r="999" spans="1:12" x14ac:dyDescent="0.25">
      <c r="A999" s="3">
        <v>45714.786620370374</v>
      </c>
      <c r="B999" t="s">
        <v>375</v>
      </c>
      <c r="C999" s="3">
        <v>45714.899351851855</v>
      </c>
      <c r="D999" t="s">
        <v>80</v>
      </c>
      <c r="E999" s="4">
        <v>38.933999999999997</v>
      </c>
      <c r="F999" s="4">
        <v>518233.95400000003</v>
      </c>
      <c r="G999" s="4">
        <v>518272.88799999998</v>
      </c>
      <c r="H999" s="5">
        <f>3454 / 86400</f>
        <v>3.9976851851851854E-2</v>
      </c>
      <c r="I999" t="s">
        <v>167</v>
      </c>
      <c r="J999" t="s">
        <v>52</v>
      </c>
      <c r="K999" s="5">
        <f>9740 / 86400</f>
        <v>0.11273148148148149</v>
      </c>
      <c r="L999" s="5">
        <f>1075 / 86400</f>
        <v>1.2442129629629629E-2</v>
      </c>
    </row>
    <row r="1000" spans="1:12" x14ac:dyDescent="0.25">
      <c r="A1000" s="3">
        <v>45714.911793981482</v>
      </c>
      <c r="B1000" t="s">
        <v>80</v>
      </c>
      <c r="C1000" s="3">
        <v>45714.914722222224</v>
      </c>
      <c r="D1000" t="s">
        <v>80</v>
      </c>
      <c r="E1000" s="4">
        <v>3.9E-2</v>
      </c>
      <c r="F1000" s="4">
        <v>518272.88799999998</v>
      </c>
      <c r="G1000" s="4">
        <v>518272.92700000003</v>
      </c>
      <c r="H1000" s="5">
        <f>180 / 86400</f>
        <v>2.0833333333333333E-3</v>
      </c>
      <c r="I1000" t="s">
        <v>135</v>
      </c>
      <c r="J1000" t="s">
        <v>78</v>
      </c>
      <c r="K1000" s="5">
        <f>253 / 86400</f>
        <v>2.9282407407407408E-3</v>
      </c>
      <c r="L1000" s="5">
        <f>7367 / 86400</f>
        <v>8.5266203703703705E-2</v>
      </c>
    </row>
    <row r="1001" spans="1:12" x14ac:dyDescent="0.25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</row>
    <row r="1002" spans="1:12" x14ac:dyDescent="0.25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</row>
    <row r="1003" spans="1:12" s="10" customFormat="1" ht="20.100000000000001" customHeight="1" x14ac:dyDescent="0.35">
      <c r="A1003" s="15" t="s">
        <v>498</v>
      </c>
      <c r="B1003" s="15"/>
      <c r="C1003" s="15"/>
      <c r="D1003" s="15"/>
      <c r="E1003" s="15"/>
      <c r="F1003" s="15"/>
      <c r="G1003" s="15"/>
      <c r="H1003" s="15"/>
      <c r="I1003" s="15"/>
      <c r="J1003" s="15"/>
    </row>
    <row r="1004" spans="1:12" x14ac:dyDescent="0.25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</row>
    <row r="1005" spans="1:12" ht="30" x14ac:dyDescent="0.25">
      <c r="A1005" s="2" t="s">
        <v>6</v>
      </c>
      <c r="B1005" s="2" t="s">
        <v>7</v>
      </c>
      <c r="C1005" s="2" t="s">
        <v>8</v>
      </c>
      <c r="D1005" s="2" t="s">
        <v>9</v>
      </c>
      <c r="E1005" s="2" t="s">
        <v>10</v>
      </c>
      <c r="F1005" s="2" t="s">
        <v>11</v>
      </c>
      <c r="G1005" s="2" t="s">
        <v>12</v>
      </c>
      <c r="H1005" s="2" t="s">
        <v>13</v>
      </c>
      <c r="I1005" s="2" t="s">
        <v>14</v>
      </c>
      <c r="J1005" s="2" t="s">
        <v>15</v>
      </c>
      <c r="K1005" s="2" t="s">
        <v>16</v>
      </c>
      <c r="L1005" s="2" t="s">
        <v>17</v>
      </c>
    </row>
    <row r="1006" spans="1:12" x14ac:dyDescent="0.25">
      <c r="A1006" s="3">
        <v>45714.227523148147</v>
      </c>
      <c r="B1006" t="s">
        <v>81</v>
      </c>
      <c r="C1006" s="3">
        <v>45714.828530092593</v>
      </c>
      <c r="D1006" t="s">
        <v>82</v>
      </c>
      <c r="E1006" s="4">
        <v>206.64500000000001</v>
      </c>
      <c r="F1006" s="4">
        <v>507298.09600000002</v>
      </c>
      <c r="G1006" s="4">
        <v>507504.74099999998</v>
      </c>
      <c r="H1006" s="5">
        <f>21300 / 86400</f>
        <v>0.24652777777777779</v>
      </c>
      <c r="I1006" t="s">
        <v>57</v>
      </c>
      <c r="J1006" t="s">
        <v>52</v>
      </c>
      <c r="K1006" s="5">
        <f>51927 / 86400</f>
        <v>0.60100694444444447</v>
      </c>
      <c r="L1006" s="5">
        <f>34472 / 86400</f>
        <v>0.39898148148148149</v>
      </c>
    </row>
    <row r="1007" spans="1:12" x14ac:dyDescent="0.25">
      <c r="A1007" s="12"/>
      <c r="B1007" s="12"/>
      <c r="C1007" s="12"/>
      <c r="D1007" s="12"/>
      <c r="E1007" s="12"/>
      <c r="F1007" s="12"/>
      <c r="G1007" s="12"/>
      <c r="H1007" s="12"/>
      <c r="I1007" s="12"/>
      <c r="J1007" s="12"/>
    </row>
    <row r="1008" spans="1:12" x14ac:dyDescent="0.25">
      <c r="A1008" s="12"/>
      <c r="B1008" s="12"/>
      <c r="C1008" s="12"/>
      <c r="D1008" s="12"/>
      <c r="E1008" s="12"/>
      <c r="F1008" s="12"/>
      <c r="G1008" s="12"/>
      <c r="H1008" s="12"/>
      <c r="I1008" s="12"/>
      <c r="J1008" s="12"/>
    </row>
    <row r="1009" spans="1:12" s="10" customFormat="1" ht="20.100000000000001" customHeight="1" x14ac:dyDescent="0.35">
      <c r="A1009" s="15" t="s">
        <v>499</v>
      </c>
      <c r="B1009" s="15"/>
      <c r="C1009" s="15"/>
      <c r="D1009" s="15"/>
      <c r="E1009" s="15"/>
      <c r="F1009" s="15"/>
      <c r="G1009" s="15"/>
      <c r="H1009" s="15"/>
      <c r="I1009" s="15"/>
      <c r="J1009" s="15"/>
    </row>
    <row r="1010" spans="1:12" x14ac:dyDescent="0.25">
      <c r="A1010" s="12"/>
      <c r="B1010" s="12"/>
      <c r="C1010" s="12"/>
      <c r="D1010" s="12"/>
      <c r="E1010" s="12"/>
      <c r="F1010" s="12"/>
      <c r="G1010" s="12"/>
      <c r="H1010" s="12"/>
      <c r="I1010" s="12"/>
      <c r="J1010" s="12"/>
    </row>
    <row r="1011" spans="1:12" ht="30" x14ac:dyDescent="0.25">
      <c r="A1011" s="2" t="s">
        <v>6</v>
      </c>
      <c r="B1011" s="2" t="s">
        <v>7</v>
      </c>
      <c r="C1011" s="2" t="s">
        <v>8</v>
      </c>
      <c r="D1011" s="2" t="s">
        <v>9</v>
      </c>
      <c r="E1011" s="2" t="s">
        <v>10</v>
      </c>
      <c r="F1011" s="2" t="s">
        <v>11</v>
      </c>
      <c r="G1011" s="2" t="s">
        <v>12</v>
      </c>
      <c r="H1011" s="2" t="s">
        <v>13</v>
      </c>
      <c r="I1011" s="2" t="s">
        <v>14</v>
      </c>
      <c r="J1011" s="2" t="s">
        <v>15</v>
      </c>
      <c r="K1011" s="2" t="s">
        <v>16</v>
      </c>
      <c r="L1011" s="2" t="s">
        <v>17</v>
      </c>
    </row>
    <row r="1012" spans="1:12" x14ac:dyDescent="0.25">
      <c r="A1012" s="3">
        <v>45714.216238425928</v>
      </c>
      <c r="B1012" t="s">
        <v>83</v>
      </c>
      <c r="C1012" s="3">
        <v>45714.21674768519</v>
      </c>
      <c r="D1012" t="s">
        <v>83</v>
      </c>
      <c r="E1012" s="4">
        <v>0</v>
      </c>
      <c r="F1012" s="4">
        <v>412925.37</v>
      </c>
      <c r="G1012" s="4">
        <v>412925.37</v>
      </c>
      <c r="H1012" s="5">
        <f>39 / 86400</f>
        <v>4.5138888888888887E-4</v>
      </c>
      <c r="I1012" t="s">
        <v>22</v>
      </c>
      <c r="J1012" t="s">
        <v>22</v>
      </c>
      <c r="K1012" s="5">
        <f>44 / 86400</f>
        <v>5.0925925925925921E-4</v>
      </c>
      <c r="L1012" s="5">
        <f>18726 / 86400</f>
        <v>0.2167361111111111</v>
      </c>
    </row>
    <row r="1013" spans="1:12" x14ac:dyDescent="0.25">
      <c r="A1013" s="3">
        <v>45714.217245370368</v>
      </c>
      <c r="B1013" t="s">
        <v>83</v>
      </c>
      <c r="C1013" s="3">
        <v>45714.232361111106</v>
      </c>
      <c r="D1013" t="s">
        <v>306</v>
      </c>
      <c r="E1013" s="4">
        <v>9.74</v>
      </c>
      <c r="F1013" s="4">
        <v>412925.37</v>
      </c>
      <c r="G1013" s="4">
        <v>412935.11</v>
      </c>
      <c r="H1013" s="5">
        <f>280 / 86400</f>
        <v>3.2407407407407406E-3</v>
      </c>
      <c r="I1013" t="s">
        <v>195</v>
      </c>
      <c r="J1013" t="s">
        <v>186</v>
      </c>
      <c r="K1013" s="5">
        <f>1306 / 86400</f>
        <v>1.511574074074074E-2</v>
      </c>
      <c r="L1013" s="5">
        <f>1000 / 86400</f>
        <v>1.1574074074074073E-2</v>
      </c>
    </row>
    <row r="1014" spans="1:12" x14ac:dyDescent="0.25">
      <c r="A1014" s="3">
        <v>45714.243935185186</v>
      </c>
      <c r="B1014" t="s">
        <v>345</v>
      </c>
      <c r="C1014" s="3">
        <v>45714.457800925928</v>
      </c>
      <c r="D1014" t="s">
        <v>100</v>
      </c>
      <c r="E1014" s="4">
        <v>85.558000000000007</v>
      </c>
      <c r="F1014" s="4">
        <v>412935.11</v>
      </c>
      <c r="G1014" s="4">
        <v>413020.66800000001</v>
      </c>
      <c r="H1014" s="5">
        <f>5860 / 86400</f>
        <v>6.7824074074074078E-2</v>
      </c>
      <c r="I1014" t="s">
        <v>84</v>
      </c>
      <c r="J1014" t="s">
        <v>61</v>
      </c>
      <c r="K1014" s="5">
        <f>18478 / 86400</f>
        <v>0.21386574074074075</v>
      </c>
      <c r="L1014" s="5">
        <f>232 / 86400</f>
        <v>2.685185185185185E-3</v>
      </c>
    </row>
    <row r="1015" spans="1:12" x14ac:dyDescent="0.25">
      <c r="A1015" s="3">
        <v>45714.460486111115</v>
      </c>
      <c r="B1015" t="s">
        <v>100</v>
      </c>
      <c r="C1015" s="3">
        <v>45714.462604166663</v>
      </c>
      <c r="D1015" t="s">
        <v>96</v>
      </c>
      <c r="E1015" s="4">
        <v>0.30499999999999999</v>
      </c>
      <c r="F1015" s="4">
        <v>413020.66800000001</v>
      </c>
      <c r="G1015" s="4">
        <v>413020.973</v>
      </c>
      <c r="H1015" s="5">
        <f>20 / 86400</f>
        <v>2.3148148148148149E-4</v>
      </c>
      <c r="I1015" t="s">
        <v>42</v>
      </c>
      <c r="J1015" t="s">
        <v>135</v>
      </c>
      <c r="K1015" s="5">
        <f>182 / 86400</f>
        <v>2.1064814814814813E-3</v>
      </c>
      <c r="L1015" s="5">
        <f>473 / 86400</f>
        <v>5.4745370370370373E-3</v>
      </c>
    </row>
    <row r="1016" spans="1:12" x14ac:dyDescent="0.25">
      <c r="A1016" s="3">
        <v>45714.468078703707</v>
      </c>
      <c r="B1016" t="s">
        <v>96</v>
      </c>
      <c r="C1016" s="3">
        <v>45714.46912037037</v>
      </c>
      <c r="D1016" t="s">
        <v>322</v>
      </c>
      <c r="E1016" s="4">
        <v>7.0999999999999994E-2</v>
      </c>
      <c r="F1016" s="4">
        <v>413020.973</v>
      </c>
      <c r="G1016" s="4">
        <v>413021.04399999999</v>
      </c>
      <c r="H1016" s="5">
        <f>20 / 86400</f>
        <v>2.3148148148148149E-4</v>
      </c>
      <c r="I1016" t="s">
        <v>135</v>
      </c>
      <c r="J1016" t="s">
        <v>102</v>
      </c>
      <c r="K1016" s="5">
        <f>89 / 86400</f>
        <v>1.0300925925925926E-3</v>
      </c>
      <c r="L1016" s="5">
        <f>2850 / 86400</f>
        <v>3.2986111111111112E-2</v>
      </c>
    </row>
    <row r="1017" spans="1:12" x14ac:dyDescent="0.25">
      <c r="A1017" s="3">
        <v>45714.502106481479</v>
      </c>
      <c r="B1017" t="s">
        <v>322</v>
      </c>
      <c r="C1017" s="3">
        <v>45714.50571759259</v>
      </c>
      <c r="D1017" t="s">
        <v>80</v>
      </c>
      <c r="E1017" s="4">
        <v>0.58699999999999997</v>
      </c>
      <c r="F1017" s="4">
        <v>413021.04399999999</v>
      </c>
      <c r="G1017" s="4">
        <v>413021.63099999999</v>
      </c>
      <c r="H1017" s="5">
        <f>140 / 86400</f>
        <v>1.6203703703703703E-3</v>
      </c>
      <c r="I1017" t="s">
        <v>136</v>
      </c>
      <c r="J1017" t="s">
        <v>147</v>
      </c>
      <c r="K1017" s="5">
        <f>311 / 86400</f>
        <v>3.5995370370370369E-3</v>
      </c>
      <c r="L1017" s="5">
        <f>1219 / 86400</f>
        <v>1.4108796296296296E-2</v>
      </c>
    </row>
    <row r="1018" spans="1:12" x14ac:dyDescent="0.25">
      <c r="A1018" s="3">
        <v>45714.519826388889</v>
      </c>
      <c r="B1018" t="s">
        <v>160</v>
      </c>
      <c r="C1018" s="3">
        <v>45714.557187500002</v>
      </c>
      <c r="D1018" t="s">
        <v>26</v>
      </c>
      <c r="E1018" s="4">
        <v>25.614999999999998</v>
      </c>
      <c r="F1018" s="4">
        <v>413021.63099999999</v>
      </c>
      <c r="G1018" s="4">
        <v>413047.24599999998</v>
      </c>
      <c r="H1018" s="5">
        <f>240 / 86400</f>
        <v>2.7777777777777779E-3</v>
      </c>
      <c r="I1018" t="s">
        <v>346</v>
      </c>
      <c r="J1018" t="s">
        <v>181</v>
      </c>
      <c r="K1018" s="5">
        <f>3228 / 86400</f>
        <v>3.7361111111111109E-2</v>
      </c>
      <c r="L1018" s="5">
        <f>174 / 86400</f>
        <v>2.0138888888888888E-3</v>
      </c>
    </row>
    <row r="1019" spans="1:12" x14ac:dyDescent="0.25">
      <c r="A1019" s="3">
        <v>45714.559201388889</v>
      </c>
      <c r="B1019" t="s">
        <v>26</v>
      </c>
      <c r="C1019" s="3">
        <v>45714.561192129629</v>
      </c>
      <c r="D1019" t="s">
        <v>158</v>
      </c>
      <c r="E1019" s="4">
        <v>0.504</v>
      </c>
      <c r="F1019" s="4">
        <v>413047.24599999998</v>
      </c>
      <c r="G1019" s="4">
        <v>413047.75</v>
      </c>
      <c r="H1019" s="5">
        <f>40 / 86400</f>
        <v>4.6296296296296298E-4</v>
      </c>
      <c r="I1019" t="s">
        <v>170</v>
      </c>
      <c r="J1019" t="s">
        <v>31</v>
      </c>
      <c r="K1019" s="5">
        <f>171 / 86400</f>
        <v>1.9791666666666668E-3</v>
      </c>
      <c r="L1019" s="5">
        <f>206 / 86400</f>
        <v>2.3842592592592591E-3</v>
      </c>
    </row>
    <row r="1020" spans="1:12" x14ac:dyDescent="0.25">
      <c r="A1020" s="3">
        <v>45714.563576388886</v>
      </c>
      <c r="B1020" t="s">
        <v>158</v>
      </c>
      <c r="C1020" s="3">
        <v>45714.56930555556</v>
      </c>
      <c r="D1020" t="s">
        <v>26</v>
      </c>
      <c r="E1020" s="4">
        <v>1.375</v>
      </c>
      <c r="F1020" s="4">
        <v>413047.75</v>
      </c>
      <c r="G1020" s="4">
        <v>413049.125</v>
      </c>
      <c r="H1020" s="5">
        <f>60 / 86400</f>
        <v>6.9444444444444447E-4</v>
      </c>
      <c r="I1020" t="s">
        <v>131</v>
      </c>
      <c r="J1020" t="s">
        <v>132</v>
      </c>
      <c r="K1020" s="5">
        <f>495 / 86400</f>
        <v>5.7291666666666663E-3</v>
      </c>
      <c r="L1020" s="5">
        <f>5854 / 86400</f>
        <v>6.7754629629629623E-2</v>
      </c>
    </row>
    <row r="1021" spans="1:12" x14ac:dyDescent="0.25">
      <c r="A1021" s="3">
        <v>45714.637060185181</v>
      </c>
      <c r="B1021" t="s">
        <v>26</v>
      </c>
      <c r="C1021" s="3">
        <v>45714.64508101852</v>
      </c>
      <c r="D1021" t="s">
        <v>83</v>
      </c>
      <c r="E1021" s="4">
        <v>1.181</v>
      </c>
      <c r="F1021" s="4">
        <v>413049.125</v>
      </c>
      <c r="G1021" s="4">
        <v>413050.30599999998</v>
      </c>
      <c r="H1021" s="5">
        <f>280 / 86400</f>
        <v>3.2407407407407406E-3</v>
      </c>
      <c r="I1021" t="s">
        <v>61</v>
      </c>
      <c r="J1021" t="s">
        <v>135</v>
      </c>
      <c r="K1021" s="5">
        <f>693 / 86400</f>
        <v>8.0208333333333329E-3</v>
      </c>
      <c r="L1021" s="5">
        <f>30664 / 86400</f>
        <v>0.35490740740740739</v>
      </c>
    </row>
    <row r="1022" spans="1:12" x14ac:dyDescent="0.25">
      <c r="A1022" s="12"/>
      <c r="B1022" s="12"/>
      <c r="C1022" s="12"/>
      <c r="D1022" s="12"/>
      <c r="E1022" s="12"/>
      <c r="F1022" s="12"/>
      <c r="G1022" s="12"/>
      <c r="H1022" s="12"/>
      <c r="I1022" s="12"/>
      <c r="J1022" s="12"/>
    </row>
    <row r="1023" spans="1:12" x14ac:dyDescent="0.25">
      <c r="A1023" s="12"/>
      <c r="B1023" s="12"/>
      <c r="C1023" s="12"/>
      <c r="D1023" s="12"/>
      <c r="E1023" s="12"/>
      <c r="F1023" s="12"/>
      <c r="G1023" s="12"/>
      <c r="H1023" s="12"/>
      <c r="I1023" s="12"/>
      <c r="J1023" s="12"/>
    </row>
    <row r="1024" spans="1:12" s="10" customFormat="1" ht="20.100000000000001" customHeight="1" x14ac:dyDescent="0.35">
      <c r="A1024" s="15" t="s">
        <v>500</v>
      </c>
      <c r="B1024" s="15"/>
      <c r="C1024" s="15"/>
      <c r="D1024" s="15"/>
      <c r="E1024" s="15"/>
      <c r="F1024" s="15"/>
      <c r="G1024" s="15"/>
      <c r="H1024" s="15"/>
      <c r="I1024" s="15"/>
      <c r="J1024" s="15"/>
    </row>
    <row r="1025" spans="1:12" x14ac:dyDescent="0.25">
      <c r="A1025" s="12"/>
      <c r="B1025" s="12"/>
      <c r="C1025" s="12"/>
      <c r="D1025" s="12"/>
      <c r="E1025" s="12"/>
      <c r="F1025" s="12"/>
      <c r="G1025" s="12"/>
      <c r="H1025" s="12"/>
      <c r="I1025" s="12"/>
      <c r="J1025" s="12"/>
    </row>
    <row r="1026" spans="1:12" ht="30" x14ac:dyDescent="0.25">
      <c r="A1026" s="2" t="s">
        <v>6</v>
      </c>
      <c r="B1026" s="2" t="s">
        <v>7</v>
      </c>
      <c r="C1026" s="2" t="s">
        <v>8</v>
      </c>
      <c r="D1026" s="2" t="s">
        <v>9</v>
      </c>
      <c r="E1026" s="2" t="s">
        <v>10</v>
      </c>
      <c r="F1026" s="2" t="s">
        <v>11</v>
      </c>
      <c r="G1026" s="2" t="s">
        <v>12</v>
      </c>
      <c r="H1026" s="2" t="s">
        <v>13</v>
      </c>
      <c r="I1026" s="2" t="s">
        <v>14</v>
      </c>
      <c r="J1026" s="2" t="s">
        <v>15</v>
      </c>
      <c r="K1026" s="2" t="s">
        <v>16</v>
      </c>
      <c r="L1026" s="2" t="s">
        <v>17</v>
      </c>
    </row>
    <row r="1027" spans="1:12" x14ac:dyDescent="0.25">
      <c r="A1027" s="3">
        <v>45714.15</v>
      </c>
      <c r="B1027" t="s">
        <v>26</v>
      </c>
      <c r="C1027" s="3">
        <v>45714.221203703702</v>
      </c>
      <c r="D1027" t="s">
        <v>240</v>
      </c>
      <c r="E1027" s="4">
        <v>34.637999999999998</v>
      </c>
      <c r="F1027" s="4">
        <v>443735.20799999998</v>
      </c>
      <c r="G1027" s="4">
        <v>443769.84600000002</v>
      </c>
      <c r="H1027" s="5">
        <f>1100 / 86400</f>
        <v>1.2731481481481481E-2</v>
      </c>
      <c r="I1027" t="s">
        <v>85</v>
      </c>
      <c r="J1027" t="s">
        <v>64</v>
      </c>
      <c r="K1027" s="5">
        <f>6152 / 86400</f>
        <v>7.12037037037037E-2</v>
      </c>
      <c r="L1027" s="5">
        <f>13763 / 86400</f>
        <v>0.15929398148148149</v>
      </c>
    </row>
    <row r="1028" spans="1:12" x14ac:dyDescent="0.25">
      <c r="A1028" s="3">
        <v>45714.230497685188</v>
      </c>
      <c r="B1028" t="s">
        <v>240</v>
      </c>
      <c r="C1028" s="3">
        <v>45714.332569444443</v>
      </c>
      <c r="D1028" t="s">
        <v>163</v>
      </c>
      <c r="E1028" s="4">
        <v>50.587000000000003</v>
      </c>
      <c r="F1028" s="4">
        <v>443769.84600000002</v>
      </c>
      <c r="G1028" s="4">
        <v>443820.43300000002</v>
      </c>
      <c r="H1028" s="5">
        <f>1792 / 86400</f>
        <v>2.074074074074074E-2</v>
      </c>
      <c r="I1028" t="s">
        <v>60</v>
      </c>
      <c r="J1028" t="s">
        <v>151</v>
      </c>
      <c r="K1028" s="5">
        <f>8819 / 86400</f>
        <v>0.10207175925925926</v>
      </c>
      <c r="L1028" s="5">
        <f>2549 / 86400</f>
        <v>2.9502314814814815E-2</v>
      </c>
    </row>
    <row r="1029" spans="1:12" x14ac:dyDescent="0.25">
      <c r="A1029" s="3">
        <v>45714.362071759257</v>
      </c>
      <c r="B1029" t="s">
        <v>163</v>
      </c>
      <c r="C1029" s="3">
        <v>45714.496527777781</v>
      </c>
      <c r="D1029" t="s">
        <v>159</v>
      </c>
      <c r="E1029" s="4">
        <v>51.158999999999999</v>
      </c>
      <c r="F1029" s="4">
        <v>443820.43300000002</v>
      </c>
      <c r="G1029" s="4">
        <v>443871.592</v>
      </c>
      <c r="H1029" s="5">
        <f>3921 / 86400</f>
        <v>4.5381944444444447E-2</v>
      </c>
      <c r="I1029" t="s">
        <v>27</v>
      </c>
      <c r="J1029" t="s">
        <v>28</v>
      </c>
      <c r="K1029" s="5">
        <f>11617 / 86400</f>
        <v>0.13445601851851852</v>
      </c>
      <c r="L1029" s="5">
        <f>4279 / 86400</f>
        <v>4.9525462962962966E-2</v>
      </c>
    </row>
    <row r="1030" spans="1:12" x14ac:dyDescent="0.25">
      <c r="A1030" s="3">
        <v>45714.546053240745</v>
      </c>
      <c r="B1030" t="s">
        <v>159</v>
      </c>
      <c r="C1030" s="3">
        <v>45714.661087962959</v>
      </c>
      <c r="D1030" t="s">
        <v>416</v>
      </c>
      <c r="E1030" s="4">
        <v>47.008000000000003</v>
      </c>
      <c r="F1030" s="4">
        <v>443871.592</v>
      </c>
      <c r="G1030" s="4">
        <v>443918.6</v>
      </c>
      <c r="H1030" s="5">
        <f>3079 / 86400</f>
        <v>3.5636574074074077E-2</v>
      </c>
      <c r="I1030" t="s">
        <v>60</v>
      </c>
      <c r="J1030" t="s">
        <v>61</v>
      </c>
      <c r="K1030" s="5">
        <f>9938 / 86400</f>
        <v>0.11502314814814815</v>
      </c>
      <c r="L1030" s="5">
        <f>111 / 86400</f>
        <v>1.2847222222222223E-3</v>
      </c>
    </row>
    <row r="1031" spans="1:12" x14ac:dyDescent="0.25">
      <c r="A1031" s="3">
        <v>45714.662372685183</v>
      </c>
      <c r="B1031" t="s">
        <v>416</v>
      </c>
      <c r="C1031" s="3">
        <v>45714.701701388884</v>
      </c>
      <c r="D1031" t="s">
        <v>436</v>
      </c>
      <c r="E1031" s="4">
        <v>20.744</v>
      </c>
      <c r="F1031" s="4">
        <v>443918.6</v>
      </c>
      <c r="G1031" s="4">
        <v>443939.34399999998</v>
      </c>
      <c r="H1031" s="5">
        <f>680 / 86400</f>
        <v>7.8703703703703696E-3</v>
      </c>
      <c r="I1031" t="s">
        <v>56</v>
      </c>
      <c r="J1031" t="s">
        <v>140</v>
      </c>
      <c r="K1031" s="5">
        <f>3398 / 86400</f>
        <v>3.9328703703703706E-2</v>
      </c>
      <c r="L1031" s="5">
        <f>220 / 86400</f>
        <v>2.5462962962962965E-3</v>
      </c>
    </row>
    <row r="1032" spans="1:12" x14ac:dyDescent="0.25">
      <c r="A1032" s="3">
        <v>45714.704247685186</v>
      </c>
      <c r="B1032" t="s">
        <v>436</v>
      </c>
      <c r="C1032" s="3">
        <v>45714.710625</v>
      </c>
      <c r="D1032" t="s">
        <v>141</v>
      </c>
      <c r="E1032" s="4">
        <v>1.7729999999999999</v>
      </c>
      <c r="F1032" s="4">
        <v>443939.34399999998</v>
      </c>
      <c r="G1032" s="4">
        <v>443941.11700000003</v>
      </c>
      <c r="H1032" s="5">
        <f>219 / 86400</f>
        <v>2.5347222222222221E-3</v>
      </c>
      <c r="I1032" t="s">
        <v>220</v>
      </c>
      <c r="J1032" t="s">
        <v>98</v>
      </c>
      <c r="K1032" s="5">
        <f>550 / 86400</f>
        <v>6.3657407407407404E-3</v>
      </c>
      <c r="L1032" s="5">
        <f>4857 / 86400</f>
        <v>5.6215277777777781E-2</v>
      </c>
    </row>
    <row r="1033" spans="1:12" x14ac:dyDescent="0.25">
      <c r="A1033" s="3">
        <v>45714.766840277778</v>
      </c>
      <c r="B1033" t="s">
        <v>141</v>
      </c>
      <c r="C1033" s="3">
        <v>45714.784432870365</v>
      </c>
      <c r="D1033" t="s">
        <v>158</v>
      </c>
      <c r="E1033" s="4">
        <v>6.6040000000000001</v>
      </c>
      <c r="F1033" s="4">
        <v>443941.11700000003</v>
      </c>
      <c r="G1033" s="4">
        <v>443947.72100000002</v>
      </c>
      <c r="H1033" s="5">
        <f>247 / 86400</f>
        <v>2.8587962962962963E-3</v>
      </c>
      <c r="I1033" t="s">
        <v>275</v>
      </c>
      <c r="J1033" t="s">
        <v>28</v>
      </c>
      <c r="K1033" s="5">
        <f>1520 / 86400</f>
        <v>1.7592592592592594E-2</v>
      </c>
      <c r="L1033" s="5">
        <f>473 / 86400</f>
        <v>5.4745370370370373E-3</v>
      </c>
    </row>
    <row r="1034" spans="1:12" x14ac:dyDescent="0.25">
      <c r="A1034" s="3">
        <v>45714.789907407408</v>
      </c>
      <c r="B1034" t="s">
        <v>158</v>
      </c>
      <c r="C1034" s="3">
        <v>45714.792893518519</v>
      </c>
      <c r="D1034" t="s">
        <v>26</v>
      </c>
      <c r="E1034" s="4">
        <v>0.627</v>
      </c>
      <c r="F1034" s="4">
        <v>443947.72100000002</v>
      </c>
      <c r="G1034" s="4">
        <v>443948.348</v>
      </c>
      <c r="H1034" s="5">
        <f>40 / 86400</f>
        <v>4.6296296296296298E-4</v>
      </c>
      <c r="I1034" t="s">
        <v>42</v>
      </c>
      <c r="J1034" t="s">
        <v>70</v>
      </c>
      <c r="K1034" s="5">
        <f>257 / 86400</f>
        <v>2.9745370370370373E-3</v>
      </c>
      <c r="L1034" s="5">
        <f>17893 / 86400</f>
        <v>0.20709490740740741</v>
      </c>
    </row>
    <row r="1035" spans="1:12" x14ac:dyDescent="0.25">
      <c r="A1035" s="12"/>
      <c r="B1035" s="12"/>
      <c r="C1035" s="12"/>
      <c r="D1035" s="12"/>
      <c r="E1035" s="12"/>
      <c r="F1035" s="12"/>
      <c r="G1035" s="12"/>
      <c r="H1035" s="12"/>
      <c r="I1035" s="12"/>
      <c r="J1035" s="12"/>
    </row>
    <row r="1036" spans="1:12" x14ac:dyDescent="0.25">
      <c r="A1036" s="12"/>
      <c r="B1036" s="12"/>
      <c r="C1036" s="12"/>
      <c r="D1036" s="12"/>
      <c r="E1036" s="12"/>
      <c r="F1036" s="12"/>
      <c r="G1036" s="12"/>
      <c r="H1036" s="12"/>
      <c r="I1036" s="12"/>
      <c r="J1036" s="12"/>
    </row>
    <row r="1037" spans="1:12" s="10" customFormat="1" ht="20.100000000000001" customHeight="1" x14ac:dyDescent="0.35">
      <c r="A1037" s="15" t="s">
        <v>501</v>
      </c>
      <c r="B1037" s="15"/>
      <c r="C1037" s="15"/>
      <c r="D1037" s="15"/>
      <c r="E1037" s="15"/>
      <c r="F1037" s="15"/>
      <c r="G1037" s="15"/>
      <c r="H1037" s="15"/>
      <c r="I1037" s="15"/>
      <c r="J1037" s="15"/>
    </row>
    <row r="1038" spans="1:12" x14ac:dyDescent="0.25">
      <c r="A1038" s="12"/>
      <c r="B1038" s="12"/>
      <c r="C1038" s="12"/>
      <c r="D1038" s="12"/>
      <c r="E1038" s="12"/>
      <c r="F1038" s="12"/>
      <c r="G1038" s="12"/>
      <c r="H1038" s="12"/>
      <c r="I1038" s="12"/>
      <c r="J1038" s="12"/>
    </row>
    <row r="1039" spans="1:12" ht="30" x14ac:dyDescent="0.25">
      <c r="A1039" s="2" t="s">
        <v>6</v>
      </c>
      <c r="B1039" s="2" t="s">
        <v>7</v>
      </c>
      <c r="C1039" s="2" t="s">
        <v>8</v>
      </c>
      <c r="D1039" s="2" t="s">
        <v>9</v>
      </c>
      <c r="E1039" s="2" t="s">
        <v>10</v>
      </c>
      <c r="F1039" s="2" t="s">
        <v>11</v>
      </c>
      <c r="G1039" s="2" t="s">
        <v>12</v>
      </c>
      <c r="H1039" s="2" t="s">
        <v>13</v>
      </c>
      <c r="I1039" s="2" t="s">
        <v>14</v>
      </c>
      <c r="J1039" s="2" t="s">
        <v>15</v>
      </c>
      <c r="K1039" s="2" t="s">
        <v>16</v>
      </c>
      <c r="L1039" s="2" t="s">
        <v>17</v>
      </c>
    </row>
    <row r="1040" spans="1:12" x14ac:dyDescent="0.25">
      <c r="A1040" s="3">
        <v>45714.233657407407</v>
      </c>
      <c r="B1040" t="s">
        <v>86</v>
      </c>
      <c r="C1040" s="3">
        <v>45714.240289351852</v>
      </c>
      <c r="D1040" t="s">
        <v>394</v>
      </c>
      <c r="E1040" s="4">
        <v>0.68799999999999994</v>
      </c>
      <c r="F1040" s="4">
        <v>476057.48100000003</v>
      </c>
      <c r="G1040" s="4">
        <v>476058.16899999999</v>
      </c>
      <c r="H1040" s="5">
        <f>299 / 86400</f>
        <v>3.460648148148148E-3</v>
      </c>
      <c r="I1040" t="s">
        <v>28</v>
      </c>
      <c r="J1040" t="s">
        <v>152</v>
      </c>
      <c r="K1040" s="5">
        <f>572 / 86400</f>
        <v>6.6203703703703702E-3</v>
      </c>
      <c r="L1040" s="5">
        <f>20962 / 86400</f>
        <v>0.24261574074074074</v>
      </c>
    </row>
    <row r="1041" spans="1:12" x14ac:dyDescent="0.25">
      <c r="A1041" s="3">
        <v>45714.249247685184</v>
      </c>
      <c r="B1041" t="s">
        <v>393</v>
      </c>
      <c r="C1041" s="3">
        <v>45714.366759259261</v>
      </c>
      <c r="D1041" t="s">
        <v>240</v>
      </c>
      <c r="E1041" s="4">
        <v>46.268000000000001</v>
      </c>
      <c r="F1041" s="4">
        <v>476058.16899999999</v>
      </c>
      <c r="G1041" s="4">
        <v>476104.43699999998</v>
      </c>
      <c r="H1041" s="5">
        <f>3776 / 86400</f>
        <v>4.3703703703703703E-2</v>
      </c>
      <c r="I1041" t="s">
        <v>87</v>
      </c>
      <c r="J1041" t="s">
        <v>28</v>
      </c>
      <c r="K1041" s="5">
        <f>10153 / 86400</f>
        <v>0.11751157407407407</v>
      </c>
      <c r="L1041" s="5">
        <f>89 / 86400</f>
        <v>1.0300925925925926E-3</v>
      </c>
    </row>
    <row r="1042" spans="1:12" x14ac:dyDescent="0.25">
      <c r="A1042" s="3">
        <v>45714.367789351847</v>
      </c>
      <c r="B1042" t="s">
        <v>240</v>
      </c>
      <c r="C1042" s="3">
        <v>45714.530023148152</v>
      </c>
      <c r="D1042" t="s">
        <v>160</v>
      </c>
      <c r="E1042" s="4">
        <v>50.918999999999997</v>
      </c>
      <c r="F1042" s="4">
        <v>476104.43699999998</v>
      </c>
      <c r="G1042" s="4">
        <v>476155.35600000003</v>
      </c>
      <c r="H1042" s="5">
        <f>6059 / 86400</f>
        <v>7.0127314814814809E-2</v>
      </c>
      <c r="I1042" t="s">
        <v>97</v>
      </c>
      <c r="J1042" t="s">
        <v>42</v>
      </c>
      <c r="K1042" s="5">
        <f>14017 / 86400</f>
        <v>0.16223379629629631</v>
      </c>
      <c r="L1042" s="5">
        <f>2711 / 86400</f>
        <v>3.1377314814814816E-2</v>
      </c>
    </row>
    <row r="1043" spans="1:12" x14ac:dyDescent="0.25">
      <c r="A1043" s="3">
        <v>45714.561400462961</v>
      </c>
      <c r="B1043" t="s">
        <v>160</v>
      </c>
      <c r="C1043" s="3">
        <v>45714.561979166669</v>
      </c>
      <c r="D1043" t="s">
        <v>160</v>
      </c>
      <c r="E1043" s="4">
        <v>0</v>
      </c>
      <c r="F1043" s="4">
        <v>476155.35600000003</v>
      </c>
      <c r="G1043" s="4">
        <v>476155.35600000003</v>
      </c>
      <c r="H1043" s="5">
        <f>39 / 86400</f>
        <v>4.5138888888888887E-4</v>
      </c>
      <c r="I1043" t="s">
        <v>22</v>
      </c>
      <c r="J1043" t="s">
        <v>22</v>
      </c>
      <c r="K1043" s="5">
        <f>50 / 86400</f>
        <v>5.7870370370370367E-4</v>
      </c>
      <c r="L1043" s="5">
        <f>113 / 86400</f>
        <v>1.3078703703703703E-3</v>
      </c>
    </row>
    <row r="1044" spans="1:12" x14ac:dyDescent="0.25">
      <c r="A1044" s="3">
        <v>45714.563287037032</v>
      </c>
      <c r="B1044" t="s">
        <v>160</v>
      </c>
      <c r="C1044" s="3">
        <v>45714.568935185191</v>
      </c>
      <c r="D1044" t="s">
        <v>163</v>
      </c>
      <c r="E1044" s="4">
        <v>1.2230000000000001</v>
      </c>
      <c r="F1044" s="4">
        <v>476155.35600000003</v>
      </c>
      <c r="G1044" s="4">
        <v>476156.57900000003</v>
      </c>
      <c r="H1044" s="5">
        <f>99 / 86400</f>
        <v>1.1458333333333333E-3</v>
      </c>
      <c r="I1044" t="s">
        <v>184</v>
      </c>
      <c r="J1044" t="s">
        <v>70</v>
      </c>
      <c r="K1044" s="5">
        <f>487 / 86400</f>
        <v>5.6365740740740742E-3</v>
      </c>
      <c r="L1044" s="5">
        <f>839 / 86400</f>
        <v>9.7106481481481488E-3</v>
      </c>
    </row>
    <row r="1045" spans="1:12" x14ac:dyDescent="0.25">
      <c r="A1045" s="3">
        <v>45714.578645833331</v>
      </c>
      <c r="B1045" t="s">
        <v>163</v>
      </c>
      <c r="C1045" s="3">
        <v>45714.687094907407</v>
      </c>
      <c r="D1045" t="s">
        <v>446</v>
      </c>
      <c r="E1045" s="4">
        <v>47.167999999999999</v>
      </c>
      <c r="F1045" s="4">
        <v>476156.57900000003</v>
      </c>
      <c r="G1045" s="4">
        <v>476203.74699999997</v>
      </c>
      <c r="H1045" s="5">
        <f>2619 / 86400</f>
        <v>3.0312499999999999E-2</v>
      </c>
      <c r="I1045" t="s">
        <v>30</v>
      </c>
      <c r="J1045" t="s">
        <v>20</v>
      </c>
      <c r="K1045" s="5">
        <f>9369 / 86400</f>
        <v>0.10843750000000001</v>
      </c>
      <c r="L1045" s="5">
        <f>57 / 86400</f>
        <v>6.5972222222222224E-4</v>
      </c>
    </row>
    <row r="1046" spans="1:12" x14ac:dyDescent="0.25">
      <c r="A1046" s="3">
        <v>45714.687754629631</v>
      </c>
      <c r="B1046" t="s">
        <v>446</v>
      </c>
      <c r="C1046" s="3">
        <v>45714.812719907408</v>
      </c>
      <c r="D1046" t="s">
        <v>353</v>
      </c>
      <c r="E1046" s="4">
        <v>45.17</v>
      </c>
      <c r="F1046" s="4">
        <v>476203.74699999997</v>
      </c>
      <c r="G1046" s="4">
        <v>476248.91700000002</v>
      </c>
      <c r="H1046" s="5">
        <f>3419 / 86400</f>
        <v>3.9571759259259258E-2</v>
      </c>
      <c r="I1046" t="s">
        <v>143</v>
      </c>
      <c r="J1046" t="s">
        <v>46</v>
      </c>
      <c r="K1046" s="5">
        <f>10797 / 86400</f>
        <v>0.12496527777777777</v>
      </c>
      <c r="L1046" s="5">
        <f>619 / 86400</f>
        <v>7.1643518518518514E-3</v>
      </c>
    </row>
    <row r="1047" spans="1:12" x14ac:dyDescent="0.25">
      <c r="A1047" s="3">
        <v>45714.819884259261</v>
      </c>
      <c r="B1047" t="s">
        <v>353</v>
      </c>
      <c r="C1047" s="3">
        <v>45714.82748842593</v>
      </c>
      <c r="D1047" t="s">
        <v>86</v>
      </c>
      <c r="E1047" s="4">
        <v>0.79700000000000004</v>
      </c>
      <c r="F1047" s="4">
        <v>476248.91700000002</v>
      </c>
      <c r="G1047" s="4">
        <v>476249.71399999998</v>
      </c>
      <c r="H1047" s="5">
        <f>319 / 86400</f>
        <v>3.6921296296296298E-3</v>
      </c>
      <c r="I1047" t="s">
        <v>46</v>
      </c>
      <c r="J1047" t="s">
        <v>152</v>
      </c>
      <c r="K1047" s="5">
        <f>657 / 86400</f>
        <v>7.6041666666666671E-3</v>
      </c>
      <c r="L1047" s="5">
        <f>14904 / 86400</f>
        <v>0.17249999999999999</v>
      </c>
    </row>
    <row r="1048" spans="1:12" x14ac:dyDescent="0.25">
      <c r="A1048" s="12"/>
      <c r="B1048" s="12"/>
      <c r="C1048" s="12"/>
      <c r="D1048" s="12"/>
      <c r="E1048" s="12"/>
      <c r="F1048" s="12"/>
      <c r="G1048" s="12"/>
      <c r="H1048" s="12"/>
      <c r="I1048" s="12"/>
      <c r="J1048" s="12"/>
    </row>
    <row r="1049" spans="1:12" x14ac:dyDescent="0.25">
      <c r="A1049" s="12"/>
      <c r="B1049" s="12"/>
      <c r="C1049" s="12"/>
      <c r="D1049" s="12"/>
      <c r="E1049" s="12"/>
      <c r="F1049" s="12"/>
      <c r="G1049" s="12"/>
      <c r="H1049" s="12"/>
      <c r="I1049" s="12"/>
      <c r="J1049" s="12"/>
    </row>
    <row r="1050" spans="1:12" s="10" customFormat="1" ht="20.100000000000001" customHeight="1" x14ac:dyDescent="0.35">
      <c r="A1050" s="15" t="s">
        <v>502</v>
      </c>
      <c r="B1050" s="15"/>
      <c r="C1050" s="15"/>
      <c r="D1050" s="15"/>
      <c r="E1050" s="15"/>
      <c r="F1050" s="15"/>
      <c r="G1050" s="15"/>
      <c r="H1050" s="15"/>
      <c r="I1050" s="15"/>
      <c r="J1050" s="15"/>
    </row>
    <row r="1051" spans="1:12" x14ac:dyDescent="0.25">
      <c r="A1051" s="12"/>
      <c r="B1051" s="12"/>
      <c r="C1051" s="12"/>
      <c r="D1051" s="12"/>
      <c r="E1051" s="12"/>
      <c r="F1051" s="12"/>
      <c r="G1051" s="12"/>
      <c r="H1051" s="12"/>
      <c r="I1051" s="12"/>
      <c r="J1051" s="12"/>
    </row>
    <row r="1052" spans="1:12" ht="30" x14ac:dyDescent="0.25">
      <c r="A1052" s="2" t="s">
        <v>6</v>
      </c>
      <c r="B1052" s="2" t="s">
        <v>7</v>
      </c>
      <c r="C1052" s="2" t="s">
        <v>8</v>
      </c>
      <c r="D1052" s="2" t="s">
        <v>9</v>
      </c>
      <c r="E1052" s="2" t="s">
        <v>10</v>
      </c>
      <c r="F1052" s="2" t="s">
        <v>11</v>
      </c>
      <c r="G1052" s="2" t="s">
        <v>12</v>
      </c>
      <c r="H1052" s="2" t="s">
        <v>13</v>
      </c>
      <c r="I1052" s="2" t="s">
        <v>14</v>
      </c>
      <c r="J1052" s="2" t="s">
        <v>15</v>
      </c>
      <c r="K1052" s="2" t="s">
        <v>16</v>
      </c>
      <c r="L1052" s="2" t="s">
        <v>17</v>
      </c>
    </row>
    <row r="1053" spans="1:12" x14ac:dyDescent="0.25">
      <c r="A1053" s="3">
        <v>45714</v>
      </c>
      <c r="B1053" t="s">
        <v>65</v>
      </c>
      <c r="C1053" s="3">
        <v>45714.004328703704</v>
      </c>
      <c r="D1053" t="s">
        <v>81</v>
      </c>
      <c r="E1053" s="4">
        <v>2.0059999999999998</v>
      </c>
      <c r="F1053" s="4">
        <v>416469.35200000001</v>
      </c>
      <c r="G1053" s="4">
        <v>416471.35800000001</v>
      </c>
      <c r="H1053" s="5">
        <f>160 / 86400</f>
        <v>1.8518518518518519E-3</v>
      </c>
      <c r="I1053" t="s">
        <v>116</v>
      </c>
      <c r="J1053" t="s">
        <v>25</v>
      </c>
      <c r="K1053" s="5">
        <f>374 / 86400</f>
        <v>4.3287037037037035E-3</v>
      </c>
      <c r="L1053" s="5">
        <f>469 / 86400</f>
        <v>5.4282407407407404E-3</v>
      </c>
    </row>
    <row r="1054" spans="1:12" x14ac:dyDescent="0.25">
      <c r="A1054" s="3">
        <v>45714.009756944448</v>
      </c>
      <c r="B1054" t="s">
        <v>81</v>
      </c>
      <c r="C1054" s="3">
        <v>45714.010046296295</v>
      </c>
      <c r="D1054" t="s">
        <v>81</v>
      </c>
      <c r="E1054" s="4">
        <v>4.9000000000000002E-2</v>
      </c>
      <c r="F1054" s="4">
        <v>416471.35800000001</v>
      </c>
      <c r="G1054" s="4">
        <v>416471.40700000001</v>
      </c>
      <c r="H1054" s="5">
        <f>0 / 86400</f>
        <v>0</v>
      </c>
      <c r="I1054" t="s">
        <v>147</v>
      </c>
      <c r="J1054" t="s">
        <v>147</v>
      </c>
      <c r="K1054" s="5">
        <f>25 / 86400</f>
        <v>2.8935185185185184E-4</v>
      </c>
      <c r="L1054" s="5">
        <f>1378 / 86400</f>
        <v>1.5949074074074074E-2</v>
      </c>
    </row>
    <row r="1055" spans="1:12" x14ac:dyDescent="0.25">
      <c r="A1055" s="3">
        <v>45714.025995370372</v>
      </c>
      <c r="B1055" t="s">
        <v>81</v>
      </c>
      <c r="C1055" s="3">
        <v>45714.030428240745</v>
      </c>
      <c r="D1055" t="s">
        <v>82</v>
      </c>
      <c r="E1055" s="4">
        <v>1.48</v>
      </c>
      <c r="F1055" s="4">
        <v>416471.40700000001</v>
      </c>
      <c r="G1055" s="4">
        <v>416472.88699999999</v>
      </c>
      <c r="H1055" s="5">
        <f>99 / 86400</f>
        <v>1.1458333333333333E-3</v>
      </c>
      <c r="I1055" t="s">
        <v>182</v>
      </c>
      <c r="J1055" t="s">
        <v>52</v>
      </c>
      <c r="K1055" s="5">
        <f>383 / 86400</f>
        <v>4.43287037037037E-3</v>
      </c>
      <c r="L1055" s="5">
        <f>179 / 86400</f>
        <v>2.0717592592592593E-3</v>
      </c>
    </row>
    <row r="1056" spans="1:12" x14ac:dyDescent="0.25">
      <c r="A1056" s="3">
        <v>45714.032500000001</v>
      </c>
      <c r="B1056" t="s">
        <v>82</v>
      </c>
      <c r="C1056" s="3">
        <v>45714.032893518517</v>
      </c>
      <c r="D1056" t="s">
        <v>82</v>
      </c>
      <c r="E1056" s="4">
        <v>2.1999999999999999E-2</v>
      </c>
      <c r="F1056" s="4">
        <v>416472.88699999999</v>
      </c>
      <c r="G1056" s="4">
        <v>416472.90899999999</v>
      </c>
      <c r="H1056" s="5">
        <f>0 / 86400</f>
        <v>0</v>
      </c>
      <c r="I1056" t="s">
        <v>147</v>
      </c>
      <c r="J1056" t="s">
        <v>32</v>
      </c>
      <c r="K1056" s="5">
        <f>33 / 86400</f>
        <v>3.8194444444444446E-4</v>
      </c>
      <c r="L1056" s="5">
        <f>22026 / 86400</f>
        <v>0.25493055555555555</v>
      </c>
    </row>
    <row r="1057" spans="1:12" x14ac:dyDescent="0.25">
      <c r="A1057" s="3">
        <v>45714.287824074076</v>
      </c>
      <c r="B1057" t="s">
        <v>82</v>
      </c>
      <c r="C1057" s="3">
        <v>45714.289710648147</v>
      </c>
      <c r="D1057" t="s">
        <v>82</v>
      </c>
      <c r="E1057" s="4">
        <v>3.2000000000000001E-2</v>
      </c>
      <c r="F1057" s="4">
        <v>416472.90899999999</v>
      </c>
      <c r="G1057" s="4">
        <v>416472.94099999999</v>
      </c>
      <c r="H1057" s="5">
        <f>100 / 86400</f>
        <v>1.1574074074074073E-3</v>
      </c>
      <c r="I1057" t="s">
        <v>77</v>
      </c>
      <c r="J1057" t="s">
        <v>78</v>
      </c>
      <c r="K1057" s="5">
        <f>163 / 86400</f>
        <v>1.8865740740740742E-3</v>
      </c>
      <c r="L1057" s="5">
        <f>4933 / 86400</f>
        <v>5.7094907407407407E-2</v>
      </c>
    </row>
    <row r="1058" spans="1:12" x14ac:dyDescent="0.25">
      <c r="A1058" s="3">
        <v>45714.346805555557</v>
      </c>
      <c r="B1058" t="s">
        <v>82</v>
      </c>
      <c r="C1058" s="3">
        <v>45714.347638888888</v>
      </c>
      <c r="D1058" t="s">
        <v>82</v>
      </c>
      <c r="E1058" s="4">
        <v>0.01</v>
      </c>
      <c r="F1058" s="4">
        <v>416472.94099999999</v>
      </c>
      <c r="G1058" s="4">
        <v>416472.951</v>
      </c>
      <c r="H1058" s="5">
        <f>39 / 86400</f>
        <v>4.5138888888888887E-4</v>
      </c>
      <c r="I1058" t="s">
        <v>77</v>
      </c>
      <c r="J1058" t="s">
        <v>78</v>
      </c>
      <c r="K1058" s="5">
        <f>71 / 86400</f>
        <v>8.2175925925925927E-4</v>
      </c>
      <c r="L1058" s="5">
        <f>24689 / 86400</f>
        <v>0.28575231481481483</v>
      </c>
    </row>
    <row r="1059" spans="1:12" x14ac:dyDescent="0.25">
      <c r="A1059" s="3">
        <v>45714.633391203708</v>
      </c>
      <c r="B1059" t="s">
        <v>82</v>
      </c>
      <c r="C1059" s="3">
        <v>45714.729780092588</v>
      </c>
      <c r="D1059" t="s">
        <v>189</v>
      </c>
      <c r="E1059" s="4">
        <v>49.866999999999997</v>
      </c>
      <c r="F1059" s="4">
        <v>416472.951</v>
      </c>
      <c r="G1059" s="4">
        <v>416522.81800000003</v>
      </c>
      <c r="H1059" s="5">
        <f>2839 / 86400</f>
        <v>3.2858796296296296E-2</v>
      </c>
      <c r="I1059" t="s">
        <v>30</v>
      </c>
      <c r="J1059" t="s">
        <v>140</v>
      </c>
      <c r="K1059" s="5">
        <f>8328 / 86400</f>
        <v>9.6388888888888885E-2</v>
      </c>
      <c r="L1059" s="5">
        <f>45 / 86400</f>
        <v>5.2083333333333333E-4</v>
      </c>
    </row>
    <row r="1060" spans="1:12" x14ac:dyDescent="0.25">
      <c r="A1060" s="3">
        <v>45714.730300925927</v>
      </c>
      <c r="B1060" t="s">
        <v>189</v>
      </c>
      <c r="C1060" s="3">
        <v>45714.960775462961</v>
      </c>
      <c r="D1060" t="s">
        <v>81</v>
      </c>
      <c r="E1060" s="4">
        <v>100.962</v>
      </c>
      <c r="F1060" s="4">
        <v>416522.81800000003</v>
      </c>
      <c r="G1060" s="4">
        <v>416623.78</v>
      </c>
      <c r="H1060" s="5">
        <f>6882 / 86400</f>
        <v>7.9652777777777781E-2</v>
      </c>
      <c r="I1060" t="s">
        <v>88</v>
      </c>
      <c r="J1060" t="s">
        <v>20</v>
      </c>
      <c r="K1060" s="5">
        <f>19913 / 86400</f>
        <v>0.23047453703703705</v>
      </c>
      <c r="L1060" s="5">
        <f>623 / 86400</f>
        <v>7.2106481481481483E-3</v>
      </c>
    </row>
    <row r="1061" spans="1:12" x14ac:dyDescent="0.25">
      <c r="A1061" s="3">
        <v>45714.967986111107</v>
      </c>
      <c r="B1061" t="s">
        <v>81</v>
      </c>
      <c r="C1061" s="3">
        <v>45714.969155092593</v>
      </c>
      <c r="D1061" t="s">
        <v>81</v>
      </c>
      <c r="E1061" s="4">
        <v>0.104</v>
      </c>
      <c r="F1061" s="4">
        <v>416623.78</v>
      </c>
      <c r="G1061" s="4">
        <v>416623.88400000002</v>
      </c>
      <c r="H1061" s="5">
        <f>20 / 86400</f>
        <v>2.3148148148148149E-4</v>
      </c>
      <c r="I1061" t="s">
        <v>31</v>
      </c>
      <c r="J1061" t="s">
        <v>152</v>
      </c>
      <c r="K1061" s="5">
        <f>101 / 86400</f>
        <v>1.1689814814814816E-3</v>
      </c>
      <c r="L1061" s="5">
        <f>1467 / 86400</f>
        <v>1.6979166666666667E-2</v>
      </c>
    </row>
    <row r="1062" spans="1:12" x14ac:dyDescent="0.25">
      <c r="A1062" s="3">
        <v>45714.986134259263</v>
      </c>
      <c r="B1062" t="s">
        <v>81</v>
      </c>
      <c r="C1062" s="3">
        <v>45714.990879629629</v>
      </c>
      <c r="D1062" t="s">
        <v>82</v>
      </c>
      <c r="E1062" s="4">
        <v>1.498</v>
      </c>
      <c r="F1062" s="4">
        <v>416623.88400000002</v>
      </c>
      <c r="G1062" s="4">
        <v>416625.38199999998</v>
      </c>
      <c r="H1062" s="5">
        <f>140 / 86400</f>
        <v>1.6203703703703703E-3</v>
      </c>
      <c r="I1062" t="s">
        <v>288</v>
      </c>
      <c r="J1062" t="s">
        <v>42</v>
      </c>
      <c r="K1062" s="5">
        <f>410 / 86400</f>
        <v>4.7453703703703703E-3</v>
      </c>
      <c r="L1062" s="5">
        <f>787 / 86400</f>
        <v>9.1087962962962971E-3</v>
      </c>
    </row>
    <row r="1063" spans="1:12" x14ac:dyDescent="0.25">
      <c r="A1063" s="12"/>
      <c r="B1063" s="12"/>
      <c r="C1063" s="12"/>
      <c r="D1063" s="12"/>
      <c r="E1063" s="12"/>
      <c r="F1063" s="12"/>
      <c r="G1063" s="12"/>
      <c r="H1063" s="12"/>
      <c r="I1063" s="12"/>
      <c r="J1063" s="12"/>
    </row>
    <row r="1064" spans="1:12" x14ac:dyDescent="0.25">
      <c r="A1064" s="12"/>
      <c r="B1064" s="12"/>
      <c r="C1064" s="12"/>
      <c r="D1064" s="12"/>
      <c r="E1064" s="12"/>
      <c r="F1064" s="12"/>
      <c r="G1064" s="12"/>
      <c r="H1064" s="12"/>
      <c r="I1064" s="12"/>
      <c r="J1064" s="12"/>
    </row>
    <row r="1065" spans="1:12" s="10" customFormat="1" ht="20.100000000000001" customHeight="1" x14ac:dyDescent="0.35">
      <c r="A1065" s="15" t="s">
        <v>503</v>
      </c>
      <c r="B1065" s="15"/>
      <c r="C1065" s="15"/>
      <c r="D1065" s="15"/>
      <c r="E1065" s="15"/>
      <c r="F1065" s="15"/>
      <c r="G1065" s="15"/>
      <c r="H1065" s="15"/>
      <c r="I1065" s="15"/>
      <c r="J1065" s="15"/>
    </row>
    <row r="1066" spans="1:12" x14ac:dyDescent="0.25">
      <c r="A1066" s="12"/>
      <c r="B1066" s="12"/>
      <c r="C1066" s="12"/>
      <c r="D1066" s="12"/>
      <c r="E1066" s="12"/>
      <c r="F1066" s="12"/>
      <c r="G1066" s="12"/>
      <c r="H1066" s="12"/>
      <c r="I1066" s="12"/>
      <c r="J1066" s="12"/>
    </row>
    <row r="1067" spans="1:12" ht="30" x14ac:dyDescent="0.25">
      <c r="A1067" s="2" t="s">
        <v>6</v>
      </c>
      <c r="B1067" s="2" t="s">
        <v>7</v>
      </c>
      <c r="C1067" s="2" t="s">
        <v>8</v>
      </c>
      <c r="D1067" s="2" t="s">
        <v>9</v>
      </c>
      <c r="E1067" s="2" t="s">
        <v>10</v>
      </c>
      <c r="F1067" s="2" t="s">
        <v>11</v>
      </c>
      <c r="G1067" s="2" t="s">
        <v>12</v>
      </c>
      <c r="H1067" s="2" t="s">
        <v>13</v>
      </c>
      <c r="I1067" s="2" t="s">
        <v>14</v>
      </c>
      <c r="J1067" s="2" t="s">
        <v>15</v>
      </c>
      <c r="K1067" s="2" t="s">
        <v>16</v>
      </c>
      <c r="L1067" s="2" t="s">
        <v>17</v>
      </c>
    </row>
    <row r="1068" spans="1:12" x14ac:dyDescent="0.25">
      <c r="A1068" s="3">
        <v>45714</v>
      </c>
      <c r="B1068" t="s">
        <v>26</v>
      </c>
      <c r="C1068" s="3">
        <v>45714.000219907408</v>
      </c>
      <c r="D1068" t="s">
        <v>26</v>
      </c>
      <c r="E1068" s="4">
        <v>3.0000000000000001E-3</v>
      </c>
      <c r="F1068" s="4">
        <v>331218.61</v>
      </c>
      <c r="G1068" s="4">
        <v>331218.61300000001</v>
      </c>
      <c r="H1068" s="5">
        <f>0 / 86400</f>
        <v>0</v>
      </c>
      <c r="I1068" t="s">
        <v>22</v>
      </c>
      <c r="J1068" t="s">
        <v>78</v>
      </c>
      <c r="K1068" s="5">
        <f>19 / 86400</f>
        <v>2.199074074074074E-4</v>
      </c>
      <c r="L1068" s="5">
        <f>14665 / 86400</f>
        <v>0.16973379629629629</v>
      </c>
    </row>
    <row r="1069" spans="1:12" x14ac:dyDescent="0.25">
      <c r="A1069" s="3">
        <v>45714.169953703706</v>
      </c>
      <c r="B1069" t="s">
        <v>26</v>
      </c>
      <c r="C1069" s="3">
        <v>45714.171261574069</v>
      </c>
      <c r="D1069" t="s">
        <v>26</v>
      </c>
      <c r="E1069" s="4">
        <v>3.7999999999999999E-2</v>
      </c>
      <c r="F1069" s="4">
        <v>331218.61300000001</v>
      </c>
      <c r="G1069" s="4">
        <v>331218.65100000001</v>
      </c>
      <c r="H1069" s="5">
        <f>59 / 86400</f>
        <v>6.8287037037037036E-4</v>
      </c>
      <c r="I1069" t="s">
        <v>135</v>
      </c>
      <c r="J1069" t="s">
        <v>78</v>
      </c>
      <c r="K1069" s="5">
        <f>112 / 86400</f>
        <v>1.2962962962962963E-3</v>
      </c>
      <c r="L1069" s="5">
        <f>120 / 86400</f>
        <v>1.3888888888888889E-3</v>
      </c>
    </row>
    <row r="1070" spans="1:12" x14ac:dyDescent="0.25">
      <c r="A1070" s="3">
        <v>45714.172650462962</v>
      </c>
      <c r="B1070" t="s">
        <v>26</v>
      </c>
      <c r="C1070" s="3">
        <v>45714.337048611109</v>
      </c>
      <c r="D1070" t="s">
        <v>125</v>
      </c>
      <c r="E1070" s="4">
        <v>81.808999999999997</v>
      </c>
      <c r="F1070" s="4">
        <v>331218.65100000001</v>
      </c>
      <c r="G1070" s="4">
        <v>331300.46000000002</v>
      </c>
      <c r="H1070" s="5">
        <f>2803 / 86400</f>
        <v>3.2442129629629626E-2</v>
      </c>
      <c r="I1070" t="s">
        <v>51</v>
      </c>
      <c r="J1070" t="s">
        <v>151</v>
      </c>
      <c r="K1070" s="5">
        <f>14203 / 86400</f>
        <v>0.16438657407407409</v>
      </c>
      <c r="L1070" s="5">
        <f>2690 / 86400</f>
        <v>3.1134259259259261E-2</v>
      </c>
    </row>
    <row r="1071" spans="1:12" x14ac:dyDescent="0.25">
      <c r="A1071" s="3">
        <v>45714.36818287037</v>
      </c>
      <c r="B1071" t="s">
        <v>125</v>
      </c>
      <c r="C1071" s="3">
        <v>45714.372071759259</v>
      </c>
      <c r="D1071" t="s">
        <v>163</v>
      </c>
      <c r="E1071" s="4">
        <v>1.1100000000000001</v>
      </c>
      <c r="F1071" s="4">
        <v>331300.46000000002</v>
      </c>
      <c r="G1071" s="4">
        <v>331301.57</v>
      </c>
      <c r="H1071" s="5">
        <f>19 / 86400</f>
        <v>2.199074074074074E-4</v>
      </c>
      <c r="I1071" t="s">
        <v>37</v>
      </c>
      <c r="J1071" t="s">
        <v>98</v>
      </c>
      <c r="K1071" s="5">
        <f>335 / 86400</f>
        <v>3.8773148148148148E-3</v>
      </c>
      <c r="L1071" s="5">
        <f>3232 / 86400</f>
        <v>3.740740740740741E-2</v>
      </c>
    </row>
    <row r="1072" spans="1:12" x14ac:dyDescent="0.25">
      <c r="A1072" s="3">
        <v>45714.409479166672</v>
      </c>
      <c r="B1072" t="s">
        <v>163</v>
      </c>
      <c r="C1072" s="3">
        <v>45714.631018518514</v>
      </c>
      <c r="D1072" t="s">
        <v>328</v>
      </c>
      <c r="E1072" s="4">
        <v>85.867000000000004</v>
      </c>
      <c r="F1072" s="4">
        <v>331301.57</v>
      </c>
      <c r="G1072" s="4">
        <v>331387.43699999998</v>
      </c>
      <c r="H1072" s="5">
        <f>6550 / 86400</f>
        <v>7.5810185185185189E-2</v>
      </c>
      <c r="I1072" t="s">
        <v>97</v>
      </c>
      <c r="J1072" t="s">
        <v>28</v>
      </c>
      <c r="K1072" s="5">
        <f>19141 / 86400</f>
        <v>0.22153935185185186</v>
      </c>
      <c r="L1072" s="5">
        <f>662 / 86400</f>
        <v>7.6620370370370366E-3</v>
      </c>
    </row>
    <row r="1073" spans="1:12" x14ac:dyDescent="0.25">
      <c r="A1073" s="3">
        <v>45714.638680555552</v>
      </c>
      <c r="B1073" t="s">
        <v>328</v>
      </c>
      <c r="C1073" s="3">
        <v>45714.661817129629</v>
      </c>
      <c r="D1073" t="s">
        <v>141</v>
      </c>
      <c r="E1073" s="4">
        <v>10.195</v>
      </c>
      <c r="F1073" s="4">
        <v>331387.43699999998</v>
      </c>
      <c r="G1073" s="4">
        <v>331397.63199999998</v>
      </c>
      <c r="H1073" s="5">
        <f>300 / 86400</f>
        <v>3.472222222222222E-3</v>
      </c>
      <c r="I1073" t="s">
        <v>314</v>
      </c>
      <c r="J1073" t="s">
        <v>20</v>
      </c>
      <c r="K1073" s="5">
        <f>1998 / 86400</f>
        <v>2.3125E-2</v>
      </c>
      <c r="L1073" s="5">
        <f>418 / 86400</f>
        <v>4.8379629629629632E-3</v>
      </c>
    </row>
    <row r="1074" spans="1:12" x14ac:dyDescent="0.25">
      <c r="A1074" s="3">
        <v>45714.666655092587</v>
      </c>
      <c r="B1074" t="s">
        <v>141</v>
      </c>
      <c r="C1074" s="3">
        <v>45714.66915509259</v>
      </c>
      <c r="D1074" t="s">
        <v>26</v>
      </c>
      <c r="E1074" s="4">
        <v>0.501</v>
      </c>
      <c r="F1074" s="4">
        <v>331397.63199999998</v>
      </c>
      <c r="G1074" s="4">
        <v>331398.13299999997</v>
      </c>
      <c r="H1074" s="5">
        <f>0 / 86400</f>
        <v>0</v>
      </c>
      <c r="I1074" t="s">
        <v>42</v>
      </c>
      <c r="J1074" t="s">
        <v>157</v>
      </c>
      <c r="K1074" s="5">
        <f>216 / 86400</f>
        <v>2.5000000000000001E-3</v>
      </c>
      <c r="L1074" s="5">
        <f>140 / 86400</f>
        <v>1.6203703703703703E-3</v>
      </c>
    </row>
    <row r="1075" spans="1:12" x14ac:dyDescent="0.25">
      <c r="A1075" s="3">
        <v>45714.670775462961</v>
      </c>
      <c r="B1075" t="s">
        <v>26</v>
      </c>
      <c r="C1075" s="3">
        <v>45714.673831018517</v>
      </c>
      <c r="D1075" t="s">
        <v>66</v>
      </c>
      <c r="E1075" s="4">
        <v>2.1989999999999998</v>
      </c>
      <c r="F1075" s="4">
        <v>331398.13299999997</v>
      </c>
      <c r="G1075" s="4">
        <v>331400.33199999999</v>
      </c>
      <c r="H1075" s="5">
        <f>20 / 86400</f>
        <v>2.3148148148148149E-4</v>
      </c>
      <c r="I1075" t="s">
        <v>150</v>
      </c>
      <c r="J1075" t="s">
        <v>197</v>
      </c>
      <c r="K1075" s="5">
        <f>264 / 86400</f>
        <v>3.0555555555555557E-3</v>
      </c>
      <c r="L1075" s="5">
        <f>72 / 86400</f>
        <v>8.3333333333333339E-4</v>
      </c>
    </row>
    <row r="1076" spans="1:12" x14ac:dyDescent="0.25">
      <c r="A1076" s="3">
        <v>45714.674664351856</v>
      </c>
      <c r="B1076" t="s">
        <v>66</v>
      </c>
      <c r="C1076" s="3">
        <v>45714.886157407411</v>
      </c>
      <c r="D1076" t="s">
        <v>447</v>
      </c>
      <c r="E1076" s="4">
        <v>85.965999999999994</v>
      </c>
      <c r="F1076" s="4">
        <v>331400.33199999999</v>
      </c>
      <c r="G1076" s="4">
        <v>331486.29800000001</v>
      </c>
      <c r="H1076" s="5">
        <f>5998 / 86400</f>
        <v>6.94212962962963E-2</v>
      </c>
      <c r="I1076" t="s">
        <v>87</v>
      </c>
      <c r="J1076" t="s">
        <v>61</v>
      </c>
      <c r="K1076" s="5">
        <f>18272 / 86400</f>
        <v>0.21148148148148149</v>
      </c>
      <c r="L1076" s="5">
        <f>930 / 86400</f>
        <v>1.0763888888888889E-2</v>
      </c>
    </row>
    <row r="1077" spans="1:12" x14ac:dyDescent="0.25">
      <c r="A1077" s="3">
        <v>45714.896921296298</v>
      </c>
      <c r="B1077" t="s">
        <v>417</v>
      </c>
      <c r="C1077" s="3">
        <v>45714.975532407407</v>
      </c>
      <c r="D1077" t="s">
        <v>59</v>
      </c>
      <c r="E1077" s="4">
        <v>31.233000000000001</v>
      </c>
      <c r="F1077" s="4">
        <v>331486.29800000001</v>
      </c>
      <c r="G1077" s="4">
        <v>331517.53100000002</v>
      </c>
      <c r="H1077" s="5">
        <f>2640 / 86400</f>
        <v>3.0555555555555555E-2</v>
      </c>
      <c r="I1077" t="s">
        <v>84</v>
      </c>
      <c r="J1077" t="s">
        <v>61</v>
      </c>
      <c r="K1077" s="5">
        <f>6791 / 86400</f>
        <v>7.8599537037037037E-2</v>
      </c>
      <c r="L1077" s="5">
        <f>756 / 86400</f>
        <v>8.7500000000000008E-3</v>
      </c>
    </row>
    <row r="1078" spans="1:12" x14ac:dyDescent="0.25">
      <c r="A1078" s="3">
        <v>45714.984282407408</v>
      </c>
      <c r="B1078" t="s">
        <v>59</v>
      </c>
      <c r="C1078" s="3">
        <v>45714.984780092593</v>
      </c>
      <c r="D1078" t="s">
        <v>425</v>
      </c>
      <c r="E1078" s="4">
        <v>5.7000000000000002E-2</v>
      </c>
      <c r="F1078" s="4">
        <v>331517.53100000002</v>
      </c>
      <c r="G1078" s="4">
        <v>331517.58799999999</v>
      </c>
      <c r="H1078" s="5">
        <f>0 / 86400</f>
        <v>0</v>
      </c>
      <c r="I1078" t="s">
        <v>98</v>
      </c>
      <c r="J1078" t="s">
        <v>77</v>
      </c>
      <c r="K1078" s="5">
        <f>43 / 86400</f>
        <v>4.9768518518518521E-4</v>
      </c>
      <c r="L1078" s="5">
        <f>407 / 86400</f>
        <v>4.7106481481481478E-3</v>
      </c>
    </row>
    <row r="1079" spans="1:12" x14ac:dyDescent="0.25">
      <c r="A1079" s="3">
        <v>45714.989490740743</v>
      </c>
      <c r="B1079" t="s">
        <v>425</v>
      </c>
      <c r="C1079" s="3">
        <v>45714.990787037037</v>
      </c>
      <c r="D1079" t="s">
        <v>179</v>
      </c>
      <c r="E1079" s="4">
        <v>0.17100000000000001</v>
      </c>
      <c r="F1079" s="4">
        <v>331517.58799999999</v>
      </c>
      <c r="G1079" s="4">
        <v>331517.75900000002</v>
      </c>
      <c r="H1079" s="5">
        <f>59 / 86400</f>
        <v>6.8287037037037036E-4</v>
      </c>
      <c r="I1079" t="s">
        <v>61</v>
      </c>
      <c r="J1079" t="s">
        <v>135</v>
      </c>
      <c r="K1079" s="5">
        <f>111 / 86400</f>
        <v>1.2847222222222223E-3</v>
      </c>
      <c r="L1079" s="5">
        <f>122 / 86400</f>
        <v>1.4120370370370369E-3</v>
      </c>
    </row>
    <row r="1080" spans="1:12" x14ac:dyDescent="0.25">
      <c r="A1080" s="3">
        <v>45714.99219907407</v>
      </c>
      <c r="B1080" t="s">
        <v>179</v>
      </c>
      <c r="C1080" s="3">
        <v>45714.99998842593</v>
      </c>
      <c r="D1080" t="s">
        <v>26</v>
      </c>
      <c r="E1080" s="4">
        <v>5.4370000000000003</v>
      </c>
      <c r="F1080" s="4">
        <v>331517.75900000002</v>
      </c>
      <c r="G1080" s="4">
        <v>331523.196</v>
      </c>
      <c r="H1080" s="5">
        <f>80 / 86400</f>
        <v>9.2592592592592596E-4</v>
      </c>
      <c r="I1080" t="s">
        <v>299</v>
      </c>
      <c r="J1080" t="s">
        <v>181</v>
      </c>
      <c r="K1080" s="5">
        <f>673 / 86400</f>
        <v>7.789351851851852E-3</v>
      </c>
      <c r="L1080" s="5">
        <f>0 / 86400</f>
        <v>0</v>
      </c>
    </row>
    <row r="1081" spans="1:12" x14ac:dyDescent="0.25">
      <c r="A1081" s="12"/>
      <c r="B1081" s="12"/>
      <c r="C1081" s="12"/>
      <c r="D1081" s="12"/>
      <c r="E1081" s="12"/>
      <c r="F1081" s="12"/>
      <c r="G1081" s="12"/>
      <c r="H1081" s="12"/>
      <c r="I1081" s="12"/>
      <c r="J1081" s="12"/>
    </row>
    <row r="1082" spans="1:12" x14ac:dyDescent="0.25">
      <c r="A1082" s="12"/>
      <c r="B1082" s="12"/>
      <c r="C1082" s="12"/>
      <c r="D1082" s="12"/>
      <c r="E1082" s="12"/>
      <c r="F1082" s="12"/>
      <c r="G1082" s="12"/>
      <c r="H1082" s="12"/>
      <c r="I1082" s="12"/>
      <c r="J1082" s="12"/>
    </row>
    <row r="1083" spans="1:12" s="10" customFormat="1" ht="20.100000000000001" customHeight="1" x14ac:dyDescent="0.35">
      <c r="A1083" s="15" t="s">
        <v>504</v>
      </c>
      <c r="B1083" s="15"/>
      <c r="C1083" s="15"/>
      <c r="D1083" s="15"/>
      <c r="E1083" s="15"/>
      <c r="F1083" s="15"/>
      <c r="G1083" s="15"/>
      <c r="H1083" s="15"/>
      <c r="I1083" s="15"/>
      <c r="J1083" s="15"/>
    </row>
    <row r="1084" spans="1:12" x14ac:dyDescent="0.25">
      <c r="A1084" s="12"/>
      <c r="B1084" s="12"/>
      <c r="C1084" s="12"/>
      <c r="D1084" s="12"/>
      <c r="E1084" s="12"/>
      <c r="F1084" s="12"/>
      <c r="G1084" s="12"/>
      <c r="H1084" s="12"/>
      <c r="I1084" s="12"/>
      <c r="J1084" s="12"/>
    </row>
    <row r="1085" spans="1:12" ht="30" x14ac:dyDescent="0.25">
      <c r="A1085" s="2" t="s">
        <v>6</v>
      </c>
      <c r="B1085" s="2" t="s">
        <v>7</v>
      </c>
      <c r="C1085" s="2" t="s">
        <v>8</v>
      </c>
      <c r="D1085" s="2" t="s">
        <v>9</v>
      </c>
      <c r="E1085" s="2" t="s">
        <v>10</v>
      </c>
      <c r="F1085" s="2" t="s">
        <v>11</v>
      </c>
      <c r="G1085" s="2" t="s">
        <v>12</v>
      </c>
      <c r="H1085" s="2" t="s">
        <v>13</v>
      </c>
      <c r="I1085" s="2" t="s">
        <v>14</v>
      </c>
      <c r="J1085" s="2" t="s">
        <v>15</v>
      </c>
      <c r="K1085" s="2" t="s">
        <v>16</v>
      </c>
      <c r="L1085" s="2" t="s">
        <v>17</v>
      </c>
    </row>
    <row r="1086" spans="1:12" x14ac:dyDescent="0.25">
      <c r="A1086" s="3">
        <v>45714.30972222222</v>
      </c>
      <c r="B1086" t="s">
        <v>26</v>
      </c>
      <c r="C1086" s="3">
        <v>45714.315787037034</v>
      </c>
      <c r="D1086" t="s">
        <v>158</v>
      </c>
      <c r="E1086" s="4">
        <v>0.624</v>
      </c>
      <c r="F1086" s="4">
        <v>361911.73599999998</v>
      </c>
      <c r="G1086" s="4">
        <v>361912.36</v>
      </c>
      <c r="H1086" s="5">
        <f>300 / 86400</f>
        <v>3.472222222222222E-3</v>
      </c>
      <c r="I1086" t="s">
        <v>37</v>
      </c>
      <c r="J1086" t="s">
        <v>152</v>
      </c>
      <c r="K1086" s="5">
        <f>524 / 86400</f>
        <v>6.0648148148148145E-3</v>
      </c>
      <c r="L1086" s="5">
        <f>29944 / 86400</f>
        <v>0.34657407407407409</v>
      </c>
    </row>
    <row r="1087" spans="1:12" x14ac:dyDescent="0.25">
      <c r="A1087" s="3">
        <v>45714.352638888886</v>
      </c>
      <c r="B1087" t="s">
        <v>158</v>
      </c>
      <c r="C1087" s="3">
        <v>45714.447916666672</v>
      </c>
      <c r="D1087" t="s">
        <v>448</v>
      </c>
      <c r="E1087" s="4">
        <v>31.096</v>
      </c>
      <c r="F1087" s="4">
        <v>361912.36</v>
      </c>
      <c r="G1087" s="4">
        <v>361943.45600000001</v>
      </c>
      <c r="H1087" s="5">
        <f>2958 / 86400</f>
        <v>3.4236111111111113E-2</v>
      </c>
      <c r="I1087" t="s">
        <v>173</v>
      </c>
      <c r="J1087" t="s">
        <v>52</v>
      </c>
      <c r="K1087" s="5">
        <f>8232 / 86400</f>
        <v>9.5277777777777781E-2</v>
      </c>
      <c r="L1087" s="5">
        <f>331 / 86400</f>
        <v>3.8310185185185183E-3</v>
      </c>
    </row>
    <row r="1088" spans="1:12" x14ac:dyDescent="0.25">
      <c r="A1088" s="3">
        <v>45714.451747685191</v>
      </c>
      <c r="B1088" t="s">
        <v>448</v>
      </c>
      <c r="C1088" s="3">
        <v>45714.585428240738</v>
      </c>
      <c r="D1088" t="s">
        <v>125</v>
      </c>
      <c r="E1088" s="4">
        <v>51.445</v>
      </c>
      <c r="F1088" s="4">
        <v>361943.45600000001</v>
      </c>
      <c r="G1088" s="4">
        <v>361994.90100000001</v>
      </c>
      <c r="H1088" s="5">
        <f>4042 / 86400</f>
        <v>4.6782407407407404E-2</v>
      </c>
      <c r="I1088" t="s">
        <v>33</v>
      </c>
      <c r="J1088" t="s">
        <v>28</v>
      </c>
      <c r="K1088" s="5">
        <f>11549 / 86400</f>
        <v>0.13366898148148149</v>
      </c>
      <c r="L1088" s="5">
        <f>2335 / 86400</f>
        <v>2.7025462962962963E-2</v>
      </c>
    </row>
    <row r="1089" spans="1:12" x14ac:dyDescent="0.25">
      <c r="A1089" s="3">
        <v>45714.612453703703</v>
      </c>
      <c r="B1089" t="s">
        <v>125</v>
      </c>
      <c r="C1089" s="3">
        <v>45714.617118055554</v>
      </c>
      <c r="D1089" t="s">
        <v>320</v>
      </c>
      <c r="E1089" s="4">
        <v>0.16300000000000001</v>
      </c>
      <c r="F1089" s="4">
        <v>361994.90100000001</v>
      </c>
      <c r="G1089" s="4">
        <v>361995.06400000001</v>
      </c>
      <c r="H1089" s="5">
        <f>300 / 86400</f>
        <v>3.472222222222222E-3</v>
      </c>
      <c r="I1089" t="s">
        <v>31</v>
      </c>
      <c r="J1089" t="s">
        <v>78</v>
      </c>
      <c r="K1089" s="5">
        <f>402 / 86400</f>
        <v>4.6527777777777774E-3</v>
      </c>
      <c r="L1089" s="5">
        <f>383 / 86400</f>
        <v>4.43287037037037E-3</v>
      </c>
    </row>
    <row r="1090" spans="1:12" x14ac:dyDescent="0.25">
      <c r="A1090" s="3">
        <v>45714.621550925927</v>
      </c>
      <c r="B1090" t="s">
        <v>320</v>
      </c>
      <c r="C1090" s="3">
        <v>45714.623425925922</v>
      </c>
      <c r="D1090" t="s">
        <v>80</v>
      </c>
      <c r="E1090" s="4">
        <v>0.78600000000000003</v>
      </c>
      <c r="F1090" s="4">
        <v>361995.06400000001</v>
      </c>
      <c r="G1090" s="4">
        <v>361995.85</v>
      </c>
      <c r="H1090" s="5">
        <f>0 / 86400</f>
        <v>0</v>
      </c>
      <c r="I1090" t="s">
        <v>101</v>
      </c>
      <c r="J1090" t="s">
        <v>20</v>
      </c>
      <c r="K1090" s="5">
        <f>161 / 86400</f>
        <v>1.8634259259259259E-3</v>
      </c>
      <c r="L1090" s="5">
        <f>285 / 86400</f>
        <v>3.2986111111111111E-3</v>
      </c>
    </row>
    <row r="1091" spans="1:12" x14ac:dyDescent="0.25">
      <c r="A1091" s="3">
        <v>45714.62672453704</v>
      </c>
      <c r="B1091" t="s">
        <v>80</v>
      </c>
      <c r="C1091" s="3">
        <v>45714.627256944441</v>
      </c>
      <c r="D1091" t="s">
        <v>160</v>
      </c>
      <c r="E1091" s="4">
        <v>0.09</v>
      </c>
      <c r="F1091" s="4">
        <v>361995.85</v>
      </c>
      <c r="G1091" s="4">
        <v>361995.94</v>
      </c>
      <c r="H1091" s="5">
        <f>0 / 86400</f>
        <v>0</v>
      </c>
      <c r="I1091" t="s">
        <v>157</v>
      </c>
      <c r="J1091" t="s">
        <v>147</v>
      </c>
      <c r="K1091" s="5">
        <f>46 / 86400</f>
        <v>5.3240740740740744E-4</v>
      </c>
      <c r="L1091" s="5">
        <f>319 / 86400</f>
        <v>3.6921296296296298E-3</v>
      </c>
    </row>
    <row r="1092" spans="1:12" x14ac:dyDescent="0.25">
      <c r="A1092" s="3">
        <v>45714.630949074075</v>
      </c>
      <c r="B1092" t="s">
        <v>160</v>
      </c>
      <c r="C1092" s="3">
        <v>45714.633611111116</v>
      </c>
      <c r="D1092" t="s">
        <v>163</v>
      </c>
      <c r="E1092" s="4">
        <v>1.131</v>
      </c>
      <c r="F1092" s="4">
        <v>361995.94</v>
      </c>
      <c r="G1092" s="4">
        <v>361997.071</v>
      </c>
      <c r="H1092" s="5">
        <f>0 / 86400</f>
        <v>0</v>
      </c>
      <c r="I1092" t="s">
        <v>184</v>
      </c>
      <c r="J1092" t="s">
        <v>20</v>
      </c>
      <c r="K1092" s="5">
        <f>230 / 86400</f>
        <v>2.662037037037037E-3</v>
      </c>
      <c r="L1092" s="5">
        <f>4447 / 86400</f>
        <v>5.1469907407407409E-2</v>
      </c>
    </row>
    <row r="1093" spans="1:12" x14ac:dyDescent="0.25">
      <c r="A1093" s="3">
        <v>45714.685081018513</v>
      </c>
      <c r="B1093" t="s">
        <v>129</v>
      </c>
      <c r="C1093" s="3">
        <v>45714.687893518523</v>
      </c>
      <c r="D1093" t="s">
        <v>160</v>
      </c>
      <c r="E1093" s="4">
        <v>0.47299999999999998</v>
      </c>
      <c r="F1093" s="4">
        <v>361997.071</v>
      </c>
      <c r="G1093" s="4">
        <v>361997.54399999999</v>
      </c>
      <c r="H1093" s="5">
        <f>60 / 86400</f>
        <v>6.9444444444444447E-4</v>
      </c>
      <c r="I1093" t="s">
        <v>61</v>
      </c>
      <c r="J1093" t="s">
        <v>147</v>
      </c>
      <c r="K1093" s="5">
        <f>243 / 86400</f>
        <v>2.8124999999999999E-3</v>
      </c>
      <c r="L1093" s="5">
        <f>380 / 86400</f>
        <v>4.3981481481481484E-3</v>
      </c>
    </row>
    <row r="1094" spans="1:12" x14ac:dyDescent="0.25">
      <c r="A1094" s="3">
        <v>45714.692291666666</v>
      </c>
      <c r="B1094" t="s">
        <v>160</v>
      </c>
      <c r="C1094" s="3">
        <v>45714.918634259258</v>
      </c>
      <c r="D1094" t="s">
        <v>26</v>
      </c>
      <c r="E1094" s="4">
        <v>77.367000000000004</v>
      </c>
      <c r="F1094" s="4">
        <v>361997.54399999999</v>
      </c>
      <c r="G1094" s="4">
        <v>362074.91100000002</v>
      </c>
      <c r="H1094" s="5">
        <f>6960 / 86400</f>
        <v>8.0555555555555561E-2</v>
      </c>
      <c r="I1094" t="s">
        <v>30</v>
      </c>
      <c r="J1094" t="s">
        <v>52</v>
      </c>
      <c r="K1094" s="5">
        <f>19555 / 86400</f>
        <v>0.22633101851851853</v>
      </c>
      <c r="L1094" s="5">
        <f>7029 / 86400</f>
        <v>8.1354166666666672E-2</v>
      </c>
    </row>
    <row r="1095" spans="1:12" x14ac:dyDescent="0.25">
      <c r="A1095" s="12"/>
      <c r="B1095" s="12"/>
      <c r="C1095" s="12"/>
      <c r="D1095" s="12"/>
      <c r="E1095" s="12"/>
      <c r="F1095" s="12"/>
      <c r="G1095" s="12"/>
      <c r="H1095" s="12"/>
      <c r="I1095" s="12"/>
      <c r="J1095" s="12"/>
    </row>
    <row r="1096" spans="1:12" x14ac:dyDescent="0.25">
      <c r="A1096" s="12"/>
      <c r="B1096" s="12"/>
      <c r="C1096" s="12"/>
      <c r="D1096" s="12"/>
      <c r="E1096" s="12"/>
      <c r="F1096" s="12"/>
      <c r="G1096" s="12"/>
      <c r="H1096" s="12"/>
      <c r="I1096" s="12"/>
      <c r="J1096" s="12"/>
    </row>
    <row r="1097" spans="1:12" s="10" customFormat="1" ht="20.100000000000001" customHeight="1" x14ac:dyDescent="0.35">
      <c r="A1097" s="15" t="s">
        <v>505</v>
      </c>
      <c r="B1097" s="15"/>
      <c r="C1097" s="15"/>
      <c r="D1097" s="15"/>
      <c r="E1097" s="15"/>
      <c r="F1097" s="15"/>
      <c r="G1097" s="15"/>
      <c r="H1097" s="15"/>
      <c r="I1097" s="15"/>
      <c r="J1097" s="15"/>
    </row>
    <row r="1098" spans="1:12" x14ac:dyDescent="0.25">
      <c r="A1098" s="12"/>
      <c r="B1098" s="12"/>
      <c r="C1098" s="12"/>
      <c r="D1098" s="12"/>
      <c r="E1098" s="12"/>
      <c r="F1098" s="12"/>
      <c r="G1098" s="12"/>
      <c r="H1098" s="12"/>
      <c r="I1098" s="12"/>
      <c r="J1098" s="12"/>
    </row>
    <row r="1099" spans="1:12" ht="30" x14ac:dyDescent="0.25">
      <c r="A1099" s="2" t="s">
        <v>6</v>
      </c>
      <c r="B1099" s="2" t="s">
        <v>7</v>
      </c>
      <c r="C1099" s="2" t="s">
        <v>8</v>
      </c>
      <c r="D1099" s="2" t="s">
        <v>9</v>
      </c>
      <c r="E1099" s="2" t="s">
        <v>10</v>
      </c>
      <c r="F1099" s="2" t="s">
        <v>11</v>
      </c>
      <c r="G1099" s="2" t="s">
        <v>12</v>
      </c>
      <c r="H1099" s="2" t="s">
        <v>13</v>
      </c>
      <c r="I1099" s="2" t="s">
        <v>14</v>
      </c>
      <c r="J1099" s="2" t="s">
        <v>15</v>
      </c>
      <c r="K1099" s="2" t="s">
        <v>16</v>
      </c>
      <c r="L1099" s="2" t="s">
        <v>17</v>
      </c>
    </row>
    <row r="1100" spans="1:12" x14ac:dyDescent="0.25">
      <c r="A1100" s="3">
        <v>45714.278842592597</v>
      </c>
      <c r="B1100" t="s">
        <v>89</v>
      </c>
      <c r="C1100" s="3">
        <v>45714.549976851849</v>
      </c>
      <c r="D1100" t="s">
        <v>449</v>
      </c>
      <c r="E1100" s="4">
        <v>104.584</v>
      </c>
      <c r="F1100" s="4">
        <v>82893.115000000005</v>
      </c>
      <c r="G1100" s="4">
        <v>82997.698999999993</v>
      </c>
      <c r="H1100" s="5">
        <f>8376 / 86400</f>
        <v>9.6944444444444444E-2</v>
      </c>
      <c r="I1100" t="s">
        <v>90</v>
      </c>
      <c r="J1100" t="s">
        <v>28</v>
      </c>
      <c r="K1100" s="5">
        <f>23425 / 86400</f>
        <v>0.27112268518518517</v>
      </c>
      <c r="L1100" s="5">
        <f>24237 / 86400</f>
        <v>0.28052083333333333</v>
      </c>
    </row>
    <row r="1101" spans="1:12" x14ac:dyDescent="0.25">
      <c r="A1101" s="3">
        <v>45714.551655092597</v>
      </c>
      <c r="B1101" t="s">
        <v>449</v>
      </c>
      <c r="C1101" s="3">
        <v>45714.556874999995</v>
      </c>
      <c r="D1101" t="s">
        <v>89</v>
      </c>
      <c r="E1101" s="4">
        <v>1.1499999999999999</v>
      </c>
      <c r="F1101" s="4">
        <v>82997.698999999993</v>
      </c>
      <c r="G1101" s="4">
        <v>82998.849000000002</v>
      </c>
      <c r="H1101" s="5">
        <f>219 / 86400</f>
        <v>2.5347222222222221E-3</v>
      </c>
      <c r="I1101" t="s">
        <v>288</v>
      </c>
      <c r="J1101" t="s">
        <v>70</v>
      </c>
      <c r="K1101" s="5">
        <f>450 / 86400</f>
        <v>5.208333333333333E-3</v>
      </c>
      <c r="L1101" s="5">
        <f>6144 / 86400</f>
        <v>7.1111111111111111E-2</v>
      </c>
    </row>
    <row r="1102" spans="1:12" x14ac:dyDescent="0.25">
      <c r="A1102" s="3">
        <v>45714.627986111111</v>
      </c>
      <c r="B1102" t="s">
        <v>89</v>
      </c>
      <c r="C1102" s="3">
        <v>45714.846782407403</v>
      </c>
      <c r="D1102" t="s">
        <v>450</v>
      </c>
      <c r="E1102" s="4">
        <v>82.155000000000001</v>
      </c>
      <c r="F1102" s="4">
        <v>82998.849000000002</v>
      </c>
      <c r="G1102" s="4">
        <v>83081.004000000001</v>
      </c>
      <c r="H1102" s="5">
        <f>8178 / 86400</f>
        <v>9.465277777777778E-2</v>
      </c>
      <c r="I1102" t="s">
        <v>418</v>
      </c>
      <c r="J1102" t="s">
        <v>28</v>
      </c>
      <c r="K1102" s="5">
        <f>18904 / 86400</f>
        <v>0.21879629629629629</v>
      </c>
      <c r="L1102" s="5">
        <f>5 / 86400</f>
        <v>5.7870370370370373E-5</v>
      </c>
    </row>
    <row r="1103" spans="1:12" x14ac:dyDescent="0.25">
      <c r="A1103" s="3">
        <v>45714.84684027778</v>
      </c>
      <c r="B1103" t="s">
        <v>450</v>
      </c>
      <c r="C1103" s="3">
        <v>45714.846909722226</v>
      </c>
      <c r="D1103" t="s">
        <v>450</v>
      </c>
      <c r="E1103" s="4">
        <v>0</v>
      </c>
      <c r="F1103" s="4">
        <v>83081.004000000001</v>
      </c>
      <c r="G1103" s="4">
        <v>83081.004000000001</v>
      </c>
      <c r="H1103" s="5">
        <f>0 / 86400</f>
        <v>0</v>
      </c>
      <c r="I1103" t="s">
        <v>22</v>
      </c>
      <c r="J1103" t="s">
        <v>22</v>
      </c>
      <c r="K1103" s="5">
        <f>6 / 86400</f>
        <v>6.9444444444444444E-5</v>
      </c>
      <c r="L1103" s="5">
        <f>438 / 86400</f>
        <v>5.0694444444444441E-3</v>
      </c>
    </row>
    <row r="1104" spans="1:12" x14ac:dyDescent="0.25">
      <c r="A1104" s="3">
        <v>45714.851979166662</v>
      </c>
      <c r="B1104" t="s">
        <v>450</v>
      </c>
      <c r="C1104" s="3">
        <v>45714.852037037039</v>
      </c>
      <c r="D1104" t="s">
        <v>450</v>
      </c>
      <c r="E1104" s="4">
        <v>5.0000000000000001E-3</v>
      </c>
      <c r="F1104" s="4">
        <v>83081.004000000001</v>
      </c>
      <c r="G1104" s="4">
        <v>83081.009000000005</v>
      </c>
      <c r="H1104" s="5">
        <f>0 / 86400</f>
        <v>0</v>
      </c>
      <c r="I1104" t="s">
        <v>78</v>
      </c>
      <c r="J1104" t="s">
        <v>152</v>
      </c>
      <c r="K1104" s="5">
        <f>5 / 86400</f>
        <v>5.7870370370370373E-5</v>
      </c>
      <c r="L1104" s="5">
        <f>5 / 86400</f>
        <v>5.7870370370370373E-5</v>
      </c>
    </row>
    <row r="1105" spans="1:12" x14ac:dyDescent="0.25">
      <c r="A1105" s="3">
        <v>45714.852094907408</v>
      </c>
      <c r="B1105" t="s">
        <v>450</v>
      </c>
      <c r="C1105" s="3">
        <v>45714.852164351847</v>
      </c>
      <c r="D1105" t="s">
        <v>450</v>
      </c>
      <c r="E1105" s="4">
        <v>3.0000000000000001E-3</v>
      </c>
      <c r="F1105" s="4">
        <v>83081.009999999995</v>
      </c>
      <c r="G1105" s="4">
        <v>83081.013000000006</v>
      </c>
      <c r="H1105" s="5">
        <f>0 / 86400</f>
        <v>0</v>
      </c>
      <c r="I1105" t="s">
        <v>32</v>
      </c>
      <c r="J1105" t="s">
        <v>32</v>
      </c>
      <c r="K1105" s="5">
        <f>6 / 86400</f>
        <v>6.9444444444444444E-5</v>
      </c>
      <c r="L1105" s="5">
        <f>38 / 86400</f>
        <v>4.3981481481481481E-4</v>
      </c>
    </row>
    <row r="1106" spans="1:12" x14ac:dyDescent="0.25">
      <c r="A1106" s="3">
        <v>45714.852604166663</v>
      </c>
      <c r="B1106" t="s">
        <v>450</v>
      </c>
      <c r="C1106" s="3">
        <v>45714.856145833328</v>
      </c>
      <c r="D1106" t="s">
        <v>89</v>
      </c>
      <c r="E1106" s="4">
        <v>1.2589999999999999</v>
      </c>
      <c r="F1106" s="4">
        <v>83081.014999999999</v>
      </c>
      <c r="G1106" s="4">
        <v>83082.274000000005</v>
      </c>
      <c r="H1106" s="5">
        <f>20 / 86400</f>
        <v>2.3148148148148149E-4</v>
      </c>
      <c r="I1106" t="s">
        <v>203</v>
      </c>
      <c r="J1106" t="s">
        <v>46</v>
      </c>
      <c r="K1106" s="5">
        <f>306 / 86400</f>
        <v>3.5416666666666665E-3</v>
      </c>
      <c r="L1106" s="5">
        <f>820 / 86400</f>
        <v>9.4907407407407406E-3</v>
      </c>
    </row>
    <row r="1107" spans="1:12" x14ac:dyDescent="0.25">
      <c r="A1107" s="3">
        <v>45714.865636574075</v>
      </c>
      <c r="B1107" t="s">
        <v>89</v>
      </c>
      <c r="C1107" s="3">
        <v>45714.866400462968</v>
      </c>
      <c r="D1107" t="s">
        <v>89</v>
      </c>
      <c r="E1107" s="4">
        <v>2.5999999999999999E-2</v>
      </c>
      <c r="F1107" s="4">
        <v>83082.274000000005</v>
      </c>
      <c r="G1107" s="4">
        <v>83082.3</v>
      </c>
      <c r="H1107" s="5">
        <f>0 / 86400</f>
        <v>0</v>
      </c>
      <c r="I1107" t="s">
        <v>32</v>
      </c>
      <c r="J1107" t="s">
        <v>78</v>
      </c>
      <c r="K1107" s="5">
        <f>66 / 86400</f>
        <v>7.6388888888888893E-4</v>
      </c>
      <c r="L1107" s="5">
        <f>11542 / 86400</f>
        <v>0.13358796296296296</v>
      </c>
    </row>
    <row r="1108" spans="1:12" x14ac:dyDescent="0.25">
      <c r="A1108" s="12"/>
      <c r="B1108" s="12"/>
      <c r="C1108" s="12"/>
      <c r="D1108" s="12"/>
      <c r="E1108" s="12"/>
      <c r="F1108" s="12"/>
      <c r="G1108" s="12"/>
      <c r="H1108" s="12"/>
      <c r="I1108" s="12"/>
      <c r="J1108" s="12"/>
    </row>
    <row r="1109" spans="1:12" x14ac:dyDescent="0.25">
      <c r="A1109" s="12"/>
      <c r="B1109" s="12"/>
      <c r="C1109" s="12"/>
      <c r="D1109" s="12"/>
      <c r="E1109" s="12"/>
      <c r="F1109" s="12"/>
      <c r="G1109" s="12"/>
      <c r="H1109" s="12"/>
      <c r="I1109" s="12"/>
      <c r="J1109" s="12"/>
    </row>
    <row r="1110" spans="1:12" s="10" customFormat="1" ht="20.100000000000001" customHeight="1" x14ac:dyDescent="0.35">
      <c r="A1110" s="15" t="s">
        <v>506</v>
      </c>
      <c r="B1110" s="15"/>
      <c r="C1110" s="15"/>
      <c r="D1110" s="15"/>
      <c r="E1110" s="15"/>
      <c r="F1110" s="15"/>
      <c r="G1110" s="15"/>
      <c r="H1110" s="15"/>
      <c r="I1110" s="15"/>
      <c r="J1110" s="15"/>
    </row>
    <row r="1111" spans="1:12" x14ac:dyDescent="0.25">
      <c r="A1111" s="12"/>
      <c r="B1111" s="12"/>
      <c r="C1111" s="12"/>
      <c r="D1111" s="12"/>
      <c r="E1111" s="12"/>
      <c r="F1111" s="12"/>
      <c r="G1111" s="12"/>
      <c r="H1111" s="12"/>
      <c r="I1111" s="12"/>
      <c r="J1111" s="12"/>
    </row>
    <row r="1112" spans="1:12" ht="30" x14ac:dyDescent="0.25">
      <c r="A1112" s="2" t="s">
        <v>6</v>
      </c>
      <c r="B1112" s="2" t="s">
        <v>7</v>
      </c>
      <c r="C1112" s="2" t="s">
        <v>8</v>
      </c>
      <c r="D1112" s="2" t="s">
        <v>9</v>
      </c>
      <c r="E1112" s="2" t="s">
        <v>10</v>
      </c>
      <c r="F1112" s="2" t="s">
        <v>11</v>
      </c>
      <c r="G1112" s="2" t="s">
        <v>12</v>
      </c>
      <c r="H1112" s="2" t="s">
        <v>13</v>
      </c>
      <c r="I1112" s="2" t="s">
        <v>14</v>
      </c>
      <c r="J1112" s="2" t="s">
        <v>15</v>
      </c>
      <c r="K1112" s="2" t="s">
        <v>16</v>
      </c>
      <c r="L1112" s="2" t="s">
        <v>17</v>
      </c>
    </row>
    <row r="1113" spans="1:12" x14ac:dyDescent="0.25">
      <c r="A1113" s="3">
        <v>45714.361018518517</v>
      </c>
      <c r="B1113" t="s">
        <v>39</v>
      </c>
      <c r="C1113" s="3">
        <v>45714.373287037037</v>
      </c>
      <c r="D1113" t="s">
        <v>39</v>
      </c>
      <c r="E1113" s="4">
        <v>0</v>
      </c>
      <c r="F1113" s="4">
        <v>472377.62099999998</v>
      </c>
      <c r="G1113" s="4">
        <v>472377.62099999998</v>
      </c>
      <c r="H1113" s="5">
        <f>1059 / 86400</f>
        <v>1.2256944444444445E-2</v>
      </c>
      <c r="I1113" t="s">
        <v>22</v>
      </c>
      <c r="J1113" t="s">
        <v>22</v>
      </c>
      <c r="K1113" s="5">
        <f>1060 / 86400</f>
        <v>1.2268518518518519E-2</v>
      </c>
      <c r="L1113" s="5">
        <f>56442 / 86400</f>
        <v>0.65326388888888887</v>
      </c>
    </row>
    <row r="1114" spans="1:12" x14ac:dyDescent="0.25">
      <c r="A1114" s="3">
        <v>45714.665532407409</v>
      </c>
      <c r="B1114" t="s">
        <v>39</v>
      </c>
      <c r="C1114" s="3">
        <v>45714.665625000001</v>
      </c>
      <c r="D1114" t="s">
        <v>39</v>
      </c>
      <c r="E1114" s="4">
        <v>0</v>
      </c>
      <c r="F1114" s="4">
        <v>472377.62099999998</v>
      </c>
      <c r="G1114" s="4">
        <v>472377.62099999998</v>
      </c>
      <c r="H1114" s="5">
        <f>0 / 86400</f>
        <v>0</v>
      </c>
      <c r="I1114" t="s">
        <v>22</v>
      </c>
      <c r="J1114" t="s">
        <v>22</v>
      </c>
      <c r="K1114" s="5">
        <f>7 / 86400</f>
        <v>8.1018518518518516E-5</v>
      </c>
      <c r="L1114" s="5">
        <f>978 / 86400</f>
        <v>1.1319444444444444E-2</v>
      </c>
    </row>
    <row r="1115" spans="1:12" x14ac:dyDescent="0.25">
      <c r="A1115" s="3">
        <v>45714.676944444444</v>
      </c>
      <c r="B1115" t="s">
        <v>39</v>
      </c>
      <c r="C1115" s="3">
        <v>45714.683009259257</v>
      </c>
      <c r="D1115" t="s">
        <v>125</v>
      </c>
      <c r="E1115" s="4">
        <v>0.40200000000000002</v>
      </c>
      <c r="F1115" s="4">
        <v>472377.62099999998</v>
      </c>
      <c r="G1115" s="4">
        <v>472378.02299999999</v>
      </c>
      <c r="H1115" s="5">
        <f>279 / 86400</f>
        <v>3.2291666666666666E-3</v>
      </c>
      <c r="I1115" t="s">
        <v>31</v>
      </c>
      <c r="J1115" t="s">
        <v>102</v>
      </c>
      <c r="K1115" s="5">
        <f>523 / 86400</f>
        <v>6.053240740740741E-3</v>
      </c>
      <c r="L1115" s="5">
        <f>6149 / 86400</f>
        <v>7.1168981481481486E-2</v>
      </c>
    </row>
    <row r="1116" spans="1:12" x14ac:dyDescent="0.25">
      <c r="A1116" s="3">
        <v>45714.754178240742</v>
      </c>
      <c r="B1116" t="s">
        <v>125</v>
      </c>
      <c r="C1116" s="3">
        <v>45714.755543981482</v>
      </c>
      <c r="D1116" t="s">
        <v>39</v>
      </c>
      <c r="E1116" s="4">
        <v>0.17100000000000001</v>
      </c>
      <c r="F1116" s="4">
        <v>472378.02299999999</v>
      </c>
      <c r="G1116" s="4">
        <v>472378.19400000002</v>
      </c>
      <c r="H1116" s="5">
        <f>19 / 86400</f>
        <v>2.199074074074074E-4</v>
      </c>
      <c r="I1116" t="s">
        <v>70</v>
      </c>
      <c r="J1116" t="s">
        <v>77</v>
      </c>
      <c r="K1116" s="5">
        <f>117 / 86400</f>
        <v>1.3541666666666667E-3</v>
      </c>
      <c r="L1116" s="5">
        <f>4465 / 86400</f>
        <v>5.167824074074074E-2</v>
      </c>
    </row>
    <row r="1117" spans="1:12" x14ac:dyDescent="0.25">
      <c r="A1117" s="3">
        <v>45714.807222222225</v>
      </c>
      <c r="B1117" t="s">
        <v>39</v>
      </c>
      <c r="C1117" s="3">
        <v>45714.808668981481</v>
      </c>
      <c r="D1117" t="s">
        <v>451</v>
      </c>
      <c r="E1117" s="4">
        <v>0.14000000000000001</v>
      </c>
      <c r="F1117" s="4">
        <v>472378.19400000002</v>
      </c>
      <c r="G1117" s="4">
        <v>472378.33399999997</v>
      </c>
      <c r="H1117" s="5">
        <f>19 / 86400</f>
        <v>2.199074074074074E-4</v>
      </c>
      <c r="I1117" t="s">
        <v>42</v>
      </c>
      <c r="J1117" t="s">
        <v>152</v>
      </c>
      <c r="K1117" s="5">
        <f>125 / 86400</f>
        <v>1.4467592592592592E-3</v>
      </c>
      <c r="L1117" s="5">
        <f>321 / 86400</f>
        <v>3.7152777777777778E-3</v>
      </c>
    </row>
    <row r="1118" spans="1:12" x14ac:dyDescent="0.25">
      <c r="A1118" s="3">
        <v>45714.812384259261</v>
      </c>
      <c r="B1118" t="s">
        <v>451</v>
      </c>
      <c r="C1118" s="3">
        <v>45714.812418981484</v>
      </c>
      <c r="D1118" t="s">
        <v>451</v>
      </c>
      <c r="E1118" s="4">
        <v>0</v>
      </c>
      <c r="F1118" s="4">
        <v>472378.33399999997</v>
      </c>
      <c r="G1118" s="4">
        <v>472378.33399999997</v>
      </c>
      <c r="H1118" s="5">
        <f>0 / 86400</f>
        <v>0</v>
      </c>
      <c r="I1118" t="s">
        <v>22</v>
      </c>
      <c r="J1118" t="s">
        <v>22</v>
      </c>
      <c r="K1118" s="5">
        <f>3 / 86400</f>
        <v>3.4722222222222222E-5</v>
      </c>
      <c r="L1118" s="5">
        <f>2097 / 86400</f>
        <v>2.4270833333333332E-2</v>
      </c>
    </row>
    <row r="1119" spans="1:12" x14ac:dyDescent="0.25">
      <c r="A1119" s="3">
        <v>45714.836689814816</v>
      </c>
      <c r="B1119" t="s">
        <v>451</v>
      </c>
      <c r="C1119" s="3">
        <v>45714.841006944444</v>
      </c>
      <c r="D1119" t="s">
        <v>53</v>
      </c>
      <c r="E1119" s="4">
        <v>1.611</v>
      </c>
      <c r="F1119" s="4">
        <v>472378.33399999997</v>
      </c>
      <c r="G1119" s="4">
        <v>472379.94500000001</v>
      </c>
      <c r="H1119" s="5">
        <f>59 / 86400</f>
        <v>6.8287037037037036E-4</v>
      </c>
      <c r="I1119" t="s">
        <v>91</v>
      </c>
      <c r="J1119" t="s">
        <v>28</v>
      </c>
      <c r="K1119" s="5">
        <f>373 / 86400</f>
        <v>4.31712962962963E-3</v>
      </c>
      <c r="L1119" s="5">
        <f>6944 / 86400</f>
        <v>8.037037037037037E-2</v>
      </c>
    </row>
    <row r="1120" spans="1:12" x14ac:dyDescent="0.25">
      <c r="A1120" s="3">
        <v>45714.921377314815</v>
      </c>
      <c r="B1120" t="s">
        <v>53</v>
      </c>
      <c r="C1120" s="3">
        <v>45714.921388888892</v>
      </c>
      <c r="D1120" t="s">
        <v>53</v>
      </c>
      <c r="E1120" s="4">
        <v>0</v>
      </c>
      <c r="F1120" s="4">
        <v>472379.94500000001</v>
      </c>
      <c r="G1120" s="4">
        <v>472379.94500000001</v>
      </c>
      <c r="H1120" s="5">
        <f>0 / 86400</f>
        <v>0</v>
      </c>
      <c r="I1120" t="s">
        <v>22</v>
      </c>
      <c r="J1120" t="s">
        <v>22</v>
      </c>
      <c r="K1120" s="5">
        <f>1 / 86400</f>
        <v>1.1574074074074073E-5</v>
      </c>
      <c r="L1120" s="5">
        <f>27 / 86400</f>
        <v>3.1250000000000001E-4</v>
      </c>
    </row>
    <row r="1121" spans="1:12" x14ac:dyDescent="0.25">
      <c r="A1121" s="3">
        <v>45714.921701388885</v>
      </c>
      <c r="B1121" t="s">
        <v>53</v>
      </c>
      <c r="C1121" s="3">
        <v>45714.922719907408</v>
      </c>
      <c r="D1121" t="s">
        <v>53</v>
      </c>
      <c r="E1121" s="4">
        <v>0</v>
      </c>
      <c r="F1121" s="4">
        <v>472379.94500000001</v>
      </c>
      <c r="G1121" s="4">
        <v>472379.94500000001</v>
      </c>
      <c r="H1121" s="5">
        <f>79 / 86400</f>
        <v>9.1435185185185185E-4</v>
      </c>
      <c r="I1121" t="s">
        <v>22</v>
      </c>
      <c r="J1121" t="s">
        <v>22</v>
      </c>
      <c r="K1121" s="5">
        <f>87 / 86400</f>
        <v>1.0069444444444444E-3</v>
      </c>
      <c r="L1121" s="5">
        <f>236 / 86400</f>
        <v>2.7314814814814814E-3</v>
      </c>
    </row>
    <row r="1122" spans="1:12" x14ac:dyDescent="0.25">
      <c r="A1122" s="3">
        <v>45714.925451388888</v>
      </c>
      <c r="B1122" t="s">
        <v>53</v>
      </c>
      <c r="C1122" s="3">
        <v>45714.931921296295</v>
      </c>
      <c r="D1122" t="s">
        <v>39</v>
      </c>
      <c r="E1122" s="4">
        <v>1.538</v>
      </c>
      <c r="F1122" s="4">
        <v>472379.94500000001</v>
      </c>
      <c r="G1122" s="4">
        <v>472381.48300000001</v>
      </c>
      <c r="H1122" s="5">
        <f>199 / 86400</f>
        <v>2.3032407407407407E-3</v>
      </c>
      <c r="I1122" t="s">
        <v>91</v>
      </c>
      <c r="J1122" t="s">
        <v>132</v>
      </c>
      <c r="K1122" s="5">
        <f>558 / 86400</f>
        <v>6.4583333333333333E-3</v>
      </c>
      <c r="L1122" s="5">
        <f>5881 / 86400</f>
        <v>6.806712962962963E-2</v>
      </c>
    </row>
    <row r="1123" spans="1:12" x14ac:dyDescent="0.25">
      <c r="A1123" s="12"/>
      <c r="B1123" s="12"/>
      <c r="C1123" s="12"/>
      <c r="D1123" s="12"/>
      <c r="E1123" s="12"/>
      <c r="F1123" s="12"/>
      <c r="G1123" s="12"/>
      <c r="H1123" s="12"/>
      <c r="I1123" s="12"/>
      <c r="J1123" s="12"/>
    </row>
    <row r="1124" spans="1:12" x14ac:dyDescent="0.25">
      <c r="A1124" s="12"/>
      <c r="B1124" s="12"/>
      <c r="C1124" s="12"/>
      <c r="D1124" s="12"/>
      <c r="E1124" s="12"/>
      <c r="F1124" s="12"/>
      <c r="G1124" s="12"/>
      <c r="H1124" s="12"/>
      <c r="I1124" s="12"/>
      <c r="J1124" s="12"/>
    </row>
    <row r="1125" spans="1:12" s="10" customFormat="1" ht="20.100000000000001" customHeight="1" x14ac:dyDescent="0.35">
      <c r="A1125" s="15" t="s">
        <v>507</v>
      </c>
      <c r="B1125" s="15"/>
      <c r="C1125" s="15"/>
      <c r="D1125" s="15"/>
      <c r="E1125" s="15"/>
      <c r="F1125" s="15"/>
      <c r="G1125" s="15"/>
      <c r="H1125" s="15"/>
      <c r="I1125" s="15"/>
      <c r="J1125" s="15"/>
    </row>
    <row r="1126" spans="1:12" x14ac:dyDescent="0.25">
      <c r="A1126" s="12"/>
      <c r="B1126" s="12"/>
      <c r="C1126" s="12"/>
      <c r="D1126" s="12"/>
      <c r="E1126" s="12"/>
      <c r="F1126" s="12"/>
      <c r="G1126" s="12"/>
      <c r="H1126" s="12"/>
      <c r="I1126" s="12"/>
      <c r="J1126" s="12"/>
    </row>
    <row r="1127" spans="1:12" ht="30" x14ac:dyDescent="0.25">
      <c r="A1127" s="2" t="s">
        <v>6</v>
      </c>
      <c r="B1127" s="2" t="s">
        <v>7</v>
      </c>
      <c r="C1127" s="2" t="s">
        <v>8</v>
      </c>
      <c r="D1127" s="2" t="s">
        <v>9</v>
      </c>
      <c r="E1127" s="2" t="s">
        <v>10</v>
      </c>
      <c r="F1127" s="2" t="s">
        <v>11</v>
      </c>
      <c r="G1127" s="2" t="s">
        <v>12</v>
      </c>
      <c r="H1127" s="2" t="s">
        <v>13</v>
      </c>
      <c r="I1127" s="2" t="s">
        <v>14</v>
      </c>
      <c r="J1127" s="2" t="s">
        <v>15</v>
      </c>
      <c r="K1127" s="2" t="s">
        <v>16</v>
      </c>
      <c r="L1127" s="2" t="s">
        <v>17</v>
      </c>
    </row>
    <row r="1128" spans="1:12" x14ac:dyDescent="0.25">
      <c r="A1128" s="3">
        <v>45714</v>
      </c>
      <c r="B1128" t="s">
        <v>92</v>
      </c>
      <c r="C1128" s="3">
        <v>45714.014432870375</v>
      </c>
      <c r="D1128" t="s">
        <v>92</v>
      </c>
      <c r="E1128" s="4">
        <v>0</v>
      </c>
      <c r="F1128" s="4">
        <v>428213.33600000001</v>
      </c>
      <c r="G1128" s="4">
        <v>428213.33600000001</v>
      </c>
      <c r="H1128" s="5">
        <f>1240 / 86400</f>
        <v>1.4351851851851852E-2</v>
      </c>
      <c r="I1128" t="s">
        <v>22</v>
      </c>
      <c r="J1128" t="s">
        <v>22</v>
      </c>
      <c r="K1128" s="5">
        <f>1247 / 86400</f>
        <v>1.443287037037037E-2</v>
      </c>
      <c r="L1128" s="5">
        <f>644 / 86400</f>
        <v>7.4537037037037037E-3</v>
      </c>
    </row>
    <row r="1129" spans="1:12" x14ac:dyDescent="0.25">
      <c r="A1129" s="3">
        <v>45714.021886574075</v>
      </c>
      <c r="B1129" t="s">
        <v>92</v>
      </c>
      <c r="C1129" s="3">
        <v>45714.024143518516</v>
      </c>
      <c r="D1129" t="s">
        <v>92</v>
      </c>
      <c r="E1129" s="4">
        <v>0</v>
      </c>
      <c r="F1129" s="4">
        <v>428213.33600000001</v>
      </c>
      <c r="G1129" s="4">
        <v>428213.33600000001</v>
      </c>
      <c r="H1129" s="5">
        <f>179 / 86400</f>
        <v>2.0717592592592593E-3</v>
      </c>
      <c r="I1129" t="s">
        <v>22</v>
      </c>
      <c r="J1129" t="s">
        <v>22</v>
      </c>
      <c r="K1129" s="5">
        <f>195 / 86400</f>
        <v>2.2569444444444442E-3</v>
      </c>
      <c r="L1129" s="5">
        <f>3160 / 86400</f>
        <v>3.6574074074074071E-2</v>
      </c>
    </row>
    <row r="1130" spans="1:12" x14ac:dyDescent="0.25">
      <c r="A1130" s="3">
        <v>45714.060717592598</v>
      </c>
      <c r="B1130" t="s">
        <v>92</v>
      </c>
      <c r="C1130" s="3">
        <v>45714.065289351856</v>
      </c>
      <c r="D1130" t="s">
        <v>92</v>
      </c>
      <c r="E1130" s="4">
        <v>0</v>
      </c>
      <c r="F1130" s="4">
        <v>428213.33600000001</v>
      </c>
      <c r="G1130" s="4">
        <v>428213.33600000001</v>
      </c>
      <c r="H1130" s="5">
        <f>379 / 86400</f>
        <v>4.386574074074074E-3</v>
      </c>
      <c r="I1130" t="s">
        <v>22</v>
      </c>
      <c r="J1130" t="s">
        <v>22</v>
      </c>
      <c r="K1130" s="5">
        <f>395 / 86400</f>
        <v>4.5717592592592589E-3</v>
      </c>
      <c r="L1130" s="5">
        <f>12229 / 86400</f>
        <v>0.14153935185185185</v>
      </c>
    </row>
    <row r="1131" spans="1:12" x14ac:dyDescent="0.25">
      <c r="A1131" s="3">
        <v>45714.206828703704</v>
      </c>
      <c r="B1131" t="s">
        <v>92</v>
      </c>
      <c r="C1131" s="3">
        <v>45714.207268518519</v>
      </c>
      <c r="D1131" t="s">
        <v>92</v>
      </c>
      <c r="E1131" s="4">
        <v>0</v>
      </c>
      <c r="F1131" s="4">
        <v>428213.33600000001</v>
      </c>
      <c r="G1131" s="4">
        <v>428213.33600000001</v>
      </c>
      <c r="H1131" s="5">
        <f>19 / 86400</f>
        <v>2.199074074074074E-4</v>
      </c>
      <c r="I1131" t="s">
        <v>22</v>
      </c>
      <c r="J1131" t="s">
        <v>22</v>
      </c>
      <c r="K1131" s="5">
        <f>38 / 86400</f>
        <v>4.3981481481481481E-4</v>
      </c>
      <c r="L1131" s="5">
        <f>96 / 86400</f>
        <v>1.1111111111111111E-3</v>
      </c>
    </row>
    <row r="1132" spans="1:12" x14ac:dyDescent="0.25">
      <c r="A1132" s="3">
        <v>45714.208379629628</v>
      </c>
      <c r="B1132" t="s">
        <v>92</v>
      </c>
      <c r="C1132" s="3">
        <v>45714.35055555556</v>
      </c>
      <c r="D1132" t="s">
        <v>92</v>
      </c>
      <c r="E1132" s="4">
        <v>0</v>
      </c>
      <c r="F1132" s="4">
        <v>428213.33600000001</v>
      </c>
      <c r="G1132" s="4">
        <v>428213.33600000001</v>
      </c>
      <c r="H1132" s="5">
        <f>12269 / 86400</f>
        <v>0.14200231481481482</v>
      </c>
      <c r="I1132" t="s">
        <v>22</v>
      </c>
      <c r="J1132" t="s">
        <v>22</v>
      </c>
      <c r="K1132" s="5">
        <f>12283 / 86400</f>
        <v>0.14216435185185186</v>
      </c>
      <c r="L1132" s="5">
        <f>209 / 86400</f>
        <v>2.4189814814814816E-3</v>
      </c>
    </row>
    <row r="1133" spans="1:12" x14ac:dyDescent="0.25">
      <c r="A1133" s="3">
        <v>45714.352974537032</v>
      </c>
      <c r="B1133" t="s">
        <v>92</v>
      </c>
      <c r="C1133" s="3">
        <v>45714.492476851854</v>
      </c>
      <c r="D1133" t="s">
        <v>92</v>
      </c>
      <c r="E1133" s="4">
        <v>0</v>
      </c>
      <c r="F1133" s="4">
        <v>428213.33600000001</v>
      </c>
      <c r="G1133" s="4">
        <v>428213.33600000001</v>
      </c>
      <c r="H1133" s="5">
        <f>12049 / 86400</f>
        <v>0.13945601851851852</v>
      </c>
      <c r="I1133" t="s">
        <v>22</v>
      </c>
      <c r="J1133" t="s">
        <v>22</v>
      </c>
      <c r="K1133" s="5">
        <f>12052 / 86400</f>
        <v>0.13949074074074075</v>
      </c>
      <c r="L1133" s="5">
        <f>718 / 86400</f>
        <v>8.3101851851851843E-3</v>
      </c>
    </row>
    <row r="1134" spans="1:12" x14ac:dyDescent="0.25">
      <c r="A1134" s="3">
        <v>45714.500787037032</v>
      </c>
      <c r="B1134" t="s">
        <v>92</v>
      </c>
      <c r="C1134" s="3">
        <v>45714.503333333334</v>
      </c>
      <c r="D1134" t="s">
        <v>92</v>
      </c>
      <c r="E1134" s="4">
        <v>0</v>
      </c>
      <c r="F1134" s="4">
        <v>428213.33600000001</v>
      </c>
      <c r="G1134" s="4">
        <v>428213.33600000001</v>
      </c>
      <c r="H1134" s="5">
        <f>199 / 86400</f>
        <v>2.3032407407407407E-3</v>
      </c>
      <c r="I1134" t="s">
        <v>22</v>
      </c>
      <c r="J1134" t="s">
        <v>22</v>
      </c>
      <c r="K1134" s="5">
        <f>219 / 86400</f>
        <v>2.5347222222222221E-3</v>
      </c>
      <c r="L1134" s="5">
        <f>11913 / 86400</f>
        <v>0.13788194444444443</v>
      </c>
    </row>
    <row r="1135" spans="1:12" x14ac:dyDescent="0.25">
      <c r="A1135" s="3">
        <v>45714.641215277778</v>
      </c>
      <c r="B1135" t="s">
        <v>92</v>
      </c>
      <c r="C1135" s="3">
        <v>45714.645231481481</v>
      </c>
      <c r="D1135" t="s">
        <v>92</v>
      </c>
      <c r="E1135" s="4">
        <v>0</v>
      </c>
      <c r="F1135" s="4">
        <v>428213.33600000001</v>
      </c>
      <c r="G1135" s="4">
        <v>428213.33600000001</v>
      </c>
      <c r="H1135" s="5">
        <f>339 / 86400</f>
        <v>3.9236111111111112E-3</v>
      </c>
      <c r="I1135" t="s">
        <v>22</v>
      </c>
      <c r="J1135" t="s">
        <v>22</v>
      </c>
      <c r="K1135" s="5">
        <f>346 / 86400</f>
        <v>4.0046296296296297E-3</v>
      </c>
      <c r="L1135" s="5">
        <f>25 / 86400</f>
        <v>2.8935185185185184E-4</v>
      </c>
    </row>
    <row r="1136" spans="1:12" x14ac:dyDescent="0.25">
      <c r="A1136" s="3">
        <v>45714.645520833335</v>
      </c>
      <c r="B1136" t="s">
        <v>92</v>
      </c>
      <c r="C1136" s="3">
        <v>45714.647303240738</v>
      </c>
      <c r="D1136" t="s">
        <v>92</v>
      </c>
      <c r="E1136" s="4">
        <v>0</v>
      </c>
      <c r="F1136" s="4">
        <v>428213.33600000001</v>
      </c>
      <c r="G1136" s="4">
        <v>428213.33600000001</v>
      </c>
      <c r="H1136" s="5">
        <f>139 / 86400</f>
        <v>1.6087962962962963E-3</v>
      </c>
      <c r="I1136" t="s">
        <v>22</v>
      </c>
      <c r="J1136" t="s">
        <v>22</v>
      </c>
      <c r="K1136" s="5">
        <f>153 / 86400</f>
        <v>1.7708333333333332E-3</v>
      </c>
      <c r="L1136" s="5">
        <f>1266 / 86400</f>
        <v>1.4652777777777778E-2</v>
      </c>
    </row>
    <row r="1137" spans="1:12" x14ac:dyDescent="0.25">
      <c r="A1137" s="3">
        <v>45714.661956018521</v>
      </c>
      <c r="B1137" t="s">
        <v>92</v>
      </c>
      <c r="C1137" s="3">
        <v>45714.666354166664</v>
      </c>
      <c r="D1137" t="s">
        <v>92</v>
      </c>
      <c r="E1137" s="4">
        <v>0</v>
      </c>
      <c r="F1137" s="4">
        <v>428213.33600000001</v>
      </c>
      <c r="G1137" s="4">
        <v>428213.33600000001</v>
      </c>
      <c r="H1137" s="5">
        <f>359 / 86400</f>
        <v>4.1550925925925922E-3</v>
      </c>
      <c r="I1137" t="s">
        <v>22</v>
      </c>
      <c r="J1137" t="s">
        <v>22</v>
      </c>
      <c r="K1137" s="5">
        <f>379 / 86400</f>
        <v>4.386574074074074E-3</v>
      </c>
      <c r="L1137" s="5">
        <f>58 / 86400</f>
        <v>6.7129629629629625E-4</v>
      </c>
    </row>
    <row r="1138" spans="1:12" x14ac:dyDescent="0.25">
      <c r="A1138" s="3">
        <v>45714.667025462964</v>
      </c>
      <c r="B1138" t="s">
        <v>92</v>
      </c>
      <c r="C1138" s="3">
        <v>45714.667210648149</v>
      </c>
      <c r="D1138" t="s">
        <v>92</v>
      </c>
      <c r="E1138" s="4">
        <v>0</v>
      </c>
      <c r="F1138" s="4">
        <v>428213.33600000001</v>
      </c>
      <c r="G1138" s="4">
        <v>428213.33600000001</v>
      </c>
      <c r="H1138" s="5">
        <f>0 / 86400</f>
        <v>0</v>
      </c>
      <c r="I1138" t="s">
        <v>22</v>
      </c>
      <c r="J1138" t="s">
        <v>22</v>
      </c>
      <c r="K1138" s="5">
        <f>15 / 86400</f>
        <v>1.7361111111111112E-4</v>
      </c>
      <c r="L1138" s="5">
        <f>26 / 86400</f>
        <v>3.0092592592592595E-4</v>
      </c>
    </row>
    <row r="1139" spans="1:12" x14ac:dyDescent="0.25">
      <c r="A1139" s="3">
        <v>45714.667511574073</v>
      </c>
      <c r="B1139" t="s">
        <v>92</v>
      </c>
      <c r="C1139" s="3">
        <v>45714.667615740742</v>
      </c>
      <c r="D1139" t="s">
        <v>92</v>
      </c>
      <c r="E1139" s="4">
        <v>0</v>
      </c>
      <c r="F1139" s="4">
        <v>428213.33600000001</v>
      </c>
      <c r="G1139" s="4">
        <v>428213.33600000001</v>
      </c>
      <c r="H1139" s="5">
        <f>0 / 86400</f>
        <v>0</v>
      </c>
      <c r="I1139" t="s">
        <v>22</v>
      </c>
      <c r="J1139" t="s">
        <v>22</v>
      </c>
      <c r="K1139" s="5">
        <f>8 / 86400</f>
        <v>9.2592592592592588E-5</v>
      </c>
      <c r="L1139" s="5">
        <f>266 / 86400</f>
        <v>3.0787037037037037E-3</v>
      </c>
    </row>
    <row r="1140" spans="1:12" x14ac:dyDescent="0.25">
      <c r="A1140" s="3">
        <v>45714.670694444445</v>
      </c>
      <c r="B1140" t="s">
        <v>92</v>
      </c>
      <c r="C1140" s="3">
        <v>45714.671296296292</v>
      </c>
      <c r="D1140" t="s">
        <v>92</v>
      </c>
      <c r="E1140" s="4">
        <v>0</v>
      </c>
      <c r="F1140" s="4">
        <v>428213.33600000001</v>
      </c>
      <c r="G1140" s="4">
        <v>428213.33600000001</v>
      </c>
      <c r="H1140" s="5">
        <f>39 / 86400</f>
        <v>4.5138888888888887E-4</v>
      </c>
      <c r="I1140" t="s">
        <v>22</v>
      </c>
      <c r="J1140" t="s">
        <v>22</v>
      </c>
      <c r="K1140" s="5">
        <f>52 / 86400</f>
        <v>6.018518518518519E-4</v>
      </c>
      <c r="L1140" s="5">
        <f>299 / 86400</f>
        <v>3.460648148148148E-3</v>
      </c>
    </row>
    <row r="1141" spans="1:12" x14ac:dyDescent="0.25">
      <c r="A1141" s="3">
        <v>45714.674756944441</v>
      </c>
      <c r="B1141" t="s">
        <v>92</v>
      </c>
      <c r="C1141" s="3">
        <v>45714.913460648153</v>
      </c>
      <c r="D1141" t="s">
        <v>92</v>
      </c>
      <c r="E1141" s="4">
        <v>0</v>
      </c>
      <c r="F1141" s="4">
        <v>428213.33600000001</v>
      </c>
      <c r="G1141" s="4">
        <v>428213.33600000001</v>
      </c>
      <c r="H1141" s="5">
        <f>20619 / 86400</f>
        <v>0.23864583333333333</v>
      </c>
      <c r="I1141" t="s">
        <v>22</v>
      </c>
      <c r="J1141" t="s">
        <v>22</v>
      </c>
      <c r="K1141" s="5">
        <f>20624 / 86400</f>
        <v>0.2387037037037037</v>
      </c>
      <c r="L1141" s="5">
        <f>318 / 86400</f>
        <v>3.6805555555555554E-3</v>
      </c>
    </row>
    <row r="1142" spans="1:12" x14ac:dyDescent="0.25">
      <c r="A1142" s="3">
        <v>45714.917141203703</v>
      </c>
      <c r="B1142" t="s">
        <v>92</v>
      </c>
      <c r="C1142" s="3">
        <v>45714.981747685189</v>
      </c>
      <c r="D1142" t="s">
        <v>92</v>
      </c>
      <c r="E1142" s="4">
        <v>0</v>
      </c>
      <c r="F1142" s="4">
        <v>428213.33600000001</v>
      </c>
      <c r="G1142" s="4">
        <v>428213.33600000001</v>
      </c>
      <c r="H1142" s="5">
        <f>5579 / 86400</f>
        <v>6.4571759259259259E-2</v>
      </c>
      <c r="I1142" t="s">
        <v>22</v>
      </c>
      <c r="J1142" t="s">
        <v>22</v>
      </c>
      <c r="K1142" s="5">
        <f>5582 / 86400</f>
        <v>6.4606481481481487E-2</v>
      </c>
      <c r="L1142" s="5">
        <f>899 / 86400</f>
        <v>1.0405092592592593E-2</v>
      </c>
    </row>
    <row r="1143" spans="1:12" x14ac:dyDescent="0.25">
      <c r="A1143" s="3">
        <v>45714.992152777777</v>
      </c>
      <c r="B1143" t="s">
        <v>92</v>
      </c>
      <c r="C1143" s="3">
        <v>45714.99287037037</v>
      </c>
      <c r="D1143" t="s">
        <v>92</v>
      </c>
      <c r="E1143" s="4">
        <v>0</v>
      </c>
      <c r="F1143" s="4">
        <v>428213.33600000001</v>
      </c>
      <c r="G1143" s="4">
        <v>428213.33600000001</v>
      </c>
      <c r="H1143" s="5">
        <f>59 / 86400</f>
        <v>6.8287037037037036E-4</v>
      </c>
      <c r="I1143" t="s">
        <v>22</v>
      </c>
      <c r="J1143" t="s">
        <v>22</v>
      </c>
      <c r="K1143" s="5">
        <f>62 / 86400</f>
        <v>7.1759259259259259E-4</v>
      </c>
      <c r="L1143" s="5">
        <f>615 / 86400</f>
        <v>7.1180555555555554E-3</v>
      </c>
    </row>
    <row r="1144" spans="1:12" x14ac:dyDescent="0.25">
      <c r="A1144" s="12"/>
      <c r="B1144" s="12"/>
      <c r="C1144" s="12"/>
      <c r="D1144" s="12"/>
      <c r="E1144" s="12"/>
      <c r="F1144" s="12"/>
      <c r="G1144" s="12"/>
      <c r="H1144" s="12"/>
      <c r="I1144" s="12"/>
      <c r="J1144" s="12"/>
    </row>
    <row r="1145" spans="1:12" x14ac:dyDescent="0.25">
      <c r="A1145" s="12"/>
      <c r="B1145" s="12"/>
      <c r="C1145" s="12"/>
      <c r="D1145" s="12"/>
      <c r="E1145" s="12"/>
      <c r="F1145" s="12"/>
      <c r="G1145" s="12"/>
      <c r="H1145" s="12"/>
      <c r="I1145" s="12"/>
      <c r="J1145" s="12"/>
    </row>
    <row r="1146" spans="1:12" s="10" customFormat="1" ht="20.100000000000001" customHeight="1" x14ac:dyDescent="0.35">
      <c r="A1146" s="15" t="s">
        <v>508</v>
      </c>
      <c r="B1146" s="15"/>
      <c r="C1146" s="15"/>
      <c r="D1146" s="15"/>
      <c r="E1146" s="15"/>
      <c r="F1146" s="15"/>
      <c r="G1146" s="15"/>
      <c r="H1146" s="15"/>
      <c r="I1146" s="15"/>
      <c r="J1146" s="15"/>
    </row>
    <row r="1147" spans="1:12" x14ac:dyDescent="0.25">
      <c r="A1147" s="12"/>
      <c r="B1147" s="12"/>
      <c r="C1147" s="12"/>
      <c r="D1147" s="12"/>
      <c r="E1147" s="12"/>
      <c r="F1147" s="12"/>
      <c r="G1147" s="12"/>
      <c r="H1147" s="12"/>
      <c r="I1147" s="12"/>
      <c r="J1147" s="12"/>
    </row>
    <row r="1148" spans="1:12" ht="30" x14ac:dyDescent="0.25">
      <c r="A1148" s="2" t="s">
        <v>6</v>
      </c>
      <c r="B1148" s="2" t="s">
        <v>7</v>
      </c>
      <c r="C1148" s="2" t="s">
        <v>8</v>
      </c>
      <c r="D1148" s="2" t="s">
        <v>9</v>
      </c>
      <c r="E1148" s="2" t="s">
        <v>10</v>
      </c>
      <c r="F1148" s="2" t="s">
        <v>11</v>
      </c>
      <c r="G1148" s="2" t="s">
        <v>12</v>
      </c>
      <c r="H1148" s="2" t="s">
        <v>13</v>
      </c>
      <c r="I1148" s="2" t="s">
        <v>14</v>
      </c>
      <c r="J1148" s="2" t="s">
        <v>15</v>
      </c>
      <c r="K1148" s="2" t="s">
        <v>16</v>
      </c>
      <c r="L1148" s="2" t="s">
        <v>17</v>
      </c>
    </row>
    <row r="1149" spans="1:12" x14ac:dyDescent="0.25">
      <c r="A1149" s="3">
        <v>45714.006585648152</v>
      </c>
      <c r="B1149" t="s">
        <v>26</v>
      </c>
      <c r="C1149" s="3">
        <v>45714.008206018523</v>
      </c>
      <c r="D1149" t="s">
        <v>26</v>
      </c>
      <c r="E1149" s="4">
        <v>1.2E-2</v>
      </c>
      <c r="F1149" s="4">
        <v>577741.277</v>
      </c>
      <c r="G1149" s="4">
        <v>577741.28899999999</v>
      </c>
      <c r="H1149" s="5">
        <f>100 / 86400</f>
        <v>1.1574074074074073E-3</v>
      </c>
      <c r="I1149" t="s">
        <v>32</v>
      </c>
      <c r="J1149" t="s">
        <v>22</v>
      </c>
      <c r="K1149" s="5">
        <f>140 / 86400</f>
        <v>1.6203703703703703E-3</v>
      </c>
      <c r="L1149" s="5">
        <f>21327 / 86400</f>
        <v>0.24684027777777778</v>
      </c>
    </row>
    <row r="1150" spans="1:12" x14ac:dyDescent="0.25">
      <c r="A1150" s="3">
        <v>45714.248460648145</v>
      </c>
      <c r="B1150" t="s">
        <v>26</v>
      </c>
      <c r="C1150" s="3">
        <v>45714.478796296295</v>
      </c>
      <c r="D1150" t="s">
        <v>452</v>
      </c>
      <c r="E1150" s="4">
        <v>55.709000000000003</v>
      </c>
      <c r="F1150" s="4">
        <v>577741.28899999999</v>
      </c>
      <c r="G1150" s="4">
        <v>577796.99800000002</v>
      </c>
      <c r="H1150" s="5">
        <f>10361 / 86400</f>
        <v>0.11991898148148149</v>
      </c>
      <c r="I1150" t="s">
        <v>87</v>
      </c>
      <c r="J1150" t="s">
        <v>132</v>
      </c>
      <c r="K1150" s="5">
        <f>19901 / 86400</f>
        <v>0.23033564814814814</v>
      </c>
      <c r="L1150" s="5">
        <f>3390 / 86400</f>
        <v>3.923611111111111E-2</v>
      </c>
    </row>
    <row r="1151" spans="1:12" x14ac:dyDescent="0.25">
      <c r="A1151" s="3">
        <v>45714.518032407403</v>
      </c>
      <c r="B1151" t="s">
        <v>452</v>
      </c>
      <c r="C1151" s="3">
        <v>45714.644328703704</v>
      </c>
      <c r="D1151" t="s">
        <v>422</v>
      </c>
      <c r="E1151" s="4">
        <v>50.418999999999997</v>
      </c>
      <c r="F1151" s="4">
        <v>577796.99800000002</v>
      </c>
      <c r="G1151" s="4">
        <v>577847.41700000002</v>
      </c>
      <c r="H1151" s="5">
        <f>3439 / 86400</f>
        <v>3.9803240740740743E-2</v>
      </c>
      <c r="I1151" t="s">
        <v>97</v>
      </c>
      <c r="J1151" t="s">
        <v>61</v>
      </c>
      <c r="K1151" s="5">
        <f>10912 / 86400</f>
        <v>0.1262962962962963</v>
      </c>
      <c r="L1151" s="5">
        <f>439 / 86400</f>
        <v>5.0810185185185186E-3</v>
      </c>
    </row>
    <row r="1152" spans="1:12" x14ac:dyDescent="0.25">
      <c r="A1152" s="3">
        <v>45714.649409722224</v>
      </c>
      <c r="B1152" t="s">
        <v>422</v>
      </c>
      <c r="C1152" s="3">
        <v>45714.653078703705</v>
      </c>
      <c r="D1152" t="s">
        <v>80</v>
      </c>
      <c r="E1152" s="4">
        <v>0.73599999999999999</v>
      </c>
      <c r="F1152" s="4">
        <v>577847.41700000002</v>
      </c>
      <c r="G1152" s="4">
        <v>577848.15300000005</v>
      </c>
      <c r="H1152" s="5">
        <f>159 / 86400</f>
        <v>1.8402777777777777E-3</v>
      </c>
      <c r="I1152" t="s">
        <v>184</v>
      </c>
      <c r="J1152" t="s">
        <v>157</v>
      </c>
      <c r="K1152" s="5">
        <f>317 / 86400</f>
        <v>3.6689814814814814E-3</v>
      </c>
      <c r="L1152" s="5">
        <f>1072 / 86400</f>
        <v>1.2407407407407407E-2</v>
      </c>
    </row>
    <row r="1153" spans="1:12" x14ac:dyDescent="0.25">
      <c r="A1153" s="3">
        <v>45714.665486111116</v>
      </c>
      <c r="B1153" t="s">
        <v>80</v>
      </c>
      <c r="C1153" s="3">
        <v>45714.676770833335</v>
      </c>
      <c r="D1153" t="s">
        <v>130</v>
      </c>
      <c r="E1153" s="4">
        <v>1.357</v>
      </c>
      <c r="F1153" s="4">
        <v>577848.15300000005</v>
      </c>
      <c r="G1153" s="4">
        <v>577849.51</v>
      </c>
      <c r="H1153" s="5">
        <f>620 / 86400</f>
        <v>7.1759259259259259E-3</v>
      </c>
      <c r="I1153" t="s">
        <v>91</v>
      </c>
      <c r="J1153" t="s">
        <v>77</v>
      </c>
      <c r="K1153" s="5">
        <f>975 / 86400</f>
        <v>1.1284722222222222E-2</v>
      </c>
      <c r="L1153" s="5">
        <f>1612 / 86400</f>
        <v>1.8657407407407407E-2</v>
      </c>
    </row>
    <row r="1154" spans="1:12" x14ac:dyDescent="0.25">
      <c r="A1154" s="3">
        <v>45714.695428240739</v>
      </c>
      <c r="B1154" t="s">
        <v>130</v>
      </c>
      <c r="C1154" s="3">
        <v>45714.926782407405</v>
      </c>
      <c r="D1154" t="s">
        <v>26</v>
      </c>
      <c r="E1154" s="4">
        <v>80.524000000000001</v>
      </c>
      <c r="F1154" s="4">
        <v>577849.51</v>
      </c>
      <c r="G1154" s="4">
        <v>577930.03399999999</v>
      </c>
      <c r="H1154" s="5">
        <f>7010 / 86400</f>
        <v>8.1134259259259253E-2</v>
      </c>
      <c r="I1154" t="s">
        <v>93</v>
      </c>
      <c r="J1154" t="s">
        <v>46</v>
      </c>
      <c r="K1154" s="5">
        <f>19989 / 86400</f>
        <v>0.23135416666666667</v>
      </c>
      <c r="L1154" s="5">
        <f>6325 / 86400</f>
        <v>7.3206018518518517E-2</v>
      </c>
    </row>
    <row r="1155" spans="1:12" x14ac:dyDescent="0.25">
      <c r="A1155" s="12"/>
      <c r="B1155" s="12"/>
      <c r="C1155" s="12"/>
      <c r="D1155" s="12"/>
      <c r="E1155" s="12"/>
      <c r="F1155" s="12"/>
      <c r="G1155" s="12"/>
      <c r="H1155" s="12"/>
      <c r="I1155" s="12"/>
      <c r="J1155" s="12"/>
    </row>
    <row r="1156" spans="1:12" x14ac:dyDescent="0.25">
      <c r="A1156" s="12"/>
      <c r="B1156" s="12"/>
      <c r="C1156" s="12"/>
      <c r="D1156" s="12"/>
      <c r="E1156" s="12"/>
      <c r="F1156" s="12"/>
      <c r="G1156" s="12"/>
      <c r="H1156" s="12"/>
      <c r="I1156" s="12"/>
      <c r="J1156" s="12"/>
    </row>
    <row r="1157" spans="1:12" s="10" customFormat="1" ht="20.100000000000001" customHeight="1" x14ac:dyDescent="0.35">
      <c r="A1157" s="15" t="s">
        <v>509</v>
      </c>
      <c r="B1157" s="15"/>
      <c r="C1157" s="15"/>
      <c r="D1157" s="15"/>
      <c r="E1157" s="15"/>
      <c r="F1157" s="15"/>
      <c r="G1157" s="15"/>
      <c r="H1157" s="15"/>
      <c r="I1157" s="15"/>
      <c r="J1157" s="15"/>
    </row>
    <row r="1158" spans="1:12" x14ac:dyDescent="0.25">
      <c r="A1158" s="12"/>
      <c r="B1158" s="12"/>
      <c r="C1158" s="12"/>
      <c r="D1158" s="12"/>
      <c r="E1158" s="12"/>
      <c r="F1158" s="12"/>
      <c r="G1158" s="12"/>
      <c r="H1158" s="12"/>
      <c r="I1158" s="12"/>
      <c r="J1158" s="12"/>
    </row>
    <row r="1159" spans="1:12" ht="30" x14ac:dyDescent="0.25">
      <c r="A1159" s="2" t="s">
        <v>6</v>
      </c>
      <c r="B1159" s="2" t="s">
        <v>7</v>
      </c>
      <c r="C1159" s="2" t="s">
        <v>8</v>
      </c>
      <c r="D1159" s="2" t="s">
        <v>9</v>
      </c>
      <c r="E1159" s="2" t="s">
        <v>10</v>
      </c>
      <c r="F1159" s="2" t="s">
        <v>11</v>
      </c>
      <c r="G1159" s="2" t="s">
        <v>12</v>
      </c>
      <c r="H1159" s="2" t="s">
        <v>13</v>
      </c>
      <c r="I1159" s="2" t="s">
        <v>14</v>
      </c>
      <c r="J1159" s="2" t="s">
        <v>15</v>
      </c>
      <c r="K1159" s="2" t="s">
        <v>16</v>
      </c>
      <c r="L1159" s="2" t="s">
        <v>17</v>
      </c>
    </row>
    <row r="1160" spans="1:12" x14ac:dyDescent="0.25">
      <c r="A1160" s="3">
        <v>45714.203831018516</v>
      </c>
      <c r="B1160" t="s">
        <v>94</v>
      </c>
      <c r="C1160" s="3">
        <v>45714.207743055551</v>
      </c>
      <c r="D1160" t="s">
        <v>94</v>
      </c>
      <c r="E1160" s="4">
        <v>0</v>
      </c>
      <c r="F1160" s="4">
        <v>418378.41600000003</v>
      </c>
      <c r="G1160" s="4">
        <v>418378.41600000003</v>
      </c>
      <c r="H1160" s="5">
        <f>319 / 86400</f>
        <v>3.6921296296296298E-3</v>
      </c>
      <c r="I1160" t="s">
        <v>22</v>
      </c>
      <c r="J1160" t="s">
        <v>22</v>
      </c>
      <c r="K1160" s="5">
        <f>337 / 86400</f>
        <v>3.9004629629629628E-3</v>
      </c>
      <c r="L1160" s="5">
        <f>17636 / 86400</f>
        <v>0.20412037037037037</v>
      </c>
    </row>
    <row r="1161" spans="1:12" x14ac:dyDescent="0.25">
      <c r="A1161" s="3">
        <v>45714.208032407405</v>
      </c>
      <c r="B1161" t="s">
        <v>94</v>
      </c>
      <c r="C1161" s="3">
        <v>45714.597291666665</v>
      </c>
      <c r="D1161" t="s">
        <v>113</v>
      </c>
      <c r="E1161" s="4">
        <v>138.68899999999999</v>
      </c>
      <c r="F1161" s="4">
        <v>418378.41600000003</v>
      </c>
      <c r="G1161" s="4">
        <v>418517.10499999998</v>
      </c>
      <c r="H1161" s="5">
        <f>13198 / 86400</f>
        <v>0.15275462962962963</v>
      </c>
      <c r="I1161" t="s">
        <v>85</v>
      </c>
      <c r="J1161" t="s">
        <v>46</v>
      </c>
      <c r="K1161" s="5">
        <f>33632 / 86400</f>
        <v>0.38925925925925925</v>
      </c>
      <c r="L1161" s="5">
        <f>837 / 86400</f>
        <v>9.6874999999999999E-3</v>
      </c>
    </row>
    <row r="1162" spans="1:12" x14ac:dyDescent="0.25">
      <c r="A1162" s="3">
        <v>45714.606979166667</v>
      </c>
      <c r="B1162" t="s">
        <v>113</v>
      </c>
      <c r="C1162" s="3">
        <v>45714.607731481483</v>
      </c>
      <c r="D1162" t="s">
        <v>113</v>
      </c>
      <c r="E1162" s="4">
        <v>4.2000000000000003E-2</v>
      </c>
      <c r="F1162" s="4">
        <v>418517.10499999998</v>
      </c>
      <c r="G1162" s="4">
        <v>418517.147</v>
      </c>
      <c r="H1162" s="5">
        <f>0 / 86400</f>
        <v>0</v>
      </c>
      <c r="I1162" t="s">
        <v>77</v>
      </c>
      <c r="J1162" t="s">
        <v>32</v>
      </c>
      <c r="K1162" s="5">
        <f>65 / 86400</f>
        <v>7.5231481481481482E-4</v>
      </c>
      <c r="L1162" s="5">
        <f>158 / 86400</f>
        <v>1.8287037037037037E-3</v>
      </c>
    </row>
    <row r="1163" spans="1:12" x14ac:dyDescent="0.25">
      <c r="A1163" s="3">
        <v>45714.609560185185</v>
      </c>
      <c r="B1163" t="s">
        <v>113</v>
      </c>
      <c r="C1163" s="3">
        <v>45714.61074074074</v>
      </c>
      <c r="D1163" t="s">
        <v>80</v>
      </c>
      <c r="E1163" s="4">
        <v>0.23799999999999999</v>
      </c>
      <c r="F1163" s="4">
        <v>418517.147</v>
      </c>
      <c r="G1163" s="4">
        <v>418517.38500000001</v>
      </c>
      <c r="H1163" s="5">
        <f>0 / 86400</f>
        <v>0</v>
      </c>
      <c r="I1163" t="s">
        <v>28</v>
      </c>
      <c r="J1163" t="s">
        <v>157</v>
      </c>
      <c r="K1163" s="5">
        <f>101 / 86400</f>
        <v>1.1689814814814816E-3</v>
      </c>
      <c r="L1163" s="5">
        <f>456 / 86400</f>
        <v>5.2777777777777779E-3</v>
      </c>
    </row>
    <row r="1164" spans="1:12" x14ac:dyDescent="0.25">
      <c r="A1164" s="3">
        <v>45714.616018518514</v>
      </c>
      <c r="B1164" t="s">
        <v>80</v>
      </c>
      <c r="C1164" s="3">
        <v>45714.617280092592</v>
      </c>
      <c r="D1164" t="s">
        <v>160</v>
      </c>
      <c r="E1164" s="4">
        <v>5.6000000000000001E-2</v>
      </c>
      <c r="F1164" s="4">
        <v>418517.38500000001</v>
      </c>
      <c r="G1164" s="4">
        <v>418517.44099999999</v>
      </c>
      <c r="H1164" s="5">
        <f>20 / 86400</f>
        <v>2.3148148148148149E-4</v>
      </c>
      <c r="I1164" t="s">
        <v>77</v>
      </c>
      <c r="J1164" t="s">
        <v>32</v>
      </c>
      <c r="K1164" s="5">
        <f>109 / 86400</f>
        <v>1.261574074074074E-3</v>
      </c>
      <c r="L1164" s="5">
        <f>783 / 86400</f>
        <v>9.0624999999999994E-3</v>
      </c>
    </row>
    <row r="1165" spans="1:12" x14ac:dyDescent="0.25">
      <c r="A1165" s="3">
        <v>45714.626342592594</v>
      </c>
      <c r="B1165" t="s">
        <v>160</v>
      </c>
      <c r="C1165" s="3">
        <v>45714.626817129625</v>
      </c>
      <c r="D1165" t="s">
        <v>160</v>
      </c>
      <c r="E1165" s="4">
        <v>2.4E-2</v>
      </c>
      <c r="F1165" s="4">
        <v>418517.44099999999</v>
      </c>
      <c r="G1165" s="4">
        <v>418517.46500000003</v>
      </c>
      <c r="H1165" s="5">
        <f>0 / 86400</f>
        <v>0</v>
      </c>
      <c r="I1165" t="s">
        <v>77</v>
      </c>
      <c r="J1165" t="s">
        <v>32</v>
      </c>
      <c r="K1165" s="5">
        <f>40 / 86400</f>
        <v>4.6296296296296298E-4</v>
      </c>
      <c r="L1165" s="5">
        <f>333 / 86400</f>
        <v>3.8541666666666668E-3</v>
      </c>
    </row>
    <row r="1166" spans="1:12" x14ac:dyDescent="0.25">
      <c r="A1166" s="3">
        <v>45714.630671296298</v>
      </c>
      <c r="B1166" t="s">
        <v>160</v>
      </c>
      <c r="C1166" s="3">
        <v>45714.631030092598</v>
      </c>
      <c r="D1166" t="s">
        <v>160</v>
      </c>
      <c r="E1166" s="4">
        <v>0</v>
      </c>
      <c r="F1166" s="4">
        <v>418517.46500000003</v>
      </c>
      <c r="G1166" s="4">
        <v>418517.46500000003</v>
      </c>
      <c r="H1166" s="5">
        <f>19 / 86400</f>
        <v>2.199074074074074E-4</v>
      </c>
      <c r="I1166" t="s">
        <v>22</v>
      </c>
      <c r="J1166" t="s">
        <v>22</v>
      </c>
      <c r="K1166" s="5">
        <f>30 / 86400</f>
        <v>3.4722222222222224E-4</v>
      </c>
      <c r="L1166" s="5">
        <f>397 / 86400</f>
        <v>4.5949074074074078E-3</v>
      </c>
    </row>
    <row r="1167" spans="1:12" x14ac:dyDescent="0.25">
      <c r="A1167" s="3">
        <v>45714.635624999995</v>
      </c>
      <c r="B1167" t="s">
        <v>160</v>
      </c>
      <c r="C1167" s="3">
        <v>45714.635659722218</v>
      </c>
      <c r="D1167" t="s">
        <v>160</v>
      </c>
      <c r="E1167" s="4">
        <v>0</v>
      </c>
      <c r="F1167" s="4">
        <v>418517.46500000003</v>
      </c>
      <c r="G1167" s="4">
        <v>418517.46500000003</v>
      </c>
      <c r="H1167" s="5">
        <f>0 / 86400</f>
        <v>0</v>
      </c>
      <c r="I1167" t="s">
        <v>22</v>
      </c>
      <c r="J1167" t="s">
        <v>22</v>
      </c>
      <c r="K1167" s="5">
        <f>3 / 86400</f>
        <v>3.4722222222222222E-5</v>
      </c>
      <c r="L1167" s="5">
        <f>1133 / 86400</f>
        <v>1.3113425925925926E-2</v>
      </c>
    </row>
    <row r="1168" spans="1:12" x14ac:dyDescent="0.25">
      <c r="A1168" s="3">
        <v>45714.648773148147</v>
      </c>
      <c r="B1168" t="s">
        <v>160</v>
      </c>
      <c r="C1168" s="3">
        <v>45714.867141203707</v>
      </c>
      <c r="D1168" t="s">
        <v>94</v>
      </c>
      <c r="E1168" s="4">
        <v>70.491</v>
      </c>
      <c r="F1168" s="4">
        <v>418517.46500000003</v>
      </c>
      <c r="G1168" s="4">
        <v>418587.95600000001</v>
      </c>
      <c r="H1168" s="5">
        <f>7340 / 86400</f>
        <v>8.4953703703703698E-2</v>
      </c>
      <c r="I1168" t="s">
        <v>60</v>
      </c>
      <c r="J1168" t="s">
        <v>42</v>
      </c>
      <c r="K1168" s="5">
        <f>18867 / 86400</f>
        <v>0.21836805555555555</v>
      </c>
      <c r="L1168" s="5">
        <f>11478 / 86400</f>
        <v>0.13284722222222223</v>
      </c>
    </row>
    <row r="1169" spans="1:12" x14ac:dyDescent="0.25">
      <c r="A1169" s="12"/>
      <c r="B1169" s="12"/>
      <c r="C1169" s="12"/>
      <c r="D1169" s="12"/>
      <c r="E1169" s="12"/>
      <c r="F1169" s="12"/>
      <c r="G1169" s="12"/>
      <c r="H1169" s="12"/>
      <c r="I1169" s="12"/>
      <c r="J1169" s="12"/>
    </row>
    <row r="1170" spans="1:12" x14ac:dyDescent="0.25">
      <c r="A1170" s="12"/>
      <c r="B1170" s="12"/>
      <c r="C1170" s="12"/>
      <c r="D1170" s="12"/>
      <c r="E1170" s="12"/>
      <c r="F1170" s="12"/>
      <c r="G1170" s="12"/>
      <c r="H1170" s="12"/>
      <c r="I1170" s="12"/>
      <c r="J1170" s="12"/>
    </row>
    <row r="1171" spans="1:12" s="10" customFormat="1" ht="20.100000000000001" customHeight="1" x14ac:dyDescent="0.35">
      <c r="A1171" s="15" t="s">
        <v>510</v>
      </c>
      <c r="B1171" s="15"/>
      <c r="C1171" s="15"/>
      <c r="D1171" s="15"/>
      <c r="E1171" s="15"/>
      <c r="F1171" s="15"/>
      <c r="G1171" s="15"/>
      <c r="H1171" s="15"/>
      <c r="I1171" s="15"/>
      <c r="J1171" s="15"/>
    </row>
    <row r="1172" spans="1:12" x14ac:dyDescent="0.25">
      <c r="A1172" s="12"/>
      <c r="B1172" s="12"/>
      <c r="C1172" s="12"/>
      <c r="D1172" s="12"/>
      <c r="E1172" s="12"/>
      <c r="F1172" s="12"/>
      <c r="G1172" s="12"/>
      <c r="H1172" s="12"/>
      <c r="I1172" s="12"/>
      <c r="J1172" s="12"/>
    </row>
    <row r="1173" spans="1:12" ht="30" x14ac:dyDescent="0.25">
      <c r="A1173" s="2" t="s">
        <v>6</v>
      </c>
      <c r="B1173" s="2" t="s">
        <v>7</v>
      </c>
      <c r="C1173" s="2" t="s">
        <v>8</v>
      </c>
      <c r="D1173" s="2" t="s">
        <v>9</v>
      </c>
      <c r="E1173" s="2" t="s">
        <v>10</v>
      </c>
      <c r="F1173" s="2" t="s">
        <v>11</v>
      </c>
      <c r="G1173" s="2" t="s">
        <v>12</v>
      </c>
      <c r="H1173" s="2" t="s">
        <v>13</v>
      </c>
      <c r="I1173" s="2" t="s">
        <v>14</v>
      </c>
      <c r="J1173" s="2" t="s">
        <v>15</v>
      </c>
      <c r="K1173" s="2" t="s">
        <v>16</v>
      </c>
      <c r="L1173" s="2" t="s">
        <v>17</v>
      </c>
    </row>
    <row r="1174" spans="1:12" x14ac:dyDescent="0.25">
      <c r="A1174" s="3">
        <v>45714</v>
      </c>
      <c r="B1174" t="s">
        <v>95</v>
      </c>
      <c r="C1174" s="3">
        <v>45714.012314814812</v>
      </c>
      <c r="D1174" t="s">
        <v>453</v>
      </c>
      <c r="E1174" s="4">
        <v>6.8410000000000002</v>
      </c>
      <c r="F1174" s="4">
        <v>401981.59899999999</v>
      </c>
      <c r="G1174" s="4">
        <v>401988.44</v>
      </c>
      <c r="H1174" s="5">
        <f>160 / 86400</f>
        <v>1.8518518518518519E-3</v>
      </c>
      <c r="I1174" t="s">
        <v>101</v>
      </c>
      <c r="J1174" t="s">
        <v>134</v>
      </c>
      <c r="K1174" s="5">
        <f>1064 / 86400</f>
        <v>1.2314814814814815E-2</v>
      </c>
      <c r="L1174" s="5">
        <f>39059 / 86400</f>
        <v>0.45207175925925924</v>
      </c>
    </row>
    <row r="1175" spans="1:12" x14ac:dyDescent="0.25">
      <c r="A1175" s="3">
        <v>45714.464386574073</v>
      </c>
      <c r="B1175" t="s">
        <v>453</v>
      </c>
      <c r="C1175" s="3">
        <v>45714.486331018517</v>
      </c>
      <c r="D1175" t="s">
        <v>163</v>
      </c>
      <c r="E1175" s="4">
        <v>9.4580000000000002</v>
      </c>
      <c r="F1175" s="4">
        <v>401988.44</v>
      </c>
      <c r="G1175" s="4">
        <v>401997.89799999999</v>
      </c>
      <c r="H1175" s="5">
        <f>864 / 86400</f>
        <v>0.01</v>
      </c>
      <c r="I1175" t="s">
        <v>296</v>
      </c>
      <c r="J1175" t="s">
        <v>20</v>
      </c>
      <c r="K1175" s="5">
        <f>1895 / 86400</f>
        <v>2.193287037037037E-2</v>
      </c>
      <c r="L1175" s="5">
        <f>671 / 86400</f>
        <v>7.766203703703704E-3</v>
      </c>
    </row>
    <row r="1176" spans="1:12" x14ac:dyDescent="0.25">
      <c r="A1176" s="3">
        <v>45714.494097222225</v>
      </c>
      <c r="B1176" t="s">
        <v>163</v>
      </c>
      <c r="C1176" s="3">
        <v>45714.497199074074</v>
      </c>
      <c r="D1176" t="s">
        <v>156</v>
      </c>
      <c r="E1176" s="4">
        <v>0.74199999999999999</v>
      </c>
      <c r="F1176" s="4">
        <v>401997.89799999999</v>
      </c>
      <c r="G1176" s="4">
        <v>401998.64</v>
      </c>
      <c r="H1176" s="5">
        <f>60 / 86400</f>
        <v>6.9444444444444447E-4</v>
      </c>
      <c r="I1176" t="s">
        <v>64</v>
      </c>
      <c r="J1176" t="s">
        <v>132</v>
      </c>
      <c r="K1176" s="5">
        <f>267 / 86400</f>
        <v>3.0902777777777777E-3</v>
      </c>
      <c r="L1176" s="5">
        <f>75 / 86400</f>
        <v>8.6805555555555551E-4</v>
      </c>
    </row>
    <row r="1177" spans="1:12" x14ac:dyDescent="0.25">
      <c r="A1177" s="3">
        <v>45714.498067129629</v>
      </c>
      <c r="B1177" t="s">
        <v>156</v>
      </c>
      <c r="C1177" s="3">
        <v>45714.498252314814</v>
      </c>
      <c r="D1177" t="s">
        <v>156</v>
      </c>
      <c r="E1177" s="4">
        <v>0</v>
      </c>
      <c r="F1177" s="4">
        <v>401998.64</v>
      </c>
      <c r="G1177" s="4">
        <v>401998.64</v>
      </c>
      <c r="H1177" s="5">
        <f>0 / 86400</f>
        <v>0</v>
      </c>
      <c r="I1177" t="s">
        <v>22</v>
      </c>
      <c r="J1177" t="s">
        <v>22</v>
      </c>
      <c r="K1177" s="5">
        <f>15 / 86400</f>
        <v>1.7361111111111112E-4</v>
      </c>
      <c r="L1177" s="5">
        <f>325 / 86400</f>
        <v>3.7615740740740739E-3</v>
      </c>
    </row>
    <row r="1178" spans="1:12" x14ac:dyDescent="0.25">
      <c r="A1178" s="3">
        <v>45714.502013888894</v>
      </c>
      <c r="B1178" t="s">
        <v>156</v>
      </c>
      <c r="C1178" s="3">
        <v>45714.631921296299</v>
      </c>
      <c r="D1178" t="s">
        <v>454</v>
      </c>
      <c r="E1178" s="4">
        <v>49.369</v>
      </c>
      <c r="F1178" s="4">
        <v>401998.64</v>
      </c>
      <c r="G1178" s="4">
        <v>402048.00900000002</v>
      </c>
      <c r="H1178" s="5">
        <f>4219 / 86400</f>
        <v>4.8831018518518517E-2</v>
      </c>
      <c r="I1178" t="s">
        <v>97</v>
      </c>
      <c r="J1178" t="s">
        <v>28</v>
      </c>
      <c r="K1178" s="5">
        <f>11224 / 86400</f>
        <v>0.12990740740740742</v>
      </c>
      <c r="L1178" s="5">
        <f>3042 / 86400</f>
        <v>3.5208333333333335E-2</v>
      </c>
    </row>
    <row r="1179" spans="1:12" x14ac:dyDescent="0.25">
      <c r="A1179" s="3">
        <v>45714.667129629626</v>
      </c>
      <c r="B1179" t="s">
        <v>454</v>
      </c>
      <c r="C1179" s="3">
        <v>45714.953888888893</v>
      </c>
      <c r="D1179" t="s">
        <v>80</v>
      </c>
      <c r="E1179" s="4">
        <v>74.325000000000003</v>
      </c>
      <c r="F1179" s="4">
        <v>402048.00900000002</v>
      </c>
      <c r="G1179" s="4">
        <v>402122.33399999997</v>
      </c>
      <c r="H1179" s="5">
        <f>10560 / 86400</f>
        <v>0.12222222222222222</v>
      </c>
      <c r="I1179" t="s">
        <v>266</v>
      </c>
      <c r="J1179" t="s">
        <v>31</v>
      </c>
      <c r="K1179" s="5">
        <f>24775 / 86400</f>
        <v>0.28674768518518517</v>
      </c>
      <c r="L1179" s="5">
        <f>1242 / 86400</f>
        <v>1.4375000000000001E-2</v>
      </c>
    </row>
    <row r="1180" spans="1:12" x14ac:dyDescent="0.25">
      <c r="A1180" s="3">
        <v>45714.968263888892</v>
      </c>
      <c r="B1180" t="s">
        <v>80</v>
      </c>
      <c r="C1180" s="3">
        <v>45714.971180555556</v>
      </c>
      <c r="D1180" t="s">
        <v>96</v>
      </c>
      <c r="E1180" s="4">
        <v>0.36</v>
      </c>
      <c r="F1180" s="4">
        <v>402122.33399999997</v>
      </c>
      <c r="G1180" s="4">
        <v>402122.69400000002</v>
      </c>
      <c r="H1180" s="5">
        <f>60 / 86400</f>
        <v>6.9444444444444447E-4</v>
      </c>
      <c r="I1180" t="s">
        <v>20</v>
      </c>
      <c r="J1180" t="s">
        <v>77</v>
      </c>
      <c r="K1180" s="5">
        <f>252 / 86400</f>
        <v>2.9166666666666668E-3</v>
      </c>
      <c r="L1180" s="5">
        <f>2489 / 86400</f>
        <v>2.8807870370370369E-2</v>
      </c>
    </row>
    <row r="1181" spans="1:12" x14ac:dyDescent="0.25">
      <c r="A1181" s="12"/>
      <c r="B1181" s="12"/>
      <c r="C1181" s="12"/>
      <c r="D1181" s="12"/>
      <c r="E1181" s="12"/>
      <c r="F1181" s="12"/>
      <c r="G1181" s="12"/>
      <c r="H1181" s="12"/>
      <c r="I1181" s="12"/>
      <c r="J1181" s="12"/>
    </row>
    <row r="1182" spans="1:12" x14ac:dyDescent="0.25">
      <c r="A1182" s="12"/>
      <c r="B1182" s="12"/>
      <c r="C1182" s="12"/>
      <c r="D1182" s="12"/>
      <c r="E1182" s="12"/>
      <c r="F1182" s="12"/>
      <c r="G1182" s="12"/>
      <c r="H1182" s="12"/>
      <c r="I1182" s="12"/>
      <c r="J1182" s="12"/>
    </row>
    <row r="1183" spans="1:12" s="10" customFormat="1" ht="20.100000000000001" customHeight="1" x14ac:dyDescent="0.35">
      <c r="A1183" s="15" t="s">
        <v>511</v>
      </c>
      <c r="B1183" s="15"/>
      <c r="C1183" s="15"/>
      <c r="D1183" s="15"/>
      <c r="E1183" s="15"/>
      <c r="F1183" s="15"/>
      <c r="G1183" s="15"/>
      <c r="H1183" s="15"/>
      <c r="I1183" s="15"/>
      <c r="J1183" s="15"/>
    </row>
    <row r="1184" spans="1:12" x14ac:dyDescent="0.25">
      <c r="A1184" s="12"/>
      <c r="B1184" s="12"/>
      <c r="C1184" s="12"/>
      <c r="D1184" s="12"/>
      <c r="E1184" s="12"/>
      <c r="F1184" s="12"/>
      <c r="G1184" s="12"/>
      <c r="H1184" s="12"/>
      <c r="I1184" s="12"/>
      <c r="J1184" s="12"/>
    </row>
    <row r="1185" spans="1:12" ht="30" x14ac:dyDescent="0.25">
      <c r="A1185" s="2" t="s">
        <v>6</v>
      </c>
      <c r="B1185" s="2" t="s">
        <v>7</v>
      </c>
      <c r="C1185" s="2" t="s">
        <v>8</v>
      </c>
      <c r="D1185" s="2" t="s">
        <v>9</v>
      </c>
      <c r="E1185" s="2" t="s">
        <v>10</v>
      </c>
      <c r="F1185" s="2" t="s">
        <v>11</v>
      </c>
      <c r="G1185" s="2" t="s">
        <v>12</v>
      </c>
      <c r="H1185" s="2" t="s">
        <v>13</v>
      </c>
      <c r="I1185" s="2" t="s">
        <v>14</v>
      </c>
      <c r="J1185" s="2" t="s">
        <v>15</v>
      </c>
      <c r="K1185" s="2" t="s">
        <v>16</v>
      </c>
      <c r="L1185" s="2" t="s">
        <v>17</v>
      </c>
    </row>
    <row r="1186" spans="1:12" x14ac:dyDescent="0.25">
      <c r="A1186" s="3">
        <v>45714.277025462958</v>
      </c>
      <c r="B1186" t="s">
        <v>26</v>
      </c>
      <c r="C1186" s="3">
        <v>45714.277847222227</v>
      </c>
      <c r="D1186" t="s">
        <v>26</v>
      </c>
      <c r="E1186" s="4">
        <v>0</v>
      </c>
      <c r="F1186" s="4">
        <v>384286.679</v>
      </c>
      <c r="G1186" s="4">
        <v>384286.679</v>
      </c>
      <c r="H1186" s="5">
        <f>59 / 86400</f>
        <v>6.8287037037037036E-4</v>
      </c>
      <c r="I1186" t="s">
        <v>22</v>
      </c>
      <c r="J1186" t="s">
        <v>22</v>
      </c>
      <c r="K1186" s="5">
        <f>71 / 86400</f>
        <v>8.2175925925925927E-4</v>
      </c>
      <c r="L1186" s="5">
        <f>23938 / 86400</f>
        <v>0.27706018518518516</v>
      </c>
    </row>
    <row r="1187" spans="1:12" x14ac:dyDescent="0.25">
      <c r="A1187" s="3">
        <v>45714.277881944443</v>
      </c>
      <c r="B1187" t="s">
        <v>26</v>
      </c>
      <c r="C1187" s="3">
        <v>45714.278402777782</v>
      </c>
      <c r="D1187" t="s">
        <v>26</v>
      </c>
      <c r="E1187" s="4">
        <v>0.01</v>
      </c>
      <c r="F1187" s="4">
        <v>384286.679</v>
      </c>
      <c r="G1187" s="4">
        <v>384286.68900000001</v>
      </c>
      <c r="H1187" s="5">
        <f>25 / 86400</f>
        <v>2.8935185185185184E-4</v>
      </c>
      <c r="I1187" t="s">
        <v>22</v>
      </c>
      <c r="J1187" t="s">
        <v>78</v>
      </c>
      <c r="K1187" s="5">
        <f>45 / 86400</f>
        <v>5.2083333333333333E-4</v>
      </c>
      <c r="L1187" s="5">
        <f>19 / 86400</f>
        <v>2.199074074074074E-4</v>
      </c>
    </row>
    <row r="1188" spans="1:12" x14ac:dyDescent="0.25">
      <c r="A1188" s="3">
        <v>45714.278622685189</v>
      </c>
      <c r="B1188" t="s">
        <v>26</v>
      </c>
      <c r="C1188" s="3">
        <v>45714.278935185182</v>
      </c>
      <c r="D1188" t="s">
        <v>26</v>
      </c>
      <c r="E1188" s="4">
        <v>0</v>
      </c>
      <c r="F1188" s="4">
        <v>384286.68900000001</v>
      </c>
      <c r="G1188" s="4">
        <v>384286.68900000001</v>
      </c>
      <c r="H1188" s="5">
        <f>19 / 86400</f>
        <v>2.199074074074074E-4</v>
      </c>
      <c r="I1188" t="s">
        <v>22</v>
      </c>
      <c r="J1188" t="s">
        <v>22</v>
      </c>
      <c r="K1188" s="5">
        <f>26 / 86400</f>
        <v>3.0092592592592595E-4</v>
      </c>
      <c r="L1188" s="5">
        <f>3 / 86400</f>
        <v>3.4722222222222222E-5</v>
      </c>
    </row>
    <row r="1189" spans="1:12" x14ac:dyDescent="0.25">
      <c r="A1189" s="3">
        <v>45714.278969907406</v>
      </c>
      <c r="B1189" t="s">
        <v>26</v>
      </c>
      <c r="C1189" s="3">
        <v>45714.279004629629</v>
      </c>
      <c r="D1189" t="s">
        <v>26</v>
      </c>
      <c r="E1189" s="4">
        <v>0</v>
      </c>
      <c r="F1189" s="4">
        <v>384286.68900000001</v>
      </c>
      <c r="G1189" s="4">
        <v>384286.68900000001</v>
      </c>
      <c r="H1189" s="5">
        <f>0 / 86400</f>
        <v>0</v>
      </c>
      <c r="I1189" t="s">
        <v>22</v>
      </c>
      <c r="J1189" t="s">
        <v>22</v>
      </c>
      <c r="K1189" s="5">
        <f>3 / 86400</f>
        <v>3.4722222222222222E-5</v>
      </c>
      <c r="L1189" s="5">
        <f>116 / 86400</f>
        <v>1.3425925925925925E-3</v>
      </c>
    </row>
    <row r="1190" spans="1:12" x14ac:dyDescent="0.25">
      <c r="A1190" s="3">
        <v>45714.280347222222</v>
      </c>
      <c r="B1190" t="s">
        <v>26</v>
      </c>
      <c r="C1190" s="3">
        <v>45714.298564814817</v>
      </c>
      <c r="D1190" t="s">
        <v>361</v>
      </c>
      <c r="E1190" s="4">
        <v>9.3740000000000006</v>
      </c>
      <c r="F1190" s="4">
        <v>384286.68900000001</v>
      </c>
      <c r="G1190" s="4">
        <v>384296.06300000002</v>
      </c>
      <c r="H1190" s="5">
        <f>20 / 86400</f>
        <v>2.3148148148148149E-4</v>
      </c>
      <c r="I1190" t="s">
        <v>298</v>
      </c>
      <c r="J1190" t="s">
        <v>151</v>
      </c>
      <c r="K1190" s="5">
        <f>1574 / 86400</f>
        <v>1.8217592592592594E-2</v>
      </c>
      <c r="L1190" s="5">
        <f>14 / 86400</f>
        <v>1.6203703703703703E-4</v>
      </c>
    </row>
    <row r="1191" spans="1:12" x14ac:dyDescent="0.25">
      <c r="A1191" s="3">
        <v>45714.298726851848</v>
      </c>
      <c r="B1191" t="s">
        <v>361</v>
      </c>
      <c r="C1191" s="3">
        <v>45714.298935185187</v>
      </c>
      <c r="D1191" t="s">
        <v>361</v>
      </c>
      <c r="E1191" s="4">
        <v>0</v>
      </c>
      <c r="F1191" s="4">
        <v>384296.06300000002</v>
      </c>
      <c r="G1191" s="4">
        <v>384296.06300000002</v>
      </c>
      <c r="H1191" s="5">
        <f>0 / 86400</f>
        <v>0</v>
      </c>
      <c r="I1191" t="s">
        <v>22</v>
      </c>
      <c r="J1191" t="s">
        <v>22</v>
      </c>
      <c r="K1191" s="5">
        <f>17 / 86400</f>
        <v>1.9675925925925926E-4</v>
      </c>
      <c r="L1191" s="5">
        <f>2 / 86400</f>
        <v>2.3148148148148147E-5</v>
      </c>
    </row>
    <row r="1192" spans="1:12" x14ac:dyDescent="0.25">
      <c r="A1192" s="3">
        <v>45714.298958333333</v>
      </c>
      <c r="B1192" t="s">
        <v>361</v>
      </c>
      <c r="C1192" s="3">
        <v>45714.299282407403</v>
      </c>
      <c r="D1192" t="s">
        <v>361</v>
      </c>
      <c r="E1192" s="4">
        <v>0</v>
      </c>
      <c r="F1192" s="4">
        <v>384296.06300000002</v>
      </c>
      <c r="G1192" s="4">
        <v>384296.06300000002</v>
      </c>
      <c r="H1192" s="5">
        <f>19 / 86400</f>
        <v>2.199074074074074E-4</v>
      </c>
      <c r="I1192" t="s">
        <v>22</v>
      </c>
      <c r="J1192" t="s">
        <v>22</v>
      </c>
      <c r="K1192" s="5">
        <f>28 / 86400</f>
        <v>3.2407407407407406E-4</v>
      </c>
      <c r="L1192" s="5">
        <f>6 / 86400</f>
        <v>6.9444444444444444E-5</v>
      </c>
    </row>
    <row r="1193" spans="1:12" x14ac:dyDescent="0.25">
      <c r="A1193" s="3">
        <v>45714.299351851849</v>
      </c>
      <c r="B1193" t="s">
        <v>361</v>
      </c>
      <c r="C1193" s="3">
        <v>45714.299618055556</v>
      </c>
      <c r="D1193" t="s">
        <v>361</v>
      </c>
      <c r="E1193" s="4">
        <v>0</v>
      </c>
      <c r="F1193" s="4">
        <v>384296.06300000002</v>
      </c>
      <c r="G1193" s="4">
        <v>384296.06300000002</v>
      </c>
      <c r="H1193" s="5">
        <f>6 / 86400</f>
        <v>6.9444444444444444E-5</v>
      </c>
      <c r="I1193" t="s">
        <v>22</v>
      </c>
      <c r="J1193" t="s">
        <v>22</v>
      </c>
      <c r="K1193" s="5">
        <f>23 / 86400</f>
        <v>2.6620370370370372E-4</v>
      </c>
      <c r="L1193" s="5">
        <f>71 / 86400</f>
        <v>8.2175925925925927E-4</v>
      </c>
    </row>
    <row r="1194" spans="1:12" x14ac:dyDescent="0.25">
      <c r="A1194" s="3">
        <v>45714.300439814819</v>
      </c>
      <c r="B1194" t="s">
        <v>361</v>
      </c>
      <c r="C1194" s="3">
        <v>45714.301388888889</v>
      </c>
      <c r="D1194" t="s">
        <v>361</v>
      </c>
      <c r="E1194" s="4">
        <v>0</v>
      </c>
      <c r="F1194" s="4">
        <v>384296.06300000002</v>
      </c>
      <c r="G1194" s="4">
        <v>384296.06300000002</v>
      </c>
      <c r="H1194" s="5">
        <f>82 / 86400</f>
        <v>9.4907407407407408E-4</v>
      </c>
      <c r="I1194" t="s">
        <v>22</v>
      </c>
      <c r="J1194" t="s">
        <v>22</v>
      </c>
      <c r="K1194" s="5">
        <f>82 / 86400</f>
        <v>9.4907407407407408E-4</v>
      </c>
      <c r="L1194" s="5">
        <f>12 / 86400</f>
        <v>1.3888888888888889E-4</v>
      </c>
    </row>
    <row r="1195" spans="1:12" x14ac:dyDescent="0.25">
      <c r="A1195" s="3">
        <v>45714.301539351851</v>
      </c>
      <c r="B1195" t="s">
        <v>361</v>
      </c>
      <c r="C1195" s="3">
        <v>45714.301898148144</v>
      </c>
      <c r="D1195" t="s">
        <v>361</v>
      </c>
      <c r="E1195" s="4">
        <v>0</v>
      </c>
      <c r="F1195" s="4">
        <v>384296.06300000002</v>
      </c>
      <c r="G1195" s="4">
        <v>384296.06300000002</v>
      </c>
      <c r="H1195" s="5">
        <f>30 / 86400</f>
        <v>3.4722222222222224E-4</v>
      </c>
      <c r="I1195" t="s">
        <v>22</v>
      </c>
      <c r="J1195" t="s">
        <v>22</v>
      </c>
      <c r="K1195" s="5">
        <f>31 / 86400</f>
        <v>3.5879629629629629E-4</v>
      </c>
      <c r="L1195" s="5">
        <f>8 / 86400</f>
        <v>9.2592592592592588E-5</v>
      </c>
    </row>
    <row r="1196" spans="1:12" x14ac:dyDescent="0.25">
      <c r="A1196" s="3">
        <v>45714.302002314813</v>
      </c>
      <c r="B1196" t="s">
        <v>361</v>
      </c>
      <c r="C1196" s="3">
        <v>45714.303749999999</v>
      </c>
      <c r="D1196" t="s">
        <v>361</v>
      </c>
      <c r="E1196" s="4">
        <v>0</v>
      </c>
      <c r="F1196" s="4">
        <v>384296.06300000002</v>
      </c>
      <c r="G1196" s="4">
        <v>384296.06300000002</v>
      </c>
      <c r="H1196" s="5">
        <f>150 / 86400</f>
        <v>1.736111111111111E-3</v>
      </c>
      <c r="I1196" t="s">
        <v>22</v>
      </c>
      <c r="J1196" t="s">
        <v>22</v>
      </c>
      <c r="K1196" s="5">
        <f>151 / 86400</f>
        <v>1.7476851851851852E-3</v>
      </c>
      <c r="L1196" s="5">
        <f>104 / 86400</f>
        <v>1.2037037037037038E-3</v>
      </c>
    </row>
    <row r="1197" spans="1:12" x14ac:dyDescent="0.25">
      <c r="A1197" s="3">
        <v>45714.304965277777</v>
      </c>
      <c r="B1197" t="s">
        <v>361</v>
      </c>
      <c r="C1197" s="3">
        <v>45714.3050462963</v>
      </c>
      <c r="D1197" t="s">
        <v>361</v>
      </c>
      <c r="E1197" s="4">
        <v>0</v>
      </c>
      <c r="F1197" s="4">
        <v>384296.06300000002</v>
      </c>
      <c r="G1197" s="4">
        <v>384296.06300000002</v>
      </c>
      <c r="H1197" s="5">
        <f>0 / 86400</f>
        <v>0</v>
      </c>
      <c r="I1197" t="s">
        <v>22</v>
      </c>
      <c r="J1197" t="s">
        <v>22</v>
      </c>
      <c r="K1197" s="5">
        <f>7 / 86400</f>
        <v>8.1018518518518516E-5</v>
      </c>
      <c r="L1197" s="5">
        <f>1 / 86400</f>
        <v>1.1574074074074073E-5</v>
      </c>
    </row>
    <row r="1198" spans="1:12" x14ac:dyDescent="0.25">
      <c r="A1198" s="3">
        <v>45714.30505787037</v>
      </c>
      <c r="B1198" t="s">
        <v>361</v>
      </c>
      <c r="C1198" s="3">
        <v>45714.305208333331</v>
      </c>
      <c r="D1198" t="s">
        <v>361</v>
      </c>
      <c r="E1198" s="4">
        <v>0</v>
      </c>
      <c r="F1198" s="4">
        <v>384296.06300000002</v>
      </c>
      <c r="G1198" s="4">
        <v>384296.06300000002</v>
      </c>
      <c r="H1198" s="5">
        <f>10 / 86400</f>
        <v>1.1574074074074075E-4</v>
      </c>
      <c r="I1198" t="s">
        <v>22</v>
      </c>
      <c r="J1198" t="s">
        <v>22</v>
      </c>
      <c r="K1198" s="5">
        <f>13 / 86400</f>
        <v>1.5046296296296297E-4</v>
      </c>
      <c r="L1198" s="5">
        <f>1 / 86400</f>
        <v>1.1574074074074073E-5</v>
      </c>
    </row>
    <row r="1199" spans="1:12" x14ac:dyDescent="0.25">
      <c r="A1199" s="3">
        <v>45714.305219907408</v>
      </c>
      <c r="B1199" t="s">
        <v>361</v>
      </c>
      <c r="C1199" s="3">
        <v>45714.305254629631</v>
      </c>
      <c r="D1199" t="s">
        <v>361</v>
      </c>
      <c r="E1199" s="4">
        <v>0</v>
      </c>
      <c r="F1199" s="4">
        <v>384296.06300000002</v>
      </c>
      <c r="G1199" s="4">
        <v>384296.06300000002</v>
      </c>
      <c r="H1199" s="5">
        <f>2 / 86400</f>
        <v>2.3148148148148147E-5</v>
      </c>
      <c r="I1199" t="s">
        <v>22</v>
      </c>
      <c r="J1199" t="s">
        <v>22</v>
      </c>
      <c r="K1199" s="5">
        <f>3 / 86400</f>
        <v>3.4722222222222222E-5</v>
      </c>
      <c r="L1199" s="5">
        <f>29 / 86400</f>
        <v>3.3564814814814812E-4</v>
      </c>
    </row>
    <row r="1200" spans="1:12" x14ac:dyDescent="0.25">
      <c r="A1200" s="3">
        <v>45714.305601851855</v>
      </c>
      <c r="B1200" t="s">
        <v>361</v>
      </c>
      <c r="C1200" s="3">
        <v>45714.307222222225</v>
      </c>
      <c r="D1200" t="s">
        <v>361</v>
      </c>
      <c r="E1200" s="4">
        <v>0</v>
      </c>
      <c r="F1200" s="4">
        <v>384296.06300000002</v>
      </c>
      <c r="G1200" s="4">
        <v>384296.06300000002</v>
      </c>
      <c r="H1200" s="5">
        <f>138 / 86400</f>
        <v>1.5972222222222223E-3</v>
      </c>
      <c r="I1200" t="s">
        <v>22</v>
      </c>
      <c r="J1200" t="s">
        <v>22</v>
      </c>
      <c r="K1200" s="5">
        <f>140 / 86400</f>
        <v>1.6203703703703703E-3</v>
      </c>
      <c r="L1200" s="5">
        <f>77 / 86400</f>
        <v>8.9120370370370373E-4</v>
      </c>
    </row>
    <row r="1201" spans="1:12" x14ac:dyDescent="0.25">
      <c r="A1201" s="3">
        <v>45714.308113425926</v>
      </c>
      <c r="B1201" t="s">
        <v>361</v>
      </c>
      <c r="C1201" s="3">
        <v>45714.375671296293</v>
      </c>
      <c r="D1201" t="s">
        <v>361</v>
      </c>
      <c r="E1201" s="4">
        <v>2.5000000000000001E-2</v>
      </c>
      <c r="F1201" s="4">
        <v>384296.06300000002</v>
      </c>
      <c r="G1201" s="4">
        <v>384296.08799999999</v>
      </c>
      <c r="H1201" s="5">
        <f>5816 / 86400</f>
        <v>6.7314814814814813E-2</v>
      </c>
      <c r="I1201" t="s">
        <v>102</v>
      </c>
      <c r="J1201" t="s">
        <v>22</v>
      </c>
      <c r="K1201" s="5">
        <f>5837 / 86400</f>
        <v>6.7557870370370365E-2</v>
      </c>
      <c r="L1201" s="5">
        <f>671 / 86400</f>
        <v>7.766203703703704E-3</v>
      </c>
    </row>
    <row r="1202" spans="1:12" x14ac:dyDescent="0.25">
      <c r="A1202" s="3">
        <v>45714.38344907407</v>
      </c>
      <c r="B1202" t="s">
        <v>361</v>
      </c>
      <c r="C1202" s="3">
        <v>45714.385439814811</v>
      </c>
      <c r="D1202" t="s">
        <v>361</v>
      </c>
      <c r="E1202" s="4">
        <v>0</v>
      </c>
      <c r="F1202" s="4">
        <v>384296.08799999999</v>
      </c>
      <c r="G1202" s="4">
        <v>384296.08799999999</v>
      </c>
      <c r="H1202" s="5">
        <f>158 / 86400</f>
        <v>1.8287037037037037E-3</v>
      </c>
      <c r="I1202" t="s">
        <v>22</v>
      </c>
      <c r="J1202" t="s">
        <v>22</v>
      </c>
      <c r="K1202" s="5">
        <f>172 / 86400</f>
        <v>1.9907407407407408E-3</v>
      </c>
      <c r="L1202" s="5">
        <f>3 / 86400</f>
        <v>3.4722222222222222E-5</v>
      </c>
    </row>
    <row r="1203" spans="1:12" x14ac:dyDescent="0.25">
      <c r="A1203" s="3">
        <v>45714.385474537034</v>
      </c>
      <c r="B1203" t="s">
        <v>361</v>
      </c>
      <c r="C1203" s="3">
        <v>45714.38680555555</v>
      </c>
      <c r="D1203" t="s">
        <v>361</v>
      </c>
      <c r="E1203" s="4">
        <v>0</v>
      </c>
      <c r="F1203" s="4">
        <v>384296.08799999999</v>
      </c>
      <c r="G1203" s="4">
        <v>384296.08799999999</v>
      </c>
      <c r="H1203" s="5">
        <f>104 / 86400</f>
        <v>1.2037037037037038E-3</v>
      </c>
      <c r="I1203" t="s">
        <v>22</v>
      </c>
      <c r="J1203" t="s">
        <v>22</v>
      </c>
      <c r="K1203" s="5">
        <f>115 / 86400</f>
        <v>1.3310185185185185E-3</v>
      </c>
      <c r="L1203" s="5">
        <f>3 / 86400</f>
        <v>3.4722222222222222E-5</v>
      </c>
    </row>
    <row r="1204" spans="1:12" x14ac:dyDescent="0.25">
      <c r="A1204" s="3">
        <v>45714.386840277773</v>
      </c>
      <c r="B1204" t="s">
        <v>361</v>
      </c>
      <c r="C1204" s="3">
        <v>45714.41070601852</v>
      </c>
      <c r="D1204" t="s">
        <v>121</v>
      </c>
      <c r="E1204" s="4">
        <v>14.555999999999999</v>
      </c>
      <c r="F1204" s="4">
        <v>384296.08799999999</v>
      </c>
      <c r="G1204" s="4">
        <v>384310.64399999997</v>
      </c>
      <c r="H1204" s="5">
        <f>160 / 86400</f>
        <v>1.8518518518518519E-3</v>
      </c>
      <c r="I1204" t="s">
        <v>296</v>
      </c>
      <c r="J1204" t="s">
        <v>131</v>
      </c>
      <c r="K1204" s="5">
        <f>2062 / 86400</f>
        <v>2.3865740740740739E-2</v>
      </c>
      <c r="L1204" s="5">
        <f>2 / 86400</f>
        <v>2.3148148148148147E-5</v>
      </c>
    </row>
    <row r="1205" spans="1:12" x14ac:dyDescent="0.25">
      <c r="A1205" s="3">
        <v>45714.410729166666</v>
      </c>
      <c r="B1205" t="s">
        <v>121</v>
      </c>
      <c r="C1205" s="3">
        <v>45714.411504629628</v>
      </c>
      <c r="D1205" t="s">
        <v>121</v>
      </c>
      <c r="E1205" s="4">
        <v>8.0000000000000002E-3</v>
      </c>
      <c r="F1205" s="4">
        <v>384310.64399999997</v>
      </c>
      <c r="G1205" s="4">
        <v>384310.652</v>
      </c>
      <c r="H1205" s="5">
        <f>59 / 86400</f>
        <v>6.8287037037037036E-4</v>
      </c>
      <c r="I1205" t="s">
        <v>22</v>
      </c>
      <c r="J1205" t="s">
        <v>22</v>
      </c>
      <c r="K1205" s="5">
        <f>66 / 86400</f>
        <v>7.6388888888888893E-4</v>
      </c>
      <c r="L1205" s="5">
        <f>15688 / 86400</f>
        <v>0.18157407407407408</v>
      </c>
    </row>
    <row r="1206" spans="1:12" x14ac:dyDescent="0.25">
      <c r="A1206" s="3">
        <v>45714.593078703707</v>
      </c>
      <c r="B1206" t="s">
        <v>121</v>
      </c>
      <c r="C1206" s="3">
        <v>45714.59311342593</v>
      </c>
      <c r="D1206" t="s">
        <v>121</v>
      </c>
      <c r="E1206" s="4">
        <v>0</v>
      </c>
      <c r="F1206" s="4">
        <v>384310.652</v>
      </c>
      <c r="G1206" s="4">
        <v>384310.652</v>
      </c>
      <c r="H1206" s="5">
        <f>0 / 86400</f>
        <v>0</v>
      </c>
      <c r="I1206" t="s">
        <v>22</v>
      </c>
      <c r="J1206" t="s">
        <v>22</v>
      </c>
      <c r="K1206" s="5">
        <f>3 / 86400</f>
        <v>3.4722222222222222E-5</v>
      </c>
      <c r="L1206" s="5">
        <f>61 / 86400</f>
        <v>7.0601851851851847E-4</v>
      </c>
    </row>
    <row r="1207" spans="1:12" x14ac:dyDescent="0.25">
      <c r="A1207" s="3">
        <v>45714.593819444446</v>
      </c>
      <c r="B1207" t="s">
        <v>121</v>
      </c>
      <c r="C1207" s="3">
        <v>45714.593900462962</v>
      </c>
      <c r="D1207" t="s">
        <v>121</v>
      </c>
      <c r="E1207" s="4">
        <v>0</v>
      </c>
      <c r="F1207" s="4">
        <v>384310.652</v>
      </c>
      <c r="G1207" s="4">
        <v>384310.652</v>
      </c>
      <c r="H1207" s="5">
        <f>0 / 86400</f>
        <v>0</v>
      </c>
      <c r="I1207" t="s">
        <v>22</v>
      </c>
      <c r="J1207" t="s">
        <v>22</v>
      </c>
      <c r="K1207" s="5">
        <f>7 / 86400</f>
        <v>8.1018518518518516E-5</v>
      </c>
      <c r="L1207" s="5">
        <f>143 / 86400</f>
        <v>1.6550925925925926E-3</v>
      </c>
    </row>
    <row r="1208" spans="1:12" x14ac:dyDescent="0.25">
      <c r="A1208" s="3">
        <v>45714.595555555556</v>
      </c>
      <c r="B1208" t="s">
        <v>121</v>
      </c>
      <c r="C1208" s="3">
        <v>45714.601469907408</v>
      </c>
      <c r="D1208" t="s">
        <v>121</v>
      </c>
      <c r="E1208" s="4">
        <v>0</v>
      </c>
      <c r="F1208" s="4">
        <v>384310.652</v>
      </c>
      <c r="G1208" s="4">
        <v>384310.652</v>
      </c>
      <c r="H1208" s="5">
        <f>499 / 86400</f>
        <v>5.7754629629629631E-3</v>
      </c>
      <c r="I1208" t="s">
        <v>22</v>
      </c>
      <c r="J1208" t="s">
        <v>22</v>
      </c>
      <c r="K1208" s="5">
        <f>510 / 86400</f>
        <v>5.9027777777777776E-3</v>
      </c>
      <c r="L1208" s="5">
        <f>7 / 86400</f>
        <v>8.1018518518518516E-5</v>
      </c>
    </row>
    <row r="1209" spans="1:12" x14ac:dyDescent="0.25">
      <c r="A1209" s="3">
        <v>45714.60155092593</v>
      </c>
      <c r="B1209" t="s">
        <v>121</v>
      </c>
      <c r="C1209" s="3">
        <v>45714.601840277777</v>
      </c>
      <c r="D1209" t="s">
        <v>121</v>
      </c>
      <c r="E1209" s="4">
        <v>0</v>
      </c>
      <c r="F1209" s="4">
        <v>384310.652</v>
      </c>
      <c r="G1209" s="4">
        <v>384310.652</v>
      </c>
      <c r="H1209" s="5">
        <f>22 / 86400</f>
        <v>2.5462962962962961E-4</v>
      </c>
      <c r="I1209" t="s">
        <v>22</v>
      </c>
      <c r="J1209" t="s">
        <v>22</v>
      </c>
      <c r="K1209" s="5">
        <f>25 / 86400</f>
        <v>2.8935185185185184E-4</v>
      </c>
      <c r="L1209" s="5">
        <f>5 / 86400</f>
        <v>5.7870370370370373E-5</v>
      </c>
    </row>
    <row r="1210" spans="1:12" x14ac:dyDescent="0.25">
      <c r="A1210" s="3">
        <v>45714.601898148147</v>
      </c>
      <c r="B1210" t="s">
        <v>121</v>
      </c>
      <c r="C1210" s="3">
        <v>45714.602858796294</v>
      </c>
      <c r="D1210" t="s">
        <v>121</v>
      </c>
      <c r="E1210" s="4">
        <v>8.0000000000000002E-3</v>
      </c>
      <c r="F1210" s="4">
        <v>384310.652</v>
      </c>
      <c r="G1210" s="4">
        <v>384310.66</v>
      </c>
      <c r="H1210" s="5">
        <f>72 / 86400</f>
        <v>8.3333333333333339E-4</v>
      </c>
      <c r="I1210" t="s">
        <v>22</v>
      </c>
      <c r="J1210" t="s">
        <v>22</v>
      </c>
      <c r="K1210" s="5">
        <f>83 / 86400</f>
        <v>9.6064814814814819E-4</v>
      </c>
      <c r="L1210" s="5">
        <f>2 / 86400</f>
        <v>2.3148148148148147E-5</v>
      </c>
    </row>
    <row r="1211" spans="1:12" x14ac:dyDescent="0.25">
      <c r="A1211" s="3">
        <v>45714.602881944447</v>
      </c>
      <c r="B1211" t="s">
        <v>121</v>
      </c>
      <c r="C1211" s="3">
        <v>45714.607395833329</v>
      </c>
      <c r="D1211" t="s">
        <v>422</v>
      </c>
      <c r="E1211" s="4">
        <v>0.872</v>
      </c>
      <c r="F1211" s="4">
        <v>384310.66</v>
      </c>
      <c r="G1211" s="4">
        <v>384311.53200000001</v>
      </c>
      <c r="H1211" s="5">
        <f>167 / 86400</f>
        <v>1.9328703703703704E-3</v>
      </c>
      <c r="I1211" t="s">
        <v>69</v>
      </c>
      <c r="J1211" t="s">
        <v>157</v>
      </c>
      <c r="K1211" s="5">
        <f>390 / 86400</f>
        <v>4.5138888888888885E-3</v>
      </c>
      <c r="L1211" s="5">
        <f>368 / 86400</f>
        <v>4.2592592592592595E-3</v>
      </c>
    </row>
    <row r="1212" spans="1:12" x14ac:dyDescent="0.25">
      <c r="A1212" s="3">
        <v>45714.611655092594</v>
      </c>
      <c r="B1212" t="s">
        <v>422</v>
      </c>
      <c r="C1212" s="3">
        <v>45714.611921296295</v>
      </c>
      <c r="D1212" t="s">
        <v>422</v>
      </c>
      <c r="E1212" s="4">
        <v>4.0000000000000001E-3</v>
      </c>
      <c r="F1212" s="4">
        <v>384311.53200000001</v>
      </c>
      <c r="G1212" s="4">
        <v>384311.53600000002</v>
      </c>
      <c r="H1212" s="5">
        <f>19 / 86400</f>
        <v>2.199074074074074E-4</v>
      </c>
      <c r="I1212" t="s">
        <v>22</v>
      </c>
      <c r="J1212" t="s">
        <v>78</v>
      </c>
      <c r="K1212" s="5">
        <f>22 / 86400</f>
        <v>2.5462962962962961E-4</v>
      </c>
      <c r="L1212" s="5">
        <f>2 / 86400</f>
        <v>2.3148148148148147E-5</v>
      </c>
    </row>
    <row r="1213" spans="1:12" x14ac:dyDescent="0.25">
      <c r="A1213" s="3">
        <v>45714.611944444448</v>
      </c>
      <c r="B1213" t="s">
        <v>422</v>
      </c>
      <c r="C1213" s="3">
        <v>45714.612118055556</v>
      </c>
      <c r="D1213" t="s">
        <v>422</v>
      </c>
      <c r="E1213" s="4">
        <v>5.0000000000000001E-3</v>
      </c>
      <c r="F1213" s="4">
        <v>384311.53600000002</v>
      </c>
      <c r="G1213" s="4">
        <v>384311.54100000003</v>
      </c>
      <c r="H1213" s="5">
        <f>0 / 86400</f>
        <v>0</v>
      </c>
      <c r="I1213" t="s">
        <v>22</v>
      </c>
      <c r="J1213" t="s">
        <v>78</v>
      </c>
      <c r="K1213" s="5">
        <f>15 / 86400</f>
        <v>1.7361111111111112E-4</v>
      </c>
      <c r="L1213" s="5">
        <f>300 / 86400</f>
        <v>3.472222222222222E-3</v>
      </c>
    </row>
    <row r="1214" spans="1:12" x14ac:dyDescent="0.25">
      <c r="A1214" s="3">
        <v>45714.615590277783</v>
      </c>
      <c r="B1214" t="s">
        <v>422</v>
      </c>
      <c r="C1214" s="3">
        <v>45714.616377314815</v>
      </c>
      <c r="D1214" t="s">
        <v>422</v>
      </c>
      <c r="E1214" s="4">
        <v>0</v>
      </c>
      <c r="F1214" s="4">
        <v>384311.54100000003</v>
      </c>
      <c r="G1214" s="4">
        <v>384311.54100000003</v>
      </c>
      <c r="H1214" s="5">
        <f>60 / 86400</f>
        <v>6.9444444444444447E-4</v>
      </c>
      <c r="I1214" t="s">
        <v>22</v>
      </c>
      <c r="J1214" t="s">
        <v>22</v>
      </c>
      <c r="K1214" s="5">
        <f>68 / 86400</f>
        <v>7.8703703703703705E-4</v>
      </c>
      <c r="L1214" s="5">
        <f>240 / 86400</f>
        <v>2.7777777777777779E-3</v>
      </c>
    </row>
    <row r="1215" spans="1:12" x14ac:dyDescent="0.25">
      <c r="A1215" s="3">
        <v>45714.619155092594</v>
      </c>
      <c r="B1215" t="s">
        <v>422</v>
      </c>
      <c r="C1215" s="3">
        <v>45714.619328703702</v>
      </c>
      <c r="D1215" t="s">
        <v>422</v>
      </c>
      <c r="E1215" s="4">
        <v>0</v>
      </c>
      <c r="F1215" s="4">
        <v>384311.54100000003</v>
      </c>
      <c r="G1215" s="4">
        <v>384311.54100000003</v>
      </c>
      <c r="H1215" s="5">
        <f>0 / 86400</f>
        <v>0</v>
      </c>
      <c r="I1215" t="s">
        <v>22</v>
      </c>
      <c r="J1215" t="s">
        <v>22</v>
      </c>
      <c r="K1215" s="5">
        <f>15 / 86400</f>
        <v>1.7361111111111112E-4</v>
      </c>
      <c r="L1215" s="5">
        <f>988 / 86400</f>
        <v>1.1435185185185185E-2</v>
      </c>
    </row>
    <row r="1216" spans="1:12" x14ac:dyDescent="0.25">
      <c r="A1216" s="3">
        <v>45714.63076388889</v>
      </c>
      <c r="B1216" t="s">
        <v>422</v>
      </c>
      <c r="C1216" s="3">
        <v>45714.636354166665</v>
      </c>
      <c r="D1216" t="s">
        <v>450</v>
      </c>
      <c r="E1216" s="4">
        <v>1.3680000000000001</v>
      </c>
      <c r="F1216" s="4">
        <v>384311.54100000003</v>
      </c>
      <c r="G1216" s="4">
        <v>384312.90899999999</v>
      </c>
      <c r="H1216" s="5">
        <f>139 / 86400</f>
        <v>1.6087962962962963E-3</v>
      </c>
      <c r="I1216" t="s">
        <v>154</v>
      </c>
      <c r="J1216" t="s">
        <v>132</v>
      </c>
      <c r="K1216" s="5">
        <f>483 / 86400</f>
        <v>5.5902777777777773E-3</v>
      </c>
      <c r="L1216" s="5">
        <f>745 / 86400</f>
        <v>8.6226851851851846E-3</v>
      </c>
    </row>
    <row r="1217" spans="1:12" x14ac:dyDescent="0.25">
      <c r="A1217" s="3">
        <v>45714.644976851851</v>
      </c>
      <c r="B1217" t="s">
        <v>450</v>
      </c>
      <c r="C1217" s="3">
        <v>45714.647118055553</v>
      </c>
      <c r="D1217" t="s">
        <v>137</v>
      </c>
      <c r="E1217" s="4">
        <v>0.88</v>
      </c>
      <c r="F1217" s="4">
        <v>384312.90899999999</v>
      </c>
      <c r="G1217" s="4">
        <v>384313.78899999999</v>
      </c>
      <c r="H1217" s="5">
        <f>40 / 86400</f>
        <v>4.6296296296296298E-4</v>
      </c>
      <c r="I1217" t="s">
        <v>69</v>
      </c>
      <c r="J1217" t="s">
        <v>61</v>
      </c>
      <c r="K1217" s="5">
        <f>184 / 86400</f>
        <v>2.1296296296296298E-3</v>
      </c>
      <c r="L1217" s="5">
        <f>34 / 86400</f>
        <v>3.9351851851851852E-4</v>
      </c>
    </row>
    <row r="1218" spans="1:12" x14ac:dyDescent="0.25">
      <c r="A1218" s="3">
        <v>45714.647511574076</v>
      </c>
      <c r="B1218" t="s">
        <v>137</v>
      </c>
      <c r="C1218" s="3">
        <v>45714.662418981483</v>
      </c>
      <c r="D1218" t="s">
        <v>327</v>
      </c>
      <c r="E1218" s="4">
        <v>9.2789999999999999</v>
      </c>
      <c r="F1218" s="4">
        <v>384313.78899999999</v>
      </c>
      <c r="G1218" s="4">
        <v>384323.06800000003</v>
      </c>
      <c r="H1218" s="5">
        <f>200 / 86400</f>
        <v>2.3148148148148147E-3</v>
      </c>
      <c r="I1218" t="s">
        <v>60</v>
      </c>
      <c r="J1218" t="s">
        <v>170</v>
      </c>
      <c r="K1218" s="5">
        <f>1288 / 86400</f>
        <v>1.4907407407407407E-2</v>
      </c>
      <c r="L1218" s="5">
        <f>833 / 86400</f>
        <v>9.6412037037037039E-3</v>
      </c>
    </row>
    <row r="1219" spans="1:12" x14ac:dyDescent="0.25">
      <c r="A1219" s="3">
        <v>45714.672060185185</v>
      </c>
      <c r="B1219" t="s">
        <v>327</v>
      </c>
      <c r="C1219" s="3">
        <v>45714.689293981486</v>
      </c>
      <c r="D1219" t="s">
        <v>26</v>
      </c>
      <c r="E1219" s="4">
        <v>13.507999999999999</v>
      </c>
      <c r="F1219" s="4">
        <v>384323.06800000003</v>
      </c>
      <c r="G1219" s="4">
        <v>384336.576</v>
      </c>
      <c r="H1219" s="5">
        <f>99 / 86400</f>
        <v>1.1458333333333333E-3</v>
      </c>
      <c r="I1219" t="s">
        <v>30</v>
      </c>
      <c r="J1219" t="s">
        <v>91</v>
      </c>
      <c r="K1219" s="5">
        <f>1488 / 86400</f>
        <v>1.7222222222222222E-2</v>
      </c>
      <c r="L1219" s="5">
        <f>7072 / 86400</f>
        <v>8.1851851851851856E-2</v>
      </c>
    </row>
    <row r="1220" spans="1:12" x14ac:dyDescent="0.25">
      <c r="A1220" s="3">
        <v>45714.771145833336</v>
      </c>
      <c r="B1220" t="s">
        <v>26</v>
      </c>
      <c r="C1220" s="3">
        <v>45714.77616898148</v>
      </c>
      <c r="D1220" t="s">
        <v>26</v>
      </c>
      <c r="E1220" s="4">
        <v>0.27100000000000002</v>
      </c>
      <c r="F1220" s="4">
        <v>384336.576</v>
      </c>
      <c r="G1220" s="4">
        <v>384336.84700000001</v>
      </c>
      <c r="H1220" s="5">
        <f>259 / 86400</f>
        <v>2.9976851851851853E-3</v>
      </c>
      <c r="I1220" t="s">
        <v>147</v>
      </c>
      <c r="J1220" t="s">
        <v>32</v>
      </c>
      <c r="K1220" s="5">
        <f>434 / 86400</f>
        <v>5.0231481481481481E-3</v>
      </c>
      <c r="L1220" s="5">
        <f>3 / 86400</f>
        <v>3.4722222222222222E-5</v>
      </c>
    </row>
    <row r="1221" spans="1:12" x14ac:dyDescent="0.25">
      <c r="A1221" s="3">
        <v>45714.776203703703</v>
      </c>
      <c r="B1221" t="s">
        <v>26</v>
      </c>
      <c r="C1221" s="3">
        <v>45714.776608796295</v>
      </c>
      <c r="D1221" t="s">
        <v>26</v>
      </c>
      <c r="E1221" s="4">
        <v>0</v>
      </c>
      <c r="F1221" s="4">
        <v>384336.84700000001</v>
      </c>
      <c r="G1221" s="4">
        <v>384336.84700000001</v>
      </c>
      <c r="H1221" s="5">
        <f>31 / 86400</f>
        <v>3.5879629629629629E-4</v>
      </c>
      <c r="I1221" t="s">
        <v>22</v>
      </c>
      <c r="J1221" t="s">
        <v>22</v>
      </c>
      <c r="K1221" s="5">
        <f>35 / 86400</f>
        <v>4.0509259259259258E-4</v>
      </c>
      <c r="L1221" s="5">
        <f>3 / 86400</f>
        <v>3.4722222222222222E-5</v>
      </c>
    </row>
    <row r="1222" spans="1:12" x14ac:dyDescent="0.25">
      <c r="A1222" s="3">
        <v>45714.776643518519</v>
      </c>
      <c r="B1222" t="s">
        <v>26</v>
      </c>
      <c r="C1222" s="3">
        <v>45714.776817129634</v>
      </c>
      <c r="D1222" t="s">
        <v>26</v>
      </c>
      <c r="E1222" s="4">
        <v>0</v>
      </c>
      <c r="F1222" s="4">
        <v>384336.84700000001</v>
      </c>
      <c r="G1222" s="4">
        <v>384336.84700000001</v>
      </c>
      <c r="H1222" s="5">
        <f>13 / 86400</f>
        <v>1.5046296296296297E-4</v>
      </c>
      <c r="I1222" t="s">
        <v>22</v>
      </c>
      <c r="J1222" t="s">
        <v>22</v>
      </c>
      <c r="K1222" s="5">
        <f>15 / 86400</f>
        <v>1.7361111111111112E-4</v>
      </c>
      <c r="L1222" s="5">
        <f>19282 / 86400</f>
        <v>0.22317129629629628</v>
      </c>
    </row>
    <row r="1223" spans="1:12" x14ac:dyDescent="0.25">
      <c r="A1223" s="12"/>
      <c r="B1223" s="12"/>
      <c r="C1223" s="12"/>
      <c r="D1223" s="12"/>
      <c r="E1223" s="12"/>
      <c r="F1223" s="12"/>
      <c r="G1223" s="12"/>
      <c r="H1223" s="12"/>
      <c r="I1223" s="12"/>
      <c r="J1223" s="12"/>
    </row>
    <row r="1224" spans="1:12" x14ac:dyDescent="0.25">
      <c r="A1224" s="12"/>
      <c r="B1224" s="12"/>
      <c r="C1224" s="12"/>
      <c r="D1224" s="12"/>
      <c r="E1224" s="12"/>
      <c r="F1224" s="12"/>
      <c r="G1224" s="12"/>
      <c r="H1224" s="12"/>
      <c r="I1224" s="12"/>
      <c r="J1224" s="12"/>
    </row>
    <row r="1225" spans="1:12" s="10" customFormat="1" ht="20.100000000000001" customHeight="1" x14ac:dyDescent="0.35">
      <c r="A1225" s="15" t="s">
        <v>512</v>
      </c>
      <c r="B1225" s="15"/>
      <c r="C1225" s="15"/>
      <c r="D1225" s="15"/>
      <c r="E1225" s="15"/>
      <c r="F1225" s="15"/>
      <c r="G1225" s="15"/>
      <c r="H1225" s="15"/>
      <c r="I1225" s="15"/>
      <c r="J1225" s="15"/>
    </row>
    <row r="1226" spans="1:12" x14ac:dyDescent="0.25">
      <c r="A1226" s="12"/>
      <c r="B1226" s="12"/>
      <c r="C1226" s="12"/>
      <c r="D1226" s="12"/>
      <c r="E1226" s="12"/>
      <c r="F1226" s="12"/>
      <c r="G1226" s="12"/>
      <c r="H1226" s="12"/>
      <c r="I1226" s="12"/>
      <c r="J1226" s="12"/>
    </row>
    <row r="1227" spans="1:12" ht="30" x14ac:dyDescent="0.25">
      <c r="A1227" s="2" t="s">
        <v>6</v>
      </c>
      <c r="B1227" s="2" t="s">
        <v>7</v>
      </c>
      <c r="C1227" s="2" t="s">
        <v>8</v>
      </c>
      <c r="D1227" s="2" t="s">
        <v>9</v>
      </c>
      <c r="E1227" s="2" t="s">
        <v>10</v>
      </c>
      <c r="F1227" s="2" t="s">
        <v>11</v>
      </c>
      <c r="G1227" s="2" t="s">
        <v>12</v>
      </c>
      <c r="H1227" s="2" t="s">
        <v>13</v>
      </c>
      <c r="I1227" s="2" t="s">
        <v>14</v>
      </c>
      <c r="J1227" s="2" t="s">
        <v>15</v>
      </c>
      <c r="K1227" s="2" t="s">
        <v>16</v>
      </c>
      <c r="L1227" s="2" t="s">
        <v>17</v>
      </c>
    </row>
    <row r="1228" spans="1:12" x14ac:dyDescent="0.25">
      <c r="A1228" s="3">
        <v>45714.276608796295</v>
      </c>
      <c r="B1228" t="s">
        <v>99</v>
      </c>
      <c r="C1228" s="3">
        <v>45714.27857638889</v>
      </c>
      <c r="D1228" t="s">
        <v>99</v>
      </c>
      <c r="E1228" s="4">
        <v>0.192</v>
      </c>
      <c r="F1228" s="4">
        <v>548382.495</v>
      </c>
      <c r="G1228" s="4">
        <v>548382.68700000003</v>
      </c>
      <c r="H1228" s="5">
        <f>59 / 86400</f>
        <v>6.8287037037037036E-4</v>
      </c>
      <c r="I1228" t="s">
        <v>64</v>
      </c>
      <c r="J1228" t="s">
        <v>152</v>
      </c>
      <c r="K1228" s="5">
        <f>169 / 86400</f>
        <v>1.9560185185185184E-3</v>
      </c>
      <c r="L1228" s="5">
        <f>24446 / 86400</f>
        <v>0.28293981481481484</v>
      </c>
    </row>
    <row r="1229" spans="1:12" x14ac:dyDescent="0.25">
      <c r="A1229" s="3">
        <v>45714.284907407404</v>
      </c>
      <c r="B1229" t="s">
        <v>99</v>
      </c>
      <c r="C1229" s="3">
        <v>45714.286238425921</v>
      </c>
      <c r="D1229" t="s">
        <v>99</v>
      </c>
      <c r="E1229" s="4">
        <v>3.6999999999999998E-2</v>
      </c>
      <c r="F1229" s="4">
        <v>548382.68700000003</v>
      </c>
      <c r="G1229" s="4">
        <v>548382.72400000005</v>
      </c>
      <c r="H1229" s="5">
        <f>60 / 86400</f>
        <v>6.9444444444444447E-4</v>
      </c>
      <c r="I1229" t="s">
        <v>77</v>
      </c>
      <c r="J1229" t="s">
        <v>78</v>
      </c>
      <c r="K1229" s="5">
        <f>114 / 86400</f>
        <v>1.3194444444444445E-3</v>
      </c>
      <c r="L1229" s="5">
        <f>35598 / 86400</f>
        <v>0.4120138888888889</v>
      </c>
    </row>
    <row r="1230" spans="1:12" x14ac:dyDescent="0.25">
      <c r="A1230" s="3">
        <v>45714.698252314818</v>
      </c>
      <c r="B1230" t="s">
        <v>99</v>
      </c>
      <c r="C1230" s="3">
        <v>45714.705324074079</v>
      </c>
      <c r="D1230" t="s">
        <v>149</v>
      </c>
      <c r="E1230" s="4">
        <v>0.67500000000000004</v>
      </c>
      <c r="F1230" s="4">
        <v>548382.72400000005</v>
      </c>
      <c r="G1230" s="4">
        <v>548383.39899999998</v>
      </c>
      <c r="H1230" s="5">
        <f>299 / 86400</f>
        <v>3.460648148148148E-3</v>
      </c>
      <c r="I1230" t="s">
        <v>151</v>
      </c>
      <c r="J1230" t="s">
        <v>152</v>
      </c>
      <c r="K1230" s="5">
        <f>610 / 86400</f>
        <v>7.060185185185185E-3</v>
      </c>
      <c r="L1230" s="5">
        <f>485 / 86400</f>
        <v>5.6134259259259262E-3</v>
      </c>
    </row>
    <row r="1231" spans="1:12" x14ac:dyDescent="0.25">
      <c r="A1231" s="3">
        <v>45714.7109375</v>
      </c>
      <c r="B1231" t="s">
        <v>149</v>
      </c>
      <c r="C1231" s="3">
        <v>45714.712314814809</v>
      </c>
      <c r="D1231" t="s">
        <v>149</v>
      </c>
      <c r="E1231" s="4">
        <v>0.02</v>
      </c>
      <c r="F1231" s="4">
        <v>548383.39899999998</v>
      </c>
      <c r="G1231" s="4">
        <v>548383.41899999999</v>
      </c>
      <c r="H1231" s="5">
        <f>79 / 86400</f>
        <v>9.1435185185185185E-4</v>
      </c>
      <c r="I1231" t="s">
        <v>77</v>
      </c>
      <c r="J1231" t="s">
        <v>78</v>
      </c>
      <c r="K1231" s="5">
        <f>119 / 86400</f>
        <v>1.3773148148148147E-3</v>
      </c>
      <c r="L1231" s="5">
        <f>1063 / 86400</f>
        <v>1.2303240740740741E-2</v>
      </c>
    </row>
    <row r="1232" spans="1:12" x14ac:dyDescent="0.25">
      <c r="A1232" s="3">
        <v>45714.724618055552</v>
      </c>
      <c r="B1232" t="s">
        <v>149</v>
      </c>
      <c r="C1232" s="3">
        <v>45714.727754629625</v>
      </c>
      <c r="D1232" t="s">
        <v>160</v>
      </c>
      <c r="E1232" s="4">
        <v>7.0999999999999994E-2</v>
      </c>
      <c r="F1232" s="4">
        <v>548383.41899999999</v>
      </c>
      <c r="G1232" s="4">
        <v>548383.49</v>
      </c>
      <c r="H1232" s="5">
        <f>179 / 86400</f>
        <v>2.0717592592592593E-3</v>
      </c>
      <c r="I1232" t="s">
        <v>152</v>
      </c>
      <c r="J1232" t="s">
        <v>78</v>
      </c>
      <c r="K1232" s="5">
        <f>271 / 86400</f>
        <v>3.1365740740740742E-3</v>
      </c>
      <c r="L1232" s="5">
        <f>208 / 86400</f>
        <v>2.4074074074074076E-3</v>
      </c>
    </row>
    <row r="1233" spans="1:12" x14ac:dyDescent="0.25">
      <c r="A1233" s="3">
        <v>45714.730162037042</v>
      </c>
      <c r="B1233" t="s">
        <v>160</v>
      </c>
      <c r="C1233" s="3">
        <v>45714.733067129629</v>
      </c>
      <c r="D1233" t="s">
        <v>450</v>
      </c>
      <c r="E1233" s="4">
        <v>0.26200000000000001</v>
      </c>
      <c r="F1233" s="4">
        <v>548383.49</v>
      </c>
      <c r="G1233" s="4">
        <v>548383.75199999998</v>
      </c>
      <c r="H1233" s="5">
        <f>140 / 86400</f>
        <v>1.6203703703703703E-3</v>
      </c>
      <c r="I1233" t="s">
        <v>275</v>
      </c>
      <c r="J1233" t="s">
        <v>152</v>
      </c>
      <c r="K1233" s="5">
        <f>250 / 86400</f>
        <v>2.8935185185185184E-3</v>
      </c>
      <c r="L1233" s="5">
        <f>822 / 86400</f>
        <v>9.5138888888888894E-3</v>
      </c>
    </row>
    <row r="1234" spans="1:12" x14ac:dyDescent="0.25">
      <c r="A1234" s="3">
        <v>45714.742581018523</v>
      </c>
      <c r="B1234" t="s">
        <v>450</v>
      </c>
      <c r="C1234" s="3">
        <v>45714.744942129633</v>
      </c>
      <c r="D1234" t="s">
        <v>89</v>
      </c>
      <c r="E1234" s="4">
        <v>3.6999999999999998E-2</v>
      </c>
      <c r="F1234" s="4">
        <v>548383.75199999998</v>
      </c>
      <c r="G1234" s="4">
        <v>548383.78899999999</v>
      </c>
      <c r="H1234" s="5">
        <f>139 / 86400</f>
        <v>1.6087962962962963E-3</v>
      </c>
      <c r="I1234" t="s">
        <v>157</v>
      </c>
      <c r="J1234" t="s">
        <v>78</v>
      </c>
      <c r="K1234" s="5">
        <f>204 / 86400</f>
        <v>2.3611111111111111E-3</v>
      </c>
      <c r="L1234" s="5">
        <f>3251 / 86400</f>
        <v>3.7627314814814815E-2</v>
      </c>
    </row>
    <row r="1235" spans="1:12" x14ac:dyDescent="0.25">
      <c r="A1235" s="3">
        <v>45714.782569444447</v>
      </c>
      <c r="B1235" t="s">
        <v>89</v>
      </c>
      <c r="C1235" s="3">
        <v>45714.785104166665</v>
      </c>
      <c r="D1235" t="s">
        <v>160</v>
      </c>
      <c r="E1235" s="4">
        <v>0.27500000000000002</v>
      </c>
      <c r="F1235" s="4">
        <v>548383.78899999999</v>
      </c>
      <c r="G1235" s="4">
        <v>548384.06400000001</v>
      </c>
      <c r="H1235" s="5">
        <f>100 / 86400</f>
        <v>1.1574074074074073E-3</v>
      </c>
      <c r="I1235" t="s">
        <v>28</v>
      </c>
      <c r="J1235" t="s">
        <v>77</v>
      </c>
      <c r="K1235" s="5">
        <f>218 / 86400</f>
        <v>2.5231481481481481E-3</v>
      </c>
      <c r="L1235" s="5">
        <f>6621 / 86400</f>
        <v>7.6631944444444447E-2</v>
      </c>
    </row>
    <row r="1236" spans="1:12" x14ac:dyDescent="0.25">
      <c r="A1236" s="3">
        <v>45714.86173611111</v>
      </c>
      <c r="B1236" t="s">
        <v>160</v>
      </c>
      <c r="C1236" s="3">
        <v>45714.864155092597</v>
      </c>
      <c r="D1236" t="s">
        <v>100</v>
      </c>
      <c r="E1236" s="4">
        <v>0.51500000000000001</v>
      </c>
      <c r="F1236" s="4">
        <v>548384.06400000001</v>
      </c>
      <c r="G1236" s="4">
        <v>548384.57900000003</v>
      </c>
      <c r="H1236" s="5">
        <f>80 / 86400</f>
        <v>9.2592592592592596E-4</v>
      </c>
      <c r="I1236" t="s">
        <v>101</v>
      </c>
      <c r="J1236" t="s">
        <v>70</v>
      </c>
      <c r="K1236" s="5">
        <f>208 / 86400</f>
        <v>2.4074074074074076E-3</v>
      </c>
      <c r="L1236" s="5">
        <f>11736 / 86400</f>
        <v>0.13583333333333333</v>
      </c>
    </row>
    <row r="1237" spans="1:12" x14ac:dyDescent="0.25">
      <c r="A1237" s="12"/>
      <c r="B1237" s="12"/>
      <c r="C1237" s="12"/>
      <c r="D1237" s="12"/>
      <c r="E1237" s="12"/>
      <c r="F1237" s="12"/>
      <c r="G1237" s="12"/>
      <c r="H1237" s="12"/>
      <c r="I1237" s="12"/>
      <c r="J1237" s="12"/>
    </row>
    <row r="1238" spans="1:12" x14ac:dyDescent="0.25">
      <c r="A1238" s="12"/>
      <c r="B1238" s="12"/>
      <c r="C1238" s="12"/>
      <c r="D1238" s="12"/>
      <c r="E1238" s="12"/>
      <c r="F1238" s="12"/>
      <c r="G1238" s="12"/>
      <c r="H1238" s="12"/>
      <c r="I1238" s="12"/>
      <c r="J1238" s="12"/>
    </row>
    <row r="1239" spans="1:12" s="10" customFormat="1" ht="20.100000000000001" customHeight="1" x14ac:dyDescent="0.35">
      <c r="A1239" s="15" t="s">
        <v>513</v>
      </c>
      <c r="B1239" s="15"/>
      <c r="C1239" s="15"/>
      <c r="D1239" s="15"/>
      <c r="E1239" s="15"/>
      <c r="F1239" s="15"/>
      <c r="G1239" s="15"/>
      <c r="H1239" s="15"/>
      <c r="I1239" s="15"/>
      <c r="J1239" s="15"/>
    </row>
    <row r="1240" spans="1:12" x14ac:dyDescent="0.25">
      <c r="A1240" s="12"/>
      <c r="B1240" s="12"/>
      <c r="C1240" s="12"/>
      <c r="D1240" s="12"/>
      <c r="E1240" s="12"/>
      <c r="F1240" s="12"/>
      <c r="G1240" s="12"/>
      <c r="H1240" s="12"/>
      <c r="I1240" s="12"/>
      <c r="J1240" s="12"/>
    </row>
    <row r="1241" spans="1:12" ht="30" x14ac:dyDescent="0.25">
      <c r="A1241" s="2" t="s">
        <v>6</v>
      </c>
      <c r="B1241" s="2" t="s">
        <v>7</v>
      </c>
      <c r="C1241" s="2" t="s">
        <v>8</v>
      </c>
      <c r="D1241" s="2" t="s">
        <v>9</v>
      </c>
      <c r="E1241" s="2" t="s">
        <v>10</v>
      </c>
      <c r="F1241" s="2" t="s">
        <v>11</v>
      </c>
      <c r="G1241" s="2" t="s">
        <v>12</v>
      </c>
      <c r="H1241" s="2" t="s">
        <v>13</v>
      </c>
      <c r="I1241" s="2" t="s">
        <v>14</v>
      </c>
      <c r="J1241" s="2" t="s">
        <v>15</v>
      </c>
      <c r="K1241" s="2" t="s">
        <v>16</v>
      </c>
      <c r="L1241" s="2" t="s">
        <v>17</v>
      </c>
    </row>
    <row r="1242" spans="1:12" x14ac:dyDescent="0.25">
      <c r="A1242" s="3">
        <v>45714.005972222221</v>
      </c>
      <c r="B1242" t="s">
        <v>103</v>
      </c>
      <c r="C1242" s="3">
        <v>45714.083425925928</v>
      </c>
      <c r="D1242" t="s">
        <v>353</v>
      </c>
      <c r="E1242" s="4">
        <v>47.070999999999998</v>
      </c>
      <c r="F1242" s="4">
        <v>107077.205</v>
      </c>
      <c r="G1242" s="4">
        <v>107124.276</v>
      </c>
      <c r="H1242" s="5">
        <f>1640 / 86400</f>
        <v>1.8981481481481481E-2</v>
      </c>
      <c r="I1242" t="s">
        <v>57</v>
      </c>
      <c r="J1242" t="s">
        <v>131</v>
      </c>
      <c r="K1242" s="5">
        <f>6692 / 86400</f>
        <v>7.7453703703703705E-2</v>
      </c>
      <c r="L1242" s="5">
        <f>1012 / 86400</f>
        <v>1.1712962962962963E-2</v>
      </c>
    </row>
    <row r="1243" spans="1:12" x14ac:dyDescent="0.25">
      <c r="A1243" s="3">
        <v>45714.089166666672</v>
      </c>
      <c r="B1243" t="s">
        <v>353</v>
      </c>
      <c r="C1243" s="3">
        <v>45714.094930555555</v>
      </c>
      <c r="D1243" t="s">
        <v>96</v>
      </c>
      <c r="E1243" s="4">
        <v>4.32</v>
      </c>
      <c r="F1243" s="4">
        <v>107124.276</v>
      </c>
      <c r="G1243" s="4">
        <v>107128.59600000001</v>
      </c>
      <c r="H1243" s="5">
        <f>80 / 86400</f>
        <v>9.2592592592592596E-4</v>
      </c>
      <c r="I1243" t="s">
        <v>213</v>
      </c>
      <c r="J1243" t="s">
        <v>184</v>
      </c>
      <c r="K1243" s="5">
        <f>498 / 86400</f>
        <v>5.7638888888888887E-3</v>
      </c>
      <c r="L1243" s="5">
        <f>204 / 86400</f>
        <v>2.3611111111111111E-3</v>
      </c>
    </row>
    <row r="1244" spans="1:12" x14ac:dyDescent="0.25">
      <c r="A1244" s="3">
        <v>45714.097291666665</v>
      </c>
      <c r="B1244" t="s">
        <v>96</v>
      </c>
      <c r="C1244" s="3">
        <v>45714.09888888889</v>
      </c>
      <c r="D1244" t="s">
        <v>114</v>
      </c>
      <c r="E1244" s="4">
        <v>0.55400000000000005</v>
      </c>
      <c r="F1244" s="4">
        <v>107128.59600000001</v>
      </c>
      <c r="G1244" s="4">
        <v>107129.15</v>
      </c>
      <c r="H1244" s="5">
        <f>0 / 86400</f>
        <v>0</v>
      </c>
      <c r="I1244" t="s">
        <v>275</v>
      </c>
      <c r="J1244" t="s">
        <v>52</v>
      </c>
      <c r="K1244" s="5">
        <f>138 / 86400</f>
        <v>1.5972222222222223E-3</v>
      </c>
      <c r="L1244" s="5">
        <f>969 / 86400</f>
        <v>1.1215277777777777E-2</v>
      </c>
    </row>
    <row r="1245" spans="1:12" x14ac:dyDescent="0.25">
      <c r="A1245" s="3">
        <v>45714.11010416667</v>
      </c>
      <c r="B1245" t="s">
        <v>114</v>
      </c>
      <c r="C1245" s="3">
        <v>45714.111041666663</v>
      </c>
      <c r="D1245" t="s">
        <v>114</v>
      </c>
      <c r="E1245" s="4">
        <v>6.3E-2</v>
      </c>
      <c r="F1245" s="4">
        <v>107129.15</v>
      </c>
      <c r="G1245" s="4">
        <v>107129.213</v>
      </c>
      <c r="H1245" s="5">
        <f>20 / 86400</f>
        <v>2.3148148148148149E-4</v>
      </c>
      <c r="I1245" t="s">
        <v>132</v>
      </c>
      <c r="J1245" t="s">
        <v>102</v>
      </c>
      <c r="K1245" s="5">
        <f>81 / 86400</f>
        <v>9.3749999999999997E-4</v>
      </c>
      <c r="L1245" s="5">
        <f>16 / 86400</f>
        <v>1.8518518518518518E-4</v>
      </c>
    </row>
    <row r="1246" spans="1:12" x14ac:dyDescent="0.25">
      <c r="A1246" s="3">
        <v>45714.111226851848</v>
      </c>
      <c r="B1246" t="s">
        <v>114</v>
      </c>
      <c r="C1246" s="3">
        <v>45714.111284722225</v>
      </c>
      <c r="D1246" t="s">
        <v>114</v>
      </c>
      <c r="E1246" s="4">
        <v>0</v>
      </c>
      <c r="F1246" s="4">
        <v>107129.213</v>
      </c>
      <c r="G1246" s="4">
        <v>107129.213</v>
      </c>
      <c r="H1246" s="5">
        <f>0 / 86400</f>
        <v>0</v>
      </c>
      <c r="I1246" t="s">
        <v>22</v>
      </c>
      <c r="J1246" t="s">
        <v>22</v>
      </c>
      <c r="K1246" s="5">
        <f>5 / 86400</f>
        <v>5.7870370370370373E-5</v>
      </c>
      <c r="L1246" s="5">
        <f>4261 / 86400</f>
        <v>4.9317129629629627E-2</v>
      </c>
    </row>
    <row r="1247" spans="1:12" x14ac:dyDescent="0.25">
      <c r="A1247" s="3">
        <v>45714.160601851851</v>
      </c>
      <c r="B1247" t="s">
        <v>114</v>
      </c>
      <c r="C1247" s="3">
        <v>45714.162604166668</v>
      </c>
      <c r="D1247" t="s">
        <v>114</v>
      </c>
      <c r="E1247" s="4">
        <v>4.5999999999999999E-2</v>
      </c>
      <c r="F1247" s="4">
        <v>107129.213</v>
      </c>
      <c r="G1247" s="4">
        <v>107129.25900000001</v>
      </c>
      <c r="H1247" s="5">
        <f>137 / 86400</f>
        <v>1.5856481481481481E-3</v>
      </c>
      <c r="I1247" t="s">
        <v>157</v>
      </c>
      <c r="J1247" t="s">
        <v>78</v>
      </c>
      <c r="K1247" s="5">
        <f>173 / 86400</f>
        <v>2.0023148148148148E-3</v>
      </c>
      <c r="L1247" s="5">
        <f>7668 / 86400</f>
        <v>8.8749999999999996E-2</v>
      </c>
    </row>
    <row r="1248" spans="1:12" x14ac:dyDescent="0.25">
      <c r="A1248" s="3">
        <v>45714.25135416667</v>
      </c>
      <c r="B1248" t="s">
        <v>114</v>
      </c>
      <c r="C1248" s="3">
        <v>45714.253217592588</v>
      </c>
      <c r="D1248" t="s">
        <v>114</v>
      </c>
      <c r="E1248" s="4">
        <v>0.185</v>
      </c>
      <c r="F1248" s="4">
        <v>107129.25900000001</v>
      </c>
      <c r="G1248" s="4">
        <v>107129.444</v>
      </c>
      <c r="H1248" s="5">
        <f>57 / 86400</f>
        <v>6.5972222222222224E-4</v>
      </c>
      <c r="I1248" t="s">
        <v>98</v>
      </c>
      <c r="J1248" t="s">
        <v>152</v>
      </c>
      <c r="K1248" s="5">
        <f>161 / 86400</f>
        <v>1.8634259259259259E-3</v>
      </c>
      <c r="L1248" s="5">
        <f>1605 / 86400</f>
        <v>1.8576388888888889E-2</v>
      </c>
    </row>
    <row r="1249" spans="1:12" x14ac:dyDescent="0.25">
      <c r="A1249" s="3">
        <v>45714.271793981483</v>
      </c>
      <c r="B1249" t="s">
        <v>114</v>
      </c>
      <c r="C1249" s="3">
        <v>45714.435324074075</v>
      </c>
      <c r="D1249" t="s">
        <v>123</v>
      </c>
      <c r="E1249" s="4">
        <v>78.123999999999995</v>
      </c>
      <c r="F1249" s="4">
        <v>107129.444</v>
      </c>
      <c r="G1249" s="4">
        <v>107207.568</v>
      </c>
      <c r="H1249" s="5">
        <f>4436 / 86400</f>
        <v>5.1342592592592592E-2</v>
      </c>
      <c r="I1249" t="s">
        <v>112</v>
      </c>
      <c r="J1249" t="s">
        <v>64</v>
      </c>
      <c r="K1249" s="5">
        <f>14129 / 86400</f>
        <v>0.1635300925925926</v>
      </c>
      <c r="L1249" s="5">
        <f>1675 / 86400</f>
        <v>1.9386574074074073E-2</v>
      </c>
    </row>
    <row r="1250" spans="1:12" x14ac:dyDescent="0.25">
      <c r="A1250" s="3">
        <v>45714.454710648148</v>
      </c>
      <c r="B1250" t="s">
        <v>123</v>
      </c>
      <c r="C1250" s="3">
        <v>45714.45548611111</v>
      </c>
      <c r="D1250" t="s">
        <v>39</v>
      </c>
      <c r="E1250" s="4">
        <v>0.105</v>
      </c>
      <c r="F1250" s="4">
        <v>107207.568</v>
      </c>
      <c r="G1250" s="4">
        <v>107207.673</v>
      </c>
      <c r="H1250" s="5">
        <f>0 / 86400</f>
        <v>0</v>
      </c>
      <c r="I1250" t="s">
        <v>157</v>
      </c>
      <c r="J1250" t="s">
        <v>135</v>
      </c>
      <c r="K1250" s="5">
        <f>67 / 86400</f>
        <v>7.7546296296296293E-4</v>
      </c>
      <c r="L1250" s="5">
        <f>203 / 86400</f>
        <v>2.3495370370370371E-3</v>
      </c>
    </row>
    <row r="1251" spans="1:12" x14ac:dyDescent="0.25">
      <c r="A1251" s="3">
        <v>45714.457835648151</v>
      </c>
      <c r="B1251" t="s">
        <v>39</v>
      </c>
      <c r="C1251" s="3">
        <v>45714.458506944444</v>
      </c>
      <c r="D1251" t="s">
        <v>125</v>
      </c>
      <c r="E1251" s="4">
        <v>6.2E-2</v>
      </c>
      <c r="F1251" s="4">
        <v>107207.673</v>
      </c>
      <c r="G1251" s="4">
        <v>107207.735</v>
      </c>
      <c r="H1251" s="5">
        <f>17 / 86400</f>
        <v>1.9675925925925926E-4</v>
      </c>
      <c r="I1251" t="s">
        <v>147</v>
      </c>
      <c r="J1251" t="s">
        <v>152</v>
      </c>
      <c r="K1251" s="5">
        <f>58 / 86400</f>
        <v>6.7129629629629625E-4</v>
      </c>
      <c r="L1251" s="5">
        <f>86 / 86400</f>
        <v>9.9537037037037042E-4</v>
      </c>
    </row>
    <row r="1252" spans="1:12" x14ac:dyDescent="0.25">
      <c r="A1252" s="3">
        <v>45714.459502314814</v>
      </c>
      <c r="B1252" t="s">
        <v>125</v>
      </c>
      <c r="C1252" s="3">
        <v>45714.462361111116</v>
      </c>
      <c r="D1252" t="s">
        <v>163</v>
      </c>
      <c r="E1252" s="4">
        <v>1.0509999999999999</v>
      </c>
      <c r="F1252" s="4">
        <v>107207.735</v>
      </c>
      <c r="G1252" s="4">
        <v>107208.78599999999</v>
      </c>
      <c r="H1252" s="5">
        <f>0 / 86400</f>
        <v>0</v>
      </c>
      <c r="I1252" t="s">
        <v>203</v>
      </c>
      <c r="J1252" t="s">
        <v>46</v>
      </c>
      <c r="K1252" s="5">
        <f>247 / 86400</f>
        <v>2.8587962962962963E-3</v>
      </c>
      <c r="L1252" s="5">
        <f>1105 / 86400</f>
        <v>1.2789351851851852E-2</v>
      </c>
    </row>
    <row r="1253" spans="1:12" x14ac:dyDescent="0.25">
      <c r="A1253" s="3">
        <v>45714.475150462968</v>
      </c>
      <c r="B1253" t="s">
        <v>163</v>
      </c>
      <c r="C1253" s="3">
        <v>45714.475358796291</v>
      </c>
      <c r="D1253" t="s">
        <v>163</v>
      </c>
      <c r="E1253" s="4">
        <v>2.1999999999999999E-2</v>
      </c>
      <c r="F1253" s="4">
        <v>107208.78599999999</v>
      </c>
      <c r="G1253" s="4">
        <v>107208.808</v>
      </c>
      <c r="H1253" s="5">
        <f>0 / 86400</f>
        <v>0</v>
      </c>
      <c r="I1253" t="s">
        <v>77</v>
      </c>
      <c r="J1253" t="s">
        <v>152</v>
      </c>
      <c r="K1253" s="5">
        <f>18 / 86400</f>
        <v>2.0833333333333335E-4</v>
      </c>
      <c r="L1253" s="5">
        <f>165 / 86400</f>
        <v>1.9097222222222222E-3</v>
      </c>
    </row>
    <row r="1254" spans="1:12" x14ac:dyDescent="0.25">
      <c r="A1254" s="3">
        <v>45714.477268518516</v>
      </c>
      <c r="B1254" t="s">
        <v>163</v>
      </c>
      <c r="C1254" s="3">
        <v>45714.729837962965</v>
      </c>
      <c r="D1254" t="s">
        <v>422</v>
      </c>
      <c r="E1254" s="4">
        <v>101.75</v>
      </c>
      <c r="F1254" s="4">
        <v>107208.808</v>
      </c>
      <c r="G1254" s="4">
        <v>107310.558</v>
      </c>
      <c r="H1254" s="5">
        <f>8162 / 86400</f>
        <v>9.4467592592592589E-2</v>
      </c>
      <c r="I1254" t="s">
        <v>63</v>
      </c>
      <c r="J1254" t="s">
        <v>61</v>
      </c>
      <c r="K1254" s="5">
        <f>21822 / 86400</f>
        <v>0.25256944444444446</v>
      </c>
      <c r="L1254" s="5">
        <f>263 / 86400</f>
        <v>3.0439814814814813E-3</v>
      </c>
    </row>
    <row r="1255" spans="1:12" x14ac:dyDescent="0.25">
      <c r="A1255" s="3">
        <v>45714.732881944445</v>
      </c>
      <c r="B1255" t="s">
        <v>422</v>
      </c>
      <c r="C1255" s="3">
        <v>45714.734398148154</v>
      </c>
      <c r="D1255" t="s">
        <v>160</v>
      </c>
      <c r="E1255" s="4">
        <v>0.63300000000000001</v>
      </c>
      <c r="F1255" s="4">
        <v>107310.558</v>
      </c>
      <c r="G1255" s="4">
        <v>107311.19100000001</v>
      </c>
      <c r="H1255" s="5">
        <f>21 / 86400</f>
        <v>2.4305555555555555E-4</v>
      </c>
      <c r="I1255" t="s">
        <v>220</v>
      </c>
      <c r="J1255" t="s">
        <v>61</v>
      </c>
      <c r="K1255" s="5">
        <f>131 / 86400</f>
        <v>1.5162037037037036E-3</v>
      </c>
      <c r="L1255" s="5">
        <f>4838 / 86400</f>
        <v>5.5995370370370369E-2</v>
      </c>
    </row>
    <row r="1256" spans="1:12" x14ac:dyDescent="0.25">
      <c r="A1256" s="3">
        <v>45714.790393518517</v>
      </c>
      <c r="B1256" t="s">
        <v>160</v>
      </c>
      <c r="C1256" s="3">
        <v>45714.790717592594</v>
      </c>
      <c r="D1256" t="s">
        <v>160</v>
      </c>
      <c r="E1256" s="4">
        <v>0</v>
      </c>
      <c r="F1256" s="4">
        <v>107311.19100000001</v>
      </c>
      <c r="G1256" s="4">
        <v>107311.19100000001</v>
      </c>
      <c r="H1256" s="5">
        <f>18 / 86400</f>
        <v>2.0833333333333335E-4</v>
      </c>
      <c r="I1256" t="s">
        <v>22</v>
      </c>
      <c r="J1256" t="s">
        <v>22</v>
      </c>
      <c r="K1256" s="5">
        <f>28 / 86400</f>
        <v>3.2407407407407406E-4</v>
      </c>
      <c r="L1256" s="5">
        <f>784 / 86400</f>
        <v>9.0740740740740747E-3</v>
      </c>
    </row>
    <row r="1257" spans="1:12" x14ac:dyDescent="0.25">
      <c r="A1257" s="3">
        <v>45714.799791666665</v>
      </c>
      <c r="B1257" t="s">
        <v>160</v>
      </c>
      <c r="C1257" s="3">
        <v>45714.800393518519</v>
      </c>
      <c r="D1257" t="s">
        <v>160</v>
      </c>
      <c r="E1257" s="4">
        <v>0</v>
      </c>
      <c r="F1257" s="4">
        <v>107311.19100000001</v>
      </c>
      <c r="G1257" s="4">
        <v>107311.19100000001</v>
      </c>
      <c r="H1257" s="5">
        <f>38 / 86400</f>
        <v>4.3981481481481481E-4</v>
      </c>
      <c r="I1257" t="s">
        <v>22</v>
      </c>
      <c r="J1257" t="s">
        <v>22</v>
      </c>
      <c r="K1257" s="5">
        <f>52 / 86400</f>
        <v>6.018518518518519E-4</v>
      </c>
      <c r="L1257" s="5">
        <f>136 / 86400</f>
        <v>1.5740740740740741E-3</v>
      </c>
    </row>
    <row r="1258" spans="1:12" x14ac:dyDescent="0.25">
      <c r="A1258" s="3">
        <v>45714.80196759259</v>
      </c>
      <c r="B1258" t="s">
        <v>160</v>
      </c>
      <c r="C1258" s="3">
        <v>45714.803865740745</v>
      </c>
      <c r="D1258" t="s">
        <v>160</v>
      </c>
      <c r="E1258" s="4">
        <v>2.5000000000000001E-2</v>
      </c>
      <c r="F1258" s="4">
        <v>107311.19100000001</v>
      </c>
      <c r="G1258" s="4">
        <v>107311.216</v>
      </c>
      <c r="H1258" s="5">
        <f>118 / 86400</f>
        <v>1.3657407407407407E-3</v>
      </c>
      <c r="I1258" t="s">
        <v>102</v>
      </c>
      <c r="J1258" t="s">
        <v>78</v>
      </c>
      <c r="K1258" s="5">
        <f>164 / 86400</f>
        <v>1.8981481481481482E-3</v>
      </c>
      <c r="L1258" s="5">
        <f>651 / 86400</f>
        <v>7.5347222222222222E-3</v>
      </c>
    </row>
    <row r="1259" spans="1:12" x14ac:dyDescent="0.25">
      <c r="A1259" s="3">
        <v>45714.811400462961</v>
      </c>
      <c r="B1259" t="s">
        <v>160</v>
      </c>
      <c r="C1259" s="3">
        <v>45714.813449074078</v>
      </c>
      <c r="D1259" t="s">
        <v>160</v>
      </c>
      <c r="E1259" s="4">
        <v>0</v>
      </c>
      <c r="F1259" s="4">
        <v>107311.216</v>
      </c>
      <c r="G1259" s="4">
        <v>107311.216</v>
      </c>
      <c r="H1259" s="5">
        <f>158 / 86400</f>
        <v>1.8287037037037037E-3</v>
      </c>
      <c r="I1259" t="s">
        <v>22</v>
      </c>
      <c r="J1259" t="s">
        <v>22</v>
      </c>
      <c r="K1259" s="5">
        <f>177 / 86400</f>
        <v>2.0486111111111113E-3</v>
      </c>
      <c r="L1259" s="5">
        <f>609 / 86400</f>
        <v>7.0486111111111114E-3</v>
      </c>
    </row>
    <row r="1260" spans="1:12" x14ac:dyDescent="0.25">
      <c r="A1260" s="3">
        <v>45714.820497685185</v>
      </c>
      <c r="B1260" t="s">
        <v>160</v>
      </c>
      <c r="C1260" s="3">
        <v>45714.919907407406</v>
      </c>
      <c r="D1260" t="s">
        <v>103</v>
      </c>
      <c r="E1260" s="4">
        <v>49.209000000000003</v>
      </c>
      <c r="F1260" s="4">
        <v>107311.216</v>
      </c>
      <c r="G1260" s="4">
        <v>107360.425</v>
      </c>
      <c r="H1260" s="5">
        <f>2719 / 86400</f>
        <v>3.1469907407407405E-2</v>
      </c>
      <c r="I1260" t="s">
        <v>105</v>
      </c>
      <c r="J1260" t="s">
        <v>151</v>
      </c>
      <c r="K1260" s="5">
        <f>8589 / 86400</f>
        <v>9.9409722222222219E-2</v>
      </c>
      <c r="L1260" s="5">
        <f>326 / 86400</f>
        <v>3.7731481481481483E-3</v>
      </c>
    </row>
    <row r="1261" spans="1:12" x14ac:dyDescent="0.25">
      <c r="A1261" s="3">
        <v>45714.923680555556</v>
      </c>
      <c r="B1261" t="s">
        <v>103</v>
      </c>
      <c r="C1261" s="3">
        <v>45714.99998842593</v>
      </c>
      <c r="D1261" t="s">
        <v>104</v>
      </c>
      <c r="E1261" s="4">
        <v>36.195999999999998</v>
      </c>
      <c r="F1261" s="4">
        <v>107360.425</v>
      </c>
      <c r="G1261" s="4">
        <v>107396.621</v>
      </c>
      <c r="H1261" s="5">
        <f>2259 / 86400</f>
        <v>2.6145833333333333E-2</v>
      </c>
      <c r="I1261" t="s">
        <v>150</v>
      </c>
      <c r="J1261" t="s">
        <v>64</v>
      </c>
      <c r="K1261" s="5">
        <f>6593 / 86400</f>
        <v>7.6307870370370373E-2</v>
      </c>
      <c r="L1261" s="5">
        <f>0 / 86400</f>
        <v>0</v>
      </c>
    </row>
    <row r="1262" spans="1:12" x14ac:dyDescent="0.25">
      <c r="A1262" s="12"/>
      <c r="B1262" s="12"/>
      <c r="C1262" s="12"/>
      <c r="D1262" s="12"/>
      <c r="E1262" s="12"/>
      <c r="F1262" s="12"/>
      <c r="G1262" s="12"/>
      <c r="H1262" s="12"/>
      <c r="I1262" s="12"/>
      <c r="J1262" s="12"/>
    </row>
    <row r="1263" spans="1:12" x14ac:dyDescent="0.25">
      <c r="A1263" s="12"/>
      <c r="B1263" s="12"/>
      <c r="C1263" s="12"/>
      <c r="D1263" s="12"/>
      <c r="E1263" s="12"/>
      <c r="F1263" s="12"/>
      <c r="G1263" s="12"/>
      <c r="H1263" s="12"/>
      <c r="I1263" s="12"/>
      <c r="J1263" s="12"/>
    </row>
    <row r="1264" spans="1:12" s="10" customFormat="1" ht="20.100000000000001" customHeight="1" x14ac:dyDescent="0.35">
      <c r="A1264" s="15" t="s">
        <v>514</v>
      </c>
      <c r="B1264" s="15"/>
      <c r="C1264" s="15"/>
      <c r="D1264" s="15"/>
      <c r="E1264" s="15"/>
      <c r="F1264" s="15"/>
      <c r="G1264" s="15"/>
      <c r="H1264" s="15"/>
      <c r="I1264" s="15"/>
      <c r="J1264" s="15"/>
    </row>
    <row r="1265" spans="1:12" x14ac:dyDescent="0.25">
      <c r="A1265" s="12"/>
      <c r="B1265" s="12"/>
      <c r="C1265" s="12"/>
      <c r="D1265" s="12"/>
      <c r="E1265" s="12"/>
      <c r="F1265" s="12"/>
      <c r="G1265" s="12"/>
      <c r="H1265" s="12"/>
      <c r="I1265" s="12"/>
      <c r="J1265" s="12"/>
    </row>
    <row r="1266" spans="1:12" ht="30" x14ac:dyDescent="0.25">
      <c r="A1266" s="2" t="s">
        <v>6</v>
      </c>
      <c r="B1266" s="2" t="s">
        <v>7</v>
      </c>
      <c r="C1266" s="2" t="s">
        <v>8</v>
      </c>
      <c r="D1266" s="2" t="s">
        <v>9</v>
      </c>
      <c r="E1266" s="2" t="s">
        <v>10</v>
      </c>
      <c r="F1266" s="2" t="s">
        <v>11</v>
      </c>
      <c r="G1266" s="2" t="s">
        <v>12</v>
      </c>
      <c r="H1266" s="2" t="s">
        <v>13</v>
      </c>
      <c r="I1266" s="2" t="s">
        <v>14</v>
      </c>
      <c r="J1266" s="2" t="s">
        <v>15</v>
      </c>
      <c r="K1266" s="2" t="s">
        <v>16</v>
      </c>
      <c r="L1266" s="2" t="s">
        <v>17</v>
      </c>
    </row>
    <row r="1267" spans="1:12" x14ac:dyDescent="0.25">
      <c r="A1267" s="3">
        <v>45714.229328703703</v>
      </c>
      <c r="B1267" t="s">
        <v>106</v>
      </c>
      <c r="C1267" s="3">
        <v>45714.458229166667</v>
      </c>
      <c r="D1267" t="s">
        <v>422</v>
      </c>
      <c r="E1267" s="4">
        <v>99.209000000000003</v>
      </c>
      <c r="F1267" s="4">
        <v>47763.425000000003</v>
      </c>
      <c r="G1267" s="4">
        <v>47862.633999999998</v>
      </c>
      <c r="H1267" s="5">
        <f>6600 / 86400</f>
        <v>7.6388888888888895E-2</v>
      </c>
      <c r="I1267" t="s">
        <v>48</v>
      </c>
      <c r="J1267" t="s">
        <v>20</v>
      </c>
      <c r="K1267" s="5">
        <f>19777 / 86400</f>
        <v>0.22890046296296296</v>
      </c>
      <c r="L1267" s="5">
        <f>20422 / 86400</f>
        <v>0.23636574074074074</v>
      </c>
    </row>
    <row r="1268" spans="1:12" x14ac:dyDescent="0.25">
      <c r="A1268" s="3">
        <v>45714.465266203704</v>
      </c>
      <c r="B1268" t="s">
        <v>422</v>
      </c>
      <c r="C1268" s="3">
        <v>45714.467731481476</v>
      </c>
      <c r="D1268" t="s">
        <v>47</v>
      </c>
      <c r="E1268" s="4">
        <v>0.64</v>
      </c>
      <c r="F1268" s="4">
        <v>47862.633999999998</v>
      </c>
      <c r="G1268" s="4">
        <v>47863.273999999998</v>
      </c>
      <c r="H1268" s="5">
        <f>38 / 86400</f>
        <v>4.3981481481481481E-4</v>
      </c>
      <c r="I1268" t="s">
        <v>180</v>
      </c>
      <c r="J1268" t="s">
        <v>31</v>
      </c>
      <c r="K1268" s="5">
        <f>213 / 86400</f>
        <v>2.4652777777777776E-3</v>
      </c>
      <c r="L1268" s="5">
        <f>2738 / 86400</f>
        <v>3.1689814814814816E-2</v>
      </c>
    </row>
    <row r="1269" spans="1:12" x14ac:dyDescent="0.25">
      <c r="A1269" s="3">
        <v>45714.499421296292</v>
      </c>
      <c r="B1269" t="s">
        <v>47</v>
      </c>
      <c r="C1269" s="3">
        <v>45714.501944444448</v>
      </c>
      <c r="D1269" t="s">
        <v>163</v>
      </c>
      <c r="E1269" s="4">
        <v>0.76500000000000001</v>
      </c>
      <c r="F1269" s="4">
        <v>47863.273999999998</v>
      </c>
      <c r="G1269" s="4">
        <v>47864.038999999997</v>
      </c>
      <c r="H1269" s="5">
        <f>18 / 86400</f>
        <v>2.0833333333333335E-4</v>
      </c>
      <c r="I1269" t="s">
        <v>140</v>
      </c>
      <c r="J1269" t="s">
        <v>42</v>
      </c>
      <c r="K1269" s="5">
        <f>218 / 86400</f>
        <v>2.5231481481481481E-3</v>
      </c>
      <c r="L1269" s="5">
        <f>576 / 86400</f>
        <v>6.6666666666666671E-3</v>
      </c>
    </row>
    <row r="1270" spans="1:12" x14ac:dyDescent="0.25">
      <c r="A1270" s="3">
        <v>45714.508611111116</v>
      </c>
      <c r="B1270" t="s">
        <v>163</v>
      </c>
      <c r="C1270" s="3">
        <v>45714.544942129629</v>
      </c>
      <c r="D1270" t="s">
        <v>344</v>
      </c>
      <c r="E1270" s="4">
        <v>18.096</v>
      </c>
      <c r="F1270" s="4">
        <v>47864.038999999997</v>
      </c>
      <c r="G1270" s="4">
        <v>47882.135000000002</v>
      </c>
      <c r="H1270" s="5">
        <f>898 / 86400</f>
        <v>1.0393518518518519E-2</v>
      </c>
      <c r="I1270" t="s">
        <v>60</v>
      </c>
      <c r="J1270" t="s">
        <v>151</v>
      </c>
      <c r="K1270" s="5">
        <f>3139 / 86400</f>
        <v>3.6331018518518519E-2</v>
      </c>
      <c r="L1270" s="5">
        <f>6 / 86400</f>
        <v>6.9444444444444444E-5</v>
      </c>
    </row>
    <row r="1271" spans="1:12" x14ac:dyDescent="0.25">
      <c r="A1271" s="3">
        <v>45714.545011574075</v>
      </c>
      <c r="B1271" t="s">
        <v>104</v>
      </c>
      <c r="C1271" s="3">
        <v>45714.545706018514</v>
      </c>
      <c r="D1271" t="s">
        <v>59</v>
      </c>
      <c r="E1271" s="4">
        <v>0.80900000000000005</v>
      </c>
      <c r="F1271" s="4">
        <v>47882.190999999999</v>
      </c>
      <c r="G1271" s="4">
        <v>47883</v>
      </c>
      <c r="H1271" s="5">
        <f>0 / 86400</f>
        <v>0</v>
      </c>
      <c r="I1271" t="s">
        <v>296</v>
      </c>
      <c r="J1271" t="s">
        <v>299</v>
      </c>
      <c r="K1271" s="5">
        <f>60 / 86400</f>
        <v>6.9444444444444447E-4</v>
      </c>
      <c r="L1271" s="5">
        <f>23 / 86400</f>
        <v>2.6620370370370372E-4</v>
      </c>
    </row>
    <row r="1272" spans="1:12" x14ac:dyDescent="0.25">
      <c r="A1272" s="3">
        <v>45714.545972222222</v>
      </c>
      <c r="B1272" t="s">
        <v>59</v>
      </c>
      <c r="C1272" s="3">
        <v>45714.572569444441</v>
      </c>
      <c r="D1272" t="s">
        <v>198</v>
      </c>
      <c r="E1272" s="4">
        <v>16.172000000000001</v>
      </c>
      <c r="F1272" s="4">
        <v>47883</v>
      </c>
      <c r="G1272" s="4">
        <v>47899.171999999999</v>
      </c>
      <c r="H1272" s="5">
        <f>460 / 86400</f>
        <v>5.324074074074074E-3</v>
      </c>
      <c r="I1272" t="s">
        <v>143</v>
      </c>
      <c r="J1272" t="s">
        <v>131</v>
      </c>
      <c r="K1272" s="5">
        <f>2298 / 86400</f>
        <v>2.6597222222222223E-2</v>
      </c>
      <c r="L1272" s="5">
        <f>12 / 86400</f>
        <v>1.3888888888888889E-4</v>
      </c>
    </row>
    <row r="1273" spans="1:12" x14ac:dyDescent="0.25">
      <c r="A1273" s="3">
        <v>45714.572708333333</v>
      </c>
      <c r="B1273" t="s">
        <v>198</v>
      </c>
      <c r="C1273" s="3">
        <v>45714.572824074072</v>
      </c>
      <c r="D1273" t="s">
        <v>198</v>
      </c>
      <c r="E1273" s="4">
        <v>0</v>
      </c>
      <c r="F1273" s="4">
        <v>47899.171999999999</v>
      </c>
      <c r="G1273" s="4">
        <v>47899.171999999999</v>
      </c>
      <c r="H1273" s="5">
        <f>0 / 86400</f>
        <v>0</v>
      </c>
      <c r="I1273" t="s">
        <v>22</v>
      </c>
      <c r="J1273" t="s">
        <v>22</v>
      </c>
      <c r="K1273" s="5">
        <f>10 / 86400</f>
        <v>1.1574074074074075E-4</v>
      </c>
      <c r="L1273" s="5">
        <f>59 / 86400</f>
        <v>6.8287037037037036E-4</v>
      </c>
    </row>
    <row r="1274" spans="1:12" x14ac:dyDescent="0.25">
      <c r="A1274" s="3">
        <v>45714.573506944449</v>
      </c>
      <c r="B1274" t="s">
        <v>198</v>
      </c>
      <c r="C1274" s="3">
        <v>45714.574490740742</v>
      </c>
      <c r="D1274" t="s">
        <v>198</v>
      </c>
      <c r="E1274" s="4">
        <v>0</v>
      </c>
      <c r="F1274" s="4">
        <v>47899.171999999999</v>
      </c>
      <c r="G1274" s="4">
        <v>47899.171999999999</v>
      </c>
      <c r="H1274" s="5">
        <f>78 / 86400</f>
        <v>9.0277777777777774E-4</v>
      </c>
      <c r="I1274" t="s">
        <v>22</v>
      </c>
      <c r="J1274" t="s">
        <v>22</v>
      </c>
      <c r="K1274" s="5">
        <f>85 / 86400</f>
        <v>9.837962962962962E-4</v>
      </c>
      <c r="L1274" s="5">
        <f>1344 / 86400</f>
        <v>1.5555555555555555E-2</v>
      </c>
    </row>
    <row r="1275" spans="1:12" x14ac:dyDescent="0.25">
      <c r="A1275" s="3">
        <v>45714.590046296296</v>
      </c>
      <c r="B1275" t="s">
        <v>198</v>
      </c>
      <c r="C1275" s="3">
        <v>45714.594027777777</v>
      </c>
      <c r="D1275" t="s">
        <v>189</v>
      </c>
      <c r="E1275" s="4">
        <v>0.45800000000000002</v>
      </c>
      <c r="F1275" s="4">
        <v>47899.171999999999</v>
      </c>
      <c r="G1275" s="4">
        <v>47899.63</v>
      </c>
      <c r="H1275" s="5">
        <f>278 / 86400</f>
        <v>3.2175925925925926E-3</v>
      </c>
      <c r="I1275" t="s">
        <v>203</v>
      </c>
      <c r="J1275" t="s">
        <v>77</v>
      </c>
      <c r="K1275" s="5">
        <f>344 / 86400</f>
        <v>3.9814814814814817E-3</v>
      </c>
      <c r="L1275" s="5">
        <f>1881 / 86400</f>
        <v>2.1770833333333333E-2</v>
      </c>
    </row>
    <row r="1276" spans="1:12" x14ac:dyDescent="0.25">
      <c r="A1276" s="3">
        <v>45714.615798611107</v>
      </c>
      <c r="B1276" t="s">
        <v>189</v>
      </c>
      <c r="C1276" s="3">
        <v>45714.618645833332</v>
      </c>
      <c r="D1276" t="s">
        <v>286</v>
      </c>
      <c r="E1276" s="4">
        <v>1.0780000000000001</v>
      </c>
      <c r="F1276" s="4">
        <v>47899.63</v>
      </c>
      <c r="G1276" s="4">
        <v>47900.707999999999</v>
      </c>
      <c r="H1276" s="5">
        <f>60 / 86400</f>
        <v>6.9444444444444447E-4</v>
      </c>
      <c r="I1276" t="s">
        <v>138</v>
      </c>
      <c r="J1276" t="s">
        <v>28</v>
      </c>
      <c r="K1276" s="5">
        <f>246 / 86400</f>
        <v>2.8472222222222223E-3</v>
      </c>
      <c r="L1276" s="5">
        <f>30 / 86400</f>
        <v>3.4722222222222224E-4</v>
      </c>
    </row>
    <row r="1277" spans="1:12" x14ac:dyDescent="0.25">
      <c r="A1277" s="3">
        <v>45714.618993055556</v>
      </c>
      <c r="B1277" t="s">
        <v>286</v>
      </c>
      <c r="C1277" s="3">
        <v>45714.687893518523</v>
      </c>
      <c r="D1277" t="s">
        <v>113</v>
      </c>
      <c r="E1277" s="4">
        <v>34.576000000000001</v>
      </c>
      <c r="F1277" s="4">
        <v>47900.707999999999</v>
      </c>
      <c r="G1277" s="4">
        <v>47935.284</v>
      </c>
      <c r="H1277" s="5">
        <f>1778 / 86400</f>
        <v>2.0578703703703703E-2</v>
      </c>
      <c r="I1277" t="s">
        <v>33</v>
      </c>
      <c r="J1277" t="s">
        <v>151</v>
      </c>
      <c r="K1277" s="5">
        <f>5953 / 86400</f>
        <v>6.8900462962962969E-2</v>
      </c>
      <c r="L1277" s="5">
        <f>495 / 86400</f>
        <v>5.7291666666666663E-3</v>
      </c>
    </row>
    <row r="1278" spans="1:12" x14ac:dyDescent="0.25">
      <c r="A1278" s="3">
        <v>45714.693622685183</v>
      </c>
      <c r="B1278" t="s">
        <v>113</v>
      </c>
      <c r="C1278" s="3">
        <v>45714.696122685185</v>
      </c>
      <c r="D1278" t="s">
        <v>160</v>
      </c>
      <c r="E1278" s="4">
        <v>0.14599999999999999</v>
      </c>
      <c r="F1278" s="4">
        <v>47935.284</v>
      </c>
      <c r="G1278" s="4">
        <v>47935.43</v>
      </c>
      <c r="H1278" s="5">
        <f>140 / 86400</f>
        <v>1.6203703703703703E-3</v>
      </c>
      <c r="I1278" t="s">
        <v>147</v>
      </c>
      <c r="J1278" t="s">
        <v>32</v>
      </c>
      <c r="K1278" s="5">
        <f>216 / 86400</f>
        <v>2.5000000000000001E-3</v>
      </c>
      <c r="L1278" s="5">
        <f>138 / 86400</f>
        <v>1.5972222222222223E-3</v>
      </c>
    </row>
    <row r="1279" spans="1:12" x14ac:dyDescent="0.25">
      <c r="A1279" s="3">
        <v>45714.697719907403</v>
      </c>
      <c r="B1279" t="s">
        <v>160</v>
      </c>
      <c r="C1279" s="3">
        <v>45714.697824074072</v>
      </c>
      <c r="D1279" t="s">
        <v>160</v>
      </c>
      <c r="E1279" s="4">
        <v>0</v>
      </c>
      <c r="F1279" s="4">
        <v>47935.43</v>
      </c>
      <c r="G1279" s="4">
        <v>47935.43</v>
      </c>
      <c r="H1279" s="5">
        <f>0 / 86400</f>
        <v>0</v>
      </c>
      <c r="I1279" t="s">
        <v>22</v>
      </c>
      <c r="J1279" t="s">
        <v>22</v>
      </c>
      <c r="K1279" s="5">
        <f>9 / 86400</f>
        <v>1.0416666666666667E-4</v>
      </c>
      <c r="L1279" s="5">
        <f>1827 / 86400</f>
        <v>2.1145833333333332E-2</v>
      </c>
    </row>
    <row r="1280" spans="1:12" x14ac:dyDescent="0.25">
      <c r="A1280" s="3">
        <v>45714.718969907408</v>
      </c>
      <c r="B1280" t="s">
        <v>160</v>
      </c>
      <c r="C1280" s="3">
        <v>45714.720324074078</v>
      </c>
      <c r="D1280" t="s">
        <v>322</v>
      </c>
      <c r="E1280" s="4">
        <v>0.35499999999999998</v>
      </c>
      <c r="F1280" s="4">
        <v>47935.43</v>
      </c>
      <c r="G1280" s="4">
        <v>47935.785000000003</v>
      </c>
      <c r="H1280" s="5">
        <f>18 / 86400</f>
        <v>2.0833333333333335E-4</v>
      </c>
      <c r="I1280" t="s">
        <v>140</v>
      </c>
      <c r="J1280" t="s">
        <v>31</v>
      </c>
      <c r="K1280" s="5">
        <f>117 / 86400</f>
        <v>1.3541666666666667E-3</v>
      </c>
      <c r="L1280" s="5">
        <f>414 / 86400</f>
        <v>4.7916666666666663E-3</v>
      </c>
    </row>
    <row r="1281" spans="1:12" x14ac:dyDescent="0.25">
      <c r="A1281" s="3">
        <v>45714.725115740745</v>
      </c>
      <c r="B1281" t="s">
        <v>322</v>
      </c>
      <c r="C1281" s="3">
        <v>45714.730509259258</v>
      </c>
      <c r="D1281" t="s">
        <v>107</v>
      </c>
      <c r="E1281" s="4">
        <v>0.97699999999999998</v>
      </c>
      <c r="F1281" s="4">
        <v>47935.785000000003</v>
      </c>
      <c r="G1281" s="4">
        <v>47936.762000000002</v>
      </c>
      <c r="H1281" s="5">
        <f>157 / 86400</f>
        <v>1.8171296296296297E-3</v>
      </c>
      <c r="I1281" t="s">
        <v>131</v>
      </c>
      <c r="J1281" t="s">
        <v>157</v>
      </c>
      <c r="K1281" s="5">
        <f>466 / 86400</f>
        <v>5.3935185185185188E-3</v>
      </c>
      <c r="L1281" s="5">
        <f>23283 / 86400</f>
        <v>0.26947916666666666</v>
      </c>
    </row>
    <row r="1282" spans="1:12" x14ac:dyDescent="0.25">
      <c r="A1282" s="12"/>
      <c r="B1282" s="12"/>
      <c r="C1282" s="12"/>
      <c r="D1282" s="12"/>
      <c r="E1282" s="12"/>
      <c r="F1282" s="12"/>
      <c r="G1282" s="12"/>
      <c r="H1282" s="12"/>
      <c r="I1282" s="12"/>
      <c r="J1282" s="12"/>
    </row>
    <row r="1283" spans="1:12" x14ac:dyDescent="0.25">
      <c r="A1283" s="12"/>
      <c r="B1283" s="12"/>
      <c r="C1283" s="12"/>
      <c r="D1283" s="12"/>
      <c r="E1283" s="12"/>
      <c r="F1283" s="12"/>
      <c r="G1283" s="12"/>
      <c r="H1283" s="12"/>
      <c r="I1283" s="12"/>
      <c r="J1283" s="12"/>
    </row>
    <row r="1284" spans="1:12" s="10" customFormat="1" ht="20.100000000000001" customHeight="1" x14ac:dyDescent="0.35">
      <c r="A1284" s="15" t="s">
        <v>515</v>
      </c>
      <c r="B1284" s="15"/>
      <c r="C1284" s="15"/>
      <c r="D1284" s="15"/>
      <c r="E1284" s="15"/>
      <c r="F1284" s="15"/>
      <c r="G1284" s="15"/>
      <c r="H1284" s="15"/>
      <c r="I1284" s="15"/>
      <c r="J1284" s="15"/>
    </row>
    <row r="1285" spans="1:12" x14ac:dyDescent="0.25">
      <c r="A1285" s="12"/>
      <c r="B1285" s="12"/>
      <c r="C1285" s="12"/>
      <c r="D1285" s="12"/>
      <c r="E1285" s="12"/>
      <c r="F1285" s="12"/>
      <c r="G1285" s="12"/>
      <c r="H1285" s="12"/>
      <c r="I1285" s="12"/>
      <c r="J1285" s="12"/>
    </row>
    <row r="1286" spans="1:12" ht="30" x14ac:dyDescent="0.25">
      <c r="A1286" s="2" t="s">
        <v>6</v>
      </c>
      <c r="B1286" s="2" t="s">
        <v>7</v>
      </c>
      <c r="C1286" s="2" t="s">
        <v>8</v>
      </c>
      <c r="D1286" s="2" t="s">
        <v>9</v>
      </c>
      <c r="E1286" s="2" t="s">
        <v>10</v>
      </c>
      <c r="F1286" s="2" t="s">
        <v>11</v>
      </c>
      <c r="G1286" s="2" t="s">
        <v>12</v>
      </c>
      <c r="H1286" s="2" t="s">
        <v>13</v>
      </c>
      <c r="I1286" s="2" t="s">
        <v>14</v>
      </c>
      <c r="J1286" s="2" t="s">
        <v>15</v>
      </c>
      <c r="K1286" s="2" t="s">
        <v>16</v>
      </c>
      <c r="L1286" s="2" t="s">
        <v>17</v>
      </c>
    </row>
    <row r="1287" spans="1:12" x14ac:dyDescent="0.25">
      <c r="A1287" s="3">
        <v>45714.157766203702</v>
      </c>
      <c r="B1287" t="s">
        <v>108</v>
      </c>
      <c r="C1287" s="3">
        <v>45714.165381944447</v>
      </c>
      <c r="D1287" t="s">
        <v>449</v>
      </c>
      <c r="E1287" s="4">
        <v>0.45800000000000002</v>
      </c>
      <c r="F1287" s="4">
        <v>81199.554000000004</v>
      </c>
      <c r="G1287" s="4">
        <v>81200.012000000002</v>
      </c>
      <c r="H1287" s="5">
        <f>557 / 86400</f>
        <v>6.4467592592592588E-3</v>
      </c>
      <c r="I1287" t="s">
        <v>174</v>
      </c>
      <c r="J1287" t="s">
        <v>102</v>
      </c>
      <c r="K1287" s="5">
        <f>658 / 86400</f>
        <v>7.6157407407407406E-3</v>
      </c>
      <c r="L1287" s="5">
        <f>13796 / 86400</f>
        <v>0.15967592592592592</v>
      </c>
    </row>
    <row r="1288" spans="1:12" x14ac:dyDescent="0.25">
      <c r="A1288" s="3">
        <v>45714.167291666672</v>
      </c>
      <c r="B1288" t="s">
        <v>449</v>
      </c>
      <c r="C1288" s="3">
        <v>45714.333877314813</v>
      </c>
      <c r="D1288" t="s">
        <v>113</v>
      </c>
      <c r="E1288" s="4">
        <v>100.544</v>
      </c>
      <c r="F1288" s="4">
        <v>81200.012000000002</v>
      </c>
      <c r="G1288" s="4">
        <v>81300.555999999997</v>
      </c>
      <c r="H1288" s="5">
        <f>3020 / 86400</f>
        <v>3.4953703703703702E-2</v>
      </c>
      <c r="I1288" t="s">
        <v>51</v>
      </c>
      <c r="J1288" t="s">
        <v>131</v>
      </c>
      <c r="K1288" s="5">
        <f>14393 / 86400</f>
        <v>0.16658564814814814</v>
      </c>
      <c r="L1288" s="5">
        <f>33 / 86400</f>
        <v>3.8194444444444446E-4</v>
      </c>
    </row>
    <row r="1289" spans="1:12" x14ac:dyDescent="0.25">
      <c r="A1289" s="3">
        <v>45714.33425925926</v>
      </c>
      <c r="B1289" t="s">
        <v>113</v>
      </c>
      <c r="C1289" s="3">
        <v>45714.334988425922</v>
      </c>
      <c r="D1289" t="s">
        <v>160</v>
      </c>
      <c r="E1289" s="4">
        <v>0.14599999999999999</v>
      </c>
      <c r="F1289" s="4">
        <v>81300.555999999997</v>
      </c>
      <c r="G1289" s="4">
        <v>81300.702000000005</v>
      </c>
      <c r="H1289" s="5">
        <f>0 / 86400</f>
        <v>0</v>
      </c>
      <c r="I1289" t="s">
        <v>151</v>
      </c>
      <c r="J1289" t="s">
        <v>157</v>
      </c>
      <c r="K1289" s="5">
        <f>63 / 86400</f>
        <v>7.291666666666667E-4</v>
      </c>
      <c r="L1289" s="5">
        <f>358 / 86400</f>
        <v>4.1435185185185186E-3</v>
      </c>
    </row>
    <row r="1290" spans="1:12" x14ac:dyDescent="0.25">
      <c r="A1290" s="3">
        <v>45714.339131944449</v>
      </c>
      <c r="B1290" t="s">
        <v>160</v>
      </c>
      <c r="C1290" s="3">
        <v>45714.340405092589</v>
      </c>
      <c r="D1290" t="s">
        <v>160</v>
      </c>
      <c r="E1290" s="4">
        <v>0.122</v>
      </c>
      <c r="F1290" s="4">
        <v>81300.702000000005</v>
      </c>
      <c r="G1290" s="4">
        <v>81300.823999999993</v>
      </c>
      <c r="H1290" s="5">
        <f>38 / 86400</f>
        <v>4.3981481481481481E-4</v>
      </c>
      <c r="I1290" t="s">
        <v>31</v>
      </c>
      <c r="J1290" t="s">
        <v>152</v>
      </c>
      <c r="K1290" s="5">
        <f>110 / 86400</f>
        <v>1.2731481481481483E-3</v>
      </c>
      <c r="L1290" s="5">
        <f>168 / 86400</f>
        <v>1.9444444444444444E-3</v>
      </c>
    </row>
    <row r="1291" spans="1:12" x14ac:dyDescent="0.25">
      <c r="A1291" s="3">
        <v>45714.342349537037</v>
      </c>
      <c r="B1291" t="s">
        <v>160</v>
      </c>
      <c r="C1291" s="3">
        <v>45714.342870370368</v>
      </c>
      <c r="D1291" t="s">
        <v>113</v>
      </c>
      <c r="E1291" s="4">
        <v>0.17100000000000001</v>
      </c>
      <c r="F1291" s="4">
        <v>81300.823999999993</v>
      </c>
      <c r="G1291" s="4">
        <v>81300.994999999995</v>
      </c>
      <c r="H1291" s="5">
        <f>0 / 86400</f>
        <v>0</v>
      </c>
      <c r="I1291" t="s">
        <v>46</v>
      </c>
      <c r="J1291" t="s">
        <v>52</v>
      </c>
      <c r="K1291" s="5">
        <f>45 / 86400</f>
        <v>5.2083333333333333E-4</v>
      </c>
      <c r="L1291" s="5">
        <f>285 / 86400</f>
        <v>3.2986111111111111E-3</v>
      </c>
    </row>
    <row r="1292" spans="1:12" x14ac:dyDescent="0.25">
      <c r="A1292" s="3">
        <v>45714.346168981487</v>
      </c>
      <c r="B1292" t="s">
        <v>113</v>
      </c>
      <c r="C1292" s="3">
        <v>45714.349039351851</v>
      </c>
      <c r="D1292" t="s">
        <v>163</v>
      </c>
      <c r="E1292" s="4">
        <v>1.1439999999999999</v>
      </c>
      <c r="F1292" s="4">
        <v>81300.994999999995</v>
      </c>
      <c r="G1292" s="4">
        <v>81302.138999999996</v>
      </c>
      <c r="H1292" s="5">
        <f>0 / 86400</f>
        <v>0</v>
      </c>
      <c r="I1292" t="s">
        <v>182</v>
      </c>
      <c r="J1292" t="s">
        <v>61</v>
      </c>
      <c r="K1292" s="5">
        <f>248 / 86400</f>
        <v>2.8703703703703703E-3</v>
      </c>
      <c r="L1292" s="5">
        <f>549 / 86400</f>
        <v>6.3541666666666668E-3</v>
      </c>
    </row>
    <row r="1293" spans="1:12" x14ac:dyDescent="0.25">
      <c r="A1293" s="3">
        <v>45714.355393518519</v>
      </c>
      <c r="B1293" t="s">
        <v>163</v>
      </c>
      <c r="C1293" s="3">
        <v>45714.588877314818</v>
      </c>
      <c r="D1293" t="s">
        <v>80</v>
      </c>
      <c r="E1293" s="4">
        <v>94.974000000000004</v>
      </c>
      <c r="F1293" s="4">
        <v>81302.138999999996</v>
      </c>
      <c r="G1293" s="4">
        <v>81397.112999999998</v>
      </c>
      <c r="H1293" s="5">
        <f>6781 / 86400</f>
        <v>7.8483796296296301E-2</v>
      </c>
      <c r="I1293" t="s">
        <v>84</v>
      </c>
      <c r="J1293" t="s">
        <v>61</v>
      </c>
      <c r="K1293" s="5">
        <f>20173 / 86400</f>
        <v>0.23348379629629629</v>
      </c>
      <c r="L1293" s="5">
        <f>199 / 86400</f>
        <v>2.3032407407407407E-3</v>
      </c>
    </row>
    <row r="1294" spans="1:12" x14ac:dyDescent="0.25">
      <c r="A1294" s="3">
        <v>45714.591180555552</v>
      </c>
      <c r="B1294" t="s">
        <v>80</v>
      </c>
      <c r="C1294" s="3">
        <v>45714.591956018514</v>
      </c>
      <c r="D1294" t="s">
        <v>113</v>
      </c>
      <c r="E1294" s="4">
        <v>0.222</v>
      </c>
      <c r="F1294" s="4">
        <v>81397.112999999998</v>
      </c>
      <c r="G1294" s="4">
        <v>81397.335000000006</v>
      </c>
      <c r="H1294" s="5">
        <f>0 / 86400</f>
        <v>0</v>
      </c>
      <c r="I1294" t="s">
        <v>61</v>
      </c>
      <c r="J1294" t="s">
        <v>98</v>
      </c>
      <c r="K1294" s="5">
        <f>67 / 86400</f>
        <v>7.7546296296296293E-4</v>
      </c>
      <c r="L1294" s="5">
        <f>1151 / 86400</f>
        <v>1.3321759259259259E-2</v>
      </c>
    </row>
    <row r="1295" spans="1:12" x14ac:dyDescent="0.25">
      <c r="A1295" s="3">
        <v>45714.60527777778</v>
      </c>
      <c r="B1295" t="s">
        <v>113</v>
      </c>
      <c r="C1295" s="3">
        <v>45714.859293981484</v>
      </c>
      <c r="D1295" t="s">
        <v>160</v>
      </c>
      <c r="E1295" s="4">
        <v>99.93</v>
      </c>
      <c r="F1295" s="4">
        <v>81397.335000000006</v>
      </c>
      <c r="G1295" s="4">
        <v>81497.264999999999</v>
      </c>
      <c r="H1295" s="5">
        <f>8064 / 86400</f>
        <v>9.3333333333333338E-2</v>
      </c>
      <c r="I1295" t="s">
        <v>33</v>
      </c>
      <c r="J1295" t="s">
        <v>28</v>
      </c>
      <c r="K1295" s="5">
        <f>21947 / 86400</f>
        <v>0.2540162037037037</v>
      </c>
      <c r="L1295" s="5">
        <f>391 / 86400</f>
        <v>4.5254629629629629E-3</v>
      </c>
    </row>
    <row r="1296" spans="1:12" x14ac:dyDescent="0.25">
      <c r="A1296" s="3">
        <v>45714.863819444443</v>
      </c>
      <c r="B1296" t="s">
        <v>160</v>
      </c>
      <c r="C1296" s="3">
        <v>45714.864490740743</v>
      </c>
      <c r="D1296" t="s">
        <v>113</v>
      </c>
      <c r="E1296" s="4">
        <v>0.16700000000000001</v>
      </c>
      <c r="F1296" s="4">
        <v>81497.264999999999</v>
      </c>
      <c r="G1296" s="4">
        <v>81497.432000000001</v>
      </c>
      <c r="H1296" s="5">
        <f>17 / 86400</f>
        <v>1.9675925925925926E-4</v>
      </c>
      <c r="I1296" t="s">
        <v>61</v>
      </c>
      <c r="J1296" t="s">
        <v>132</v>
      </c>
      <c r="K1296" s="5">
        <f>58 / 86400</f>
        <v>6.7129629629629625E-4</v>
      </c>
      <c r="L1296" s="5">
        <f>379 / 86400</f>
        <v>4.386574074074074E-3</v>
      </c>
    </row>
    <row r="1297" spans="1:12" x14ac:dyDescent="0.25">
      <c r="A1297" s="3">
        <v>45714.868877314817</v>
      </c>
      <c r="B1297" t="s">
        <v>113</v>
      </c>
      <c r="C1297" s="3">
        <v>45714.869502314818</v>
      </c>
      <c r="D1297" t="s">
        <v>160</v>
      </c>
      <c r="E1297" s="4">
        <v>0.20399999999999999</v>
      </c>
      <c r="F1297" s="4">
        <v>81497.432000000001</v>
      </c>
      <c r="G1297" s="4">
        <v>81497.635999999999</v>
      </c>
      <c r="H1297" s="5">
        <f>0 / 86400</f>
        <v>0</v>
      </c>
      <c r="I1297" t="s">
        <v>20</v>
      </c>
      <c r="J1297" t="s">
        <v>52</v>
      </c>
      <c r="K1297" s="5">
        <f>54 / 86400</f>
        <v>6.2500000000000001E-4</v>
      </c>
      <c r="L1297" s="5">
        <f>388 / 86400</f>
        <v>4.4907407407407405E-3</v>
      </c>
    </row>
    <row r="1298" spans="1:12" x14ac:dyDescent="0.25">
      <c r="A1298" s="3">
        <v>45714.87399305556</v>
      </c>
      <c r="B1298" t="s">
        <v>160</v>
      </c>
      <c r="C1298" s="3">
        <v>45714.879525462966</v>
      </c>
      <c r="D1298" t="s">
        <v>100</v>
      </c>
      <c r="E1298" s="4">
        <v>1.365</v>
      </c>
      <c r="F1298" s="4">
        <v>81497.635999999999</v>
      </c>
      <c r="G1298" s="4">
        <v>81499.001000000004</v>
      </c>
      <c r="H1298" s="5">
        <f>100 / 86400</f>
        <v>1.1574074074074073E-3</v>
      </c>
      <c r="I1298" t="s">
        <v>155</v>
      </c>
      <c r="J1298" t="s">
        <v>132</v>
      </c>
      <c r="K1298" s="5">
        <f>478 / 86400</f>
        <v>5.5324074074074078E-3</v>
      </c>
      <c r="L1298" s="5">
        <f>10408 / 86400</f>
        <v>0.12046296296296297</v>
      </c>
    </row>
    <row r="1299" spans="1:12" x14ac:dyDescent="0.25">
      <c r="A1299" s="12"/>
      <c r="B1299" s="12"/>
      <c r="C1299" s="12"/>
      <c r="D1299" s="12"/>
      <c r="E1299" s="12"/>
      <c r="F1299" s="12"/>
      <c r="G1299" s="12"/>
      <c r="H1299" s="12"/>
      <c r="I1299" s="12"/>
      <c r="J1299" s="12"/>
    </row>
    <row r="1300" spans="1:12" x14ac:dyDescent="0.25">
      <c r="A1300" s="12"/>
      <c r="B1300" s="12"/>
      <c r="C1300" s="12"/>
      <c r="D1300" s="12"/>
      <c r="E1300" s="12"/>
      <c r="F1300" s="12"/>
      <c r="G1300" s="12"/>
      <c r="H1300" s="12"/>
      <c r="I1300" s="12"/>
      <c r="J1300" s="12"/>
    </row>
    <row r="1301" spans="1:12" s="10" customFormat="1" ht="20.100000000000001" customHeight="1" x14ac:dyDescent="0.35">
      <c r="A1301" s="15" t="s">
        <v>516</v>
      </c>
      <c r="B1301" s="15"/>
      <c r="C1301" s="15"/>
      <c r="D1301" s="15"/>
      <c r="E1301" s="15"/>
      <c r="F1301" s="15"/>
      <c r="G1301" s="15"/>
      <c r="H1301" s="15"/>
      <c r="I1301" s="15"/>
      <c r="J1301" s="15"/>
    </row>
    <row r="1302" spans="1:12" x14ac:dyDescent="0.25">
      <c r="A1302" s="12"/>
      <c r="B1302" s="12"/>
      <c r="C1302" s="12"/>
      <c r="D1302" s="12"/>
      <c r="E1302" s="12"/>
      <c r="F1302" s="12"/>
      <c r="G1302" s="12"/>
      <c r="H1302" s="12"/>
      <c r="I1302" s="12"/>
      <c r="J1302" s="12"/>
    </row>
    <row r="1303" spans="1:12" ht="30" x14ac:dyDescent="0.25">
      <c r="A1303" s="2" t="s">
        <v>6</v>
      </c>
      <c r="B1303" s="2" t="s">
        <v>7</v>
      </c>
      <c r="C1303" s="2" t="s">
        <v>8</v>
      </c>
      <c r="D1303" s="2" t="s">
        <v>9</v>
      </c>
      <c r="E1303" s="2" t="s">
        <v>10</v>
      </c>
      <c r="F1303" s="2" t="s">
        <v>11</v>
      </c>
      <c r="G1303" s="2" t="s">
        <v>12</v>
      </c>
      <c r="H1303" s="2" t="s">
        <v>13</v>
      </c>
      <c r="I1303" s="2" t="s">
        <v>14</v>
      </c>
      <c r="J1303" s="2" t="s">
        <v>15</v>
      </c>
      <c r="K1303" s="2" t="s">
        <v>16</v>
      </c>
      <c r="L1303" s="2" t="s">
        <v>17</v>
      </c>
    </row>
    <row r="1304" spans="1:12" x14ac:dyDescent="0.25">
      <c r="A1304" s="3">
        <v>45714</v>
      </c>
      <c r="B1304" t="s">
        <v>109</v>
      </c>
      <c r="C1304" s="3">
        <v>45714.008275462962</v>
      </c>
      <c r="D1304" t="s">
        <v>65</v>
      </c>
      <c r="E1304" s="4">
        <v>6.3579999999999997</v>
      </c>
      <c r="F1304" s="4">
        <v>44205.608</v>
      </c>
      <c r="G1304" s="4">
        <v>44211.966</v>
      </c>
      <c r="H1304" s="5">
        <f>180 / 86400</f>
        <v>2.0833333333333333E-3</v>
      </c>
      <c r="I1304" t="s">
        <v>33</v>
      </c>
      <c r="J1304" t="s">
        <v>155</v>
      </c>
      <c r="K1304" s="5">
        <f>715 / 86400</f>
        <v>8.2754629629629636E-3</v>
      </c>
      <c r="L1304" s="5">
        <f>541 / 86400</f>
        <v>6.2615740740740739E-3</v>
      </c>
    </row>
    <row r="1305" spans="1:12" x14ac:dyDescent="0.25">
      <c r="A1305" s="3">
        <v>45714.014537037037</v>
      </c>
      <c r="B1305" t="s">
        <v>65</v>
      </c>
      <c r="C1305" s="3">
        <v>45714.015914351854</v>
      </c>
      <c r="D1305" t="s">
        <v>81</v>
      </c>
      <c r="E1305" s="4">
        <v>8.7999999999999995E-2</v>
      </c>
      <c r="F1305" s="4">
        <v>44211.966</v>
      </c>
      <c r="G1305" s="4">
        <v>44212.053999999996</v>
      </c>
      <c r="H1305" s="5">
        <f>29 / 86400</f>
        <v>3.3564814814814812E-4</v>
      </c>
      <c r="I1305" t="s">
        <v>157</v>
      </c>
      <c r="J1305" t="s">
        <v>102</v>
      </c>
      <c r="K1305" s="5">
        <f>119 / 86400</f>
        <v>1.3773148148148147E-3</v>
      </c>
      <c r="L1305" s="5">
        <f>2353 / 86400</f>
        <v>2.7233796296296298E-2</v>
      </c>
    </row>
    <row r="1306" spans="1:12" x14ac:dyDescent="0.25">
      <c r="A1306" s="3">
        <v>45714.04314814815</v>
      </c>
      <c r="B1306" t="s">
        <v>81</v>
      </c>
      <c r="C1306" s="3">
        <v>45714.053553240738</v>
      </c>
      <c r="D1306" t="s">
        <v>110</v>
      </c>
      <c r="E1306" s="4">
        <v>3.4249999999999998</v>
      </c>
      <c r="F1306" s="4">
        <v>44212.053999999996</v>
      </c>
      <c r="G1306" s="4">
        <v>44215.478999999999</v>
      </c>
      <c r="H1306" s="5">
        <f>359 / 86400</f>
        <v>4.1550925925925922E-3</v>
      </c>
      <c r="I1306" t="s">
        <v>213</v>
      </c>
      <c r="J1306" t="s">
        <v>52</v>
      </c>
      <c r="K1306" s="5">
        <f>899 / 86400</f>
        <v>1.0405092592592593E-2</v>
      </c>
      <c r="L1306" s="5">
        <f>17221 / 86400</f>
        <v>0.19931712962962964</v>
      </c>
    </row>
    <row r="1307" spans="1:12" x14ac:dyDescent="0.25">
      <c r="A1307" s="3">
        <v>45714.252870370372</v>
      </c>
      <c r="B1307" t="s">
        <v>110</v>
      </c>
      <c r="C1307" s="3">
        <v>45714.257418981477</v>
      </c>
      <c r="D1307" t="s">
        <v>455</v>
      </c>
      <c r="E1307" s="4">
        <v>0.317</v>
      </c>
      <c r="F1307" s="4">
        <v>44215.478999999999</v>
      </c>
      <c r="G1307" s="4">
        <v>44215.796000000002</v>
      </c>
      <c r="H1307" s="5">
        <f>149 / 86400</f>
        <v>1.724537037037037E-3</v>
      </c>
      <c r="I1307" t="s">
        <v>132</v>
      </c>
      <c r="J1307" t="s">
        <v>102</v>
      </c>
      <c r="K1307" s="5">
        <f>393 / 86400</f>
        <v>4.5486111111111109E-3</v>
      </c>
      <c r="L1307" s="5">
        <f>47877 / 86400</f>
        <v>0.55413194444444447</v>
      </c>
    </row>
    <row r="1308" spans="1:12" x14ac:dyDescent="0.25">
      <c r="A1308" s="3">
        <v>45714.811550925922</v>
      </c>
      <c r="B1308" t="s">
        <v>455</v>
      </c>
      <c r="C1308" s="3">
        <v>45714.813761574071</v>
      </c>
      <c r="D1308" t="s">
        <v>455</v>
      </c>
      <c r="E1308" s="4">
        <v>6.0000000000000001E-3</v>
      </c>
      <c r="F1308" s="4">
        <v>44215.796000000002</v>
      </c>
      <c r="G1308" s="4">
        <v>44215.802000000003</v>
      </c>
      <c r="H1308" s="5">
        <f>120 / 86400</f>
        <v>1.3888888888888889E-3</v>
      </c>
      <c r="I1308" t="s">
        <v>78</v>
      </c>
      <c r="J1308" t="s">
        <v>22</v>
      </c>
      <c r="K1308" s="5">
        <f>191 / 86400</f>
        <v>2.2106481481481482E-3</v>
      </c>
      <c r="L1308" s="5">
        <f>282 / 86400</f>
        <v>3.2638888888888891E-3</v>
      </c>
    </row>
    <row r="1309" spans="1:12" x14ac:dyDescent="0.25">
      <c r="A1309" s="3">
        <v>45714.817025462966</v>
      </c>
      <c r="B1309" t="s">
        <v>455</v>
      </c>
      <c r="C1309" s="3">
        <v>45714.819525462968</v>
      </c>
      <c r="D1309" t="s">
        <v>110</v>
      </c>
      <c r="E1309" s="4">
        <v>0.16700000000000001</v>
      </c>
      <c r="F1309" s="4">
        <v>44215.802000000003</v>
      </c>
      <c r="G1309" s="4">
        <v>44215.968999999997</v>
      </c>
      <c r="H1309" s="5">
        <f>62 / 86400</f>
        <v>7.1759259259259259E-4</v>
      </c>
      <c r="I1309" t="s">
        <v>157</v>
      </c>
      <c r="J1309" t="s">
        <v>102</v>
      </c>
      <c r="K1309" s="5">
        <f>216 / 86400</f>
        <v>2.5000000000000001E-3</v>
      </c>
      <c r="L1309" s="5">
        <f>15592 / 86400</f>
        <v>0.18046296296296296</v>
      </c>
    </row>
    <row r="1310" spans="1:12" x14ac:dyDescent="0.25">
      <c r="A1310" s="12"/>
      <c r="B1310" s="12"/>
      <c r="C1310" s="12"/>
      <c r="D1310" s="12"/>
      <c r="E1310" s="12"/>
      <c r="F1310" s="12"/>
      <c r="G1310" s="12"/>
      <c r="H1310" s="12"/>
      <c r="I1310" s="12"/>
      <c r="J1310" s="12"/>
    </row>
    <row r="1311" spans="1:12" x14ac:dyDescent="0.25">
      <c r="A1311" s="12"/>
      <c r="B1311" s="12"/>
      <c r="C1311" s="12"/>
      <c r="D1311" s="12"/>
      <c r="E1311" s="12"/>
      <c r="F1311" s="12"/>
      <c r="G1311" s="12"/>
      <c r="H1311" s="12"/>
      <c r="I1311" s="12"/>
      <c r="J1311" s="12"/>
    </row>
    <row r="1312" spans="1:12" s="10" customFormat="1" ht="20.100000000000001" customHeight="1" x14ac:dyDescent="0.35">
      <c r="A1312" s="15" t="s">
        <v>517</v>
      </c>
      <c r="B1312" s="15"/>
      <c r="C1312" s="15"/>
      <c r="D1312" s="15"/>
      <c r="E1312" s="15"/>
      <c r="F1312" s="15"/>
      <c r="G1312" s="15"/>
      <c r="H1312" s="15"/>
      <c r="I1312" s="15"/>
      <c r="J1312" s="15"/>
    </row>
    <row r="1313" spans="1:12" x14ac:dyDescent="0.25">
      <c r="A1313" s="12"/>
      <c r="B1313" s="12"/>
      <c r="C1313" s="12"/>
      <c r="D1313" s="12"/>
      <c r="E1313" s="12"/>
      <c r="F1313" s="12"/>
      <c r="G1313" s="12"/>
      <c r="H1313" s="12"/>
      <c r="I1313" s="12"/>
      <c r="J1313" s="12"/>
    </row>
    <row r="1314" spans="1:12" ht="30" x14ac:dyDescent="0.25">
      <c r="A1314" s="2" t="s">
        <v>6</v>
      </c>
      <c r="B1314" s="2" t="s">
        <v>7</v>
      </c>
      <c r="C1314" s="2" t="s">
        <v>8</v>
      </c>
      <c r="D1314" s="2" t="s">
        <v>9</v>
      </c>
      <c r="E1314" s="2" t="s">
        <v>10</v>
      </c>
      <c r="F1314" s="2" t="s">
        <v>11</v>
      </c>
      <c r="G1314" s="2" t="s">
        <v>12</v>
      </c>
      <c r="H1314" s="2" t="s">
        <v>13</v>
      </c>
      <c r="I1314" s="2" t="s">
        <v>14</v>
      </c>
      <c r="J1314" s="2" t="s">
        <v>15</v>
      </c>
      <c r="K1314" s="2" t="s">
        <v>16</v>
      </c>
      <c r="L1314" s="2" t="s">
        <v>17</v>
      </c>
    </row>
    <row r="1315" spans="1:12" x14ac:dyDescent="0.25">
      <c r="A1315" s="3">
        <v>45714.27615740741</v>
      </c>
      <c r="B1315" t="s">
        <v>111</v>
      </c>
      <c r="C1315" s="3">
        <v>45714.281597222223</v>
      </c>
      <c r="D1315" t="s">
        <v>18</v>
      </c>
      <c r="E1315" s="4">
        <v>1.716</v>
      </c>
      <c r="F1315" s="4">
        <v>193890.84599999999</v>
      </c>
      <c r="G1315" s="4">
        <v>193892.56200000001</v>
      </c>
      <c r="H1315" s="5">
        <f>59 / 86400</f>
        <v>6.8287037037037036E-4</v>
      </c>
      <c r="I1315" t="s">
        <v>91</v>
      </c>
      <c r="J1315" t="s">
        <v>42</v>
      </c>
      <c r="K1315" s="5">
        <f>469 / 86400</f>
        <v>5.4282407407407404E-3</v>
      </c>
      <c r="L1315" s="5">
        <f>24089 / 86400</f>
        <v>0.27880787037037036</v>
      </c>
    </row>
    <row r="1316" spans="1:12" x14ac:dyDescent="0.25">
      <c r="A1316" s="3">
        <v>45714.28424768518</v>
      </c>
      <c r="B1316" t="s">
        <v>18</v>
      </c>
      <c r="C1316" s="3">
        <v>45714.350891203707</v>
      </c>
      <c r="D1316" t="s">
        <v>163</v>
      </c>
      <c r="E1316" s="4">
        <v>33.445</v>
      </c>
      <c r="F1316" s="4">
        <v>193892.56200000001</v>
      </c>
      <c r="G1316" s="4">
        <v>193926.00700000001</v>
      </c>
      <c r="H1316" s="5">
        <f>1200 / 86400</f>
        <v>1.3888888888888888E-2</v>
      </c>
      <c r="I1316" t="s">
        <v>27</v>
      </c>
      <c r="J1316" t="s">
        <v>151</v>
      </c>
      <c r="K1316" s="5">
        <f>5757 / 86400</f>
        <v>6.6631944444444438E-2</v>
      </c>
      <c r="L1316" s="5">
        <f>290 / 86400</f>
        <v>3.3564814814814816E-3</v>
      </c>
    </row>
    <row r="1317" spans="1:12" x14ac:dyDescent="0.25">
      <c r="A1317" s="3">
        <v>45714.354247685187</v>
      </c>
      <c r="B1317" t="s">
        <v>163</v>
      </c>
      <c r="C1317" s="3">
        <v>45714.357638888891</v>
      </c>
      <c r="D1317" t="s">
        <v>47</v>
      </c>
      <c r="E1317" s="4">
        <v>0.95199999999999996</v>
      </c>
      <c r="F1317" s="4">
        <v>193926.00700000001</v>
      </c>
      <c r="G1317" s="4">
        <v>193926.959</v>
      </c>
      <c r="H1317" s="5">
        <f>0 / 86400</f>
        <v>0</v>
      </c>
      <c r="I1317" t="s">
        <v>25</v>
      </c>
      <c r="J1317" t="s">
        <v>98</v>
      </c>
      <c r="K1317" s="5">
        <f>293 / 86400</f>
        <v>3.3912037037037036E-3</v>
      </c>
      <c r="L1317" s="5">
        <f>911 / 86400</f>
        <v>1.0543981481481482E-2</v>
      </c>
    </row>
    <row r="1318" spans="1:12" x14ac:dyDescent="0.25">
      <c r="A1318" s="3">
        <v>45714.36818287037</v>
      </c>
      <c r="B1318" t="s">
        <v>47</v>
      </c>
      <c r="C1318" s="3">
        <v>45714.497488425928</v>
      </c>
      <c r="D1318" t="s">
        <v>456</v>
      </c>
      <c r="E1318" s="4">
        <v>50.433</v>
      </c>
      <c r="F1318" s="4">
        <v>193926.959</v>
      </c>
      <c r="G1318" s="4">
        <v>193977.39199999999</v>
      </c>
      <c r="H1318" s="5">
        <f>3881 / 86400</f>
        <v>4.4918981481481483E-2</v>
      </c>
      <c r="I1318" t="s">
        <v>112</v>
      </c>
      <c r="J1318" t="s">
        <v>28</v>
      </c>
      <c r="K1318" s="5">
        <f>11171 / 86400</f>
        <v>0.12929398148148147</v>
      </c>
      <c r="L1318" s="5">
        <f>209 / 86400</f>
        <v>2.4189814814814816E-3</v>
      </c>
    </row>
    <row r="1319" spans="1:12" x14ac:dyDescent="0.25">
      <c r="A1319" s="3">
        <v>45714.499907407408</v>
      </c>
      <c r="B1319" t="s">
        <v>456</v>
      </c>
      <c r="C1319" s="3">
        <v>45714.634583333333</v>
      </c>
      <c r="D1319" t="s">
        <v>125</v>
      </c>
      <c r="E1319" s="4">
        <v>50.798999999999999</v>
      </c>
      <c r="F1319" s="4">
        <v>193977.39199999999</v>
      </c>
      <c r="G1319" s="4">
        <v>194028.19099999999</v>
      </c>
      <c r="H1319" s="5">
        <f>3659 / 86400</f>
        <v>4.234953703703704E-2</v>
      </c>
      <c r="I1319" t="s">
        <v>97</v>
      </c>
      <c r="J1319" t="s">
        <v>28</v>
      </c>
      <c r="K1319" s="5">
        <f>11636 / 86400</f>
        <v>0.13467592592592592</v>
      </c>
      <c r="L1319" s="5">
        <f>1201 / 86400</f>
        <v>1.3900462962962963E-2</v>
      </c>
    </row>
    <row r="1320" spans="1:12" x14ac:dyDescent="0.25">
      <c r="A1320" s="3">
        <v>45714.648483796293</v>
      </c>
      <c r="B1320" t="s">
        <v>125</v>
      </c>
      <c r="C1320" s="3">
        <v>45714.648935185185</v>
      </c>
      <c r="D1320" t="s">
        <v>125</v>
      </c>
      <c r="E1320" s="4">
        <v>2.5000000000000001E-2</v>
      </c>
      <c r="F1320" s="4">
        <v>194028.19099999999</v>
      </c>
      <c r="G1320" s="4">
        <v>194028.21599999999</v>
      </c>
      <c r="H1320" s="5">
        <f>0 / 86400</f>
        <v>0</v>
      </c>
      <c r="I1320" t="s">
        <v>77</v>
      </c>
      <c r="J1320" t="s">
        <v>32</v>
      </c>
      <c r="K1320" s="5">
        <f>39 / 86400</f>
        <v>4.5138888888888887E-4</v>
      </c>
      <c r="L1320" s="5">
        <f>4278 / 86400</f>
        <v>4.9513888888888892E-2</v>
      </c>
    </row>
    <row r="1321" spans="1:12" x14ac:dyDescent="0.25">
      <c r="A1321" s="3">
        <v>45714.698449074072</v>
      </c>
      <c r="B1321" t="s">
        <v>125</v>
      </c>
      <c r="C1321" s="3">
        <v>45714.702106481476</v>
      </c>
      <c r="D1321" t="s">
        <v>422</v>
      </c>
      <c r="E1321" s="4">
        <v>0.312</v>
      </c>
      <c r="F1321" s="4">
        <v>194028.21599999999</v>
      </c>
      <c r="G1321" s="4">
        <v>194028.52799999999</v>
      </c>
      <c r="H1321" s="5">
        <f>119 / 86400</f>
        <v>1.3773148148148147E-3</v>
      </c>
      <c r="I1321" t="s">
        <v>52</v>
      </c>
      <c r="J1321" t="s">
        <v>152</v>
      </c>
      <c r="K1321" s="5">
        <f>316 / 86400</f>
        <v>3.6574074074074074E-3</v>
      </c>
      <c r="L1321" s="5">
        <f>1280 / 86400</f>
        <v>1.4814814814814815E-2</v>
      </c>
    </row>
    <row r="1322" spans="1:12" x14ac:dyDescent="0.25">
      <c r="A1322" s="3">
        <v>45714.716921296298</v>
      </c>
      <c r="B1322" t="s">
        <v>422</v>
      </c>
      <c r="C1322" s="3">
        <v>45714.718923611115</v>
      </c>
      <c r="D1322" t="s">
        <v>80</v>
      </c>
      <c r="E1322" s="4">
        <v>0.70499999999999996</v>
      </c>
      <c r="F1322" s="4">
        <v>194028.52799999999</v>
      </c>
      <c r="G1322" s="4">
        <v>194029.23300000001</v>
      </c>
      <c r="H1322" s="5">
        <f>19 / 86400</f>
        <v>2.199074074074074E-4</v>
      </c>
      <c r="I1322" t="s">
        <v>197</v>
      </c>
      <c r="J1322" t="s">
        <v>46</v>
      </c>
      <c r="K1322" s="5">
        <f>173 / 86400</f>
        <v>2.0023148148148148E-3</v>
      </c>
      <c r="L1322" s="5">
        <f>25 / 86400</f>
        <v>2.8935185185185184E-4</v>
      </c>
    </row>
    <row r="1323" spans="1:12" x14ac:dyDescent="0.25">
      <c r="A1323" s="3">
        <v>45714.719212962962</v>
      </c>
      <c r="B1323" t="s">
        <v>80</v>
      </c>
      <c r="C1323" s="3">
        <v>45714.72042824074</v>
      </c>
      <c r="D1323" t="s">
        <v>80</v>
      </c>
      <c r="E1323" s="4">
        <v>0</v>
      </c>
      <c r="F1323" s="4">
        <v>194029.23300000001</v>
      </c>
      <c r="G1323" s="4">
        <v>194029.23300000001</v>
      </c>
      <c r="H1323" s="5">
        <f>99 / 86400</f>
        <v>1.1458333333333333E-3</v>
      </c>
      <c r="I1323" t="s">
        <v>22</v>
      </c>
      <c r="J1323" t="s">
        <v>22</v>
      </c>
      <c r="K1323" s="5">
        <f>105 / 86400</f>
        <v>1.2152777777777778E-3</v>
      </c>
      <c r="L1323" s="5">
        <f>325 / 86400</f>
        <v>3.7615740740740739E-3</v>
      </c>
    </row>
    <row r="1324" spans="1:12" x14ac:dyDescent="0.25">
      <c r="A1324" s="3">
        <v>45714.724189814813</v>
      </c>
      <c r="B1324" t="s">
        <v>80</v>
      </c>
      <c r="C1324" s="3">
        <v>45714.764502314814</v>
      </c>
      <c r="D1324" t="s">
        <v>104</v>
      </c>
      <c r="E1324" s="4">
        <v>18.806999999999999</v>
      </c>
      <c r="F1324" s="4">
        <v>194029.23300000001</v>
      </c>
      <c r="G1324" s="4">
        <v>194048.04</v>
      </c>
      <c r="H1324" s="5">
        <f>760 / 86400</f>
        <v>8.7962962962962968E-3</v>
      </c>
      <c r="I1324" t="s">
        <v>112</v>
      </c>
      <c r="J1324" t="s">
        <v>25</v>
      </c>
      <c r="K1324" s="5">
        <f>3482 / 86400</f>
        <v>4.0300925925925928E-2</v>
      </c>
      <c r="L1324" s="5">
        <f>926 / 86400</f>
        <v>1.0717592592592593E-2</v>
      </c>
    </row>
    <row r="1325" spans="1:12" x14ac:dyDescent="0.25">
      <c r="A1325" s="3">
        <v>45714.775219907402</v>
      </c>
      <c r="B1325" t="s">
        <v>104</v>
      </c>
      <c r="C1325" s="3">
        <v>45714.779490740737</v>
      </c>
      <c r="D1325" t="s">
        <v>65</v>
      </c>
      <c r="E1325" s="4">
        <v>2.8159999999999998</v>
      </c>
      <c r="F1325" s="4">
        <v>194048.04</v>
      </c>
      <c r="G1325" s="4">
        <v>194050.856</v>
      </c>
      <c r="H1325" s="5">
        <f>40 / 86400</f>
        <v>4.6296296296296298E-4</v>
      </c>
      <c r="I1325" t="s">
        <v>69</v>
      </c>
      <c r="J1325" t="s">
        <v>186</v>
      </c>
      <c r="K1325" s="5">
        <f>369 / 86400</f>
        <v>4.2708333333333331E-3</v>
      </c>
      <c r="L1325" s="5">
        <f>150 / 86400</f>
        <v>1.736111111111111E-3</v>
      </c>
    </row>
    <row r="1326" spans="1:12" x14ac:dyDescent="0.25">
      <c r="A1326" s="3">
        <v>45714.781226851846</v>
      </c>
      <c r="B1326" t="s">
        <v>65</v>
      </c>
      <c r="C1326" s="3">
        <v>45714.786493055552</v>
      </c>
      <c r="D1326" t="s">
        <v>303</v>
      </c>
      <c r="E1326" s="4">
        <v>2.1059999999999999</v>
      </c>
      <c r="F1326" s="4">
        <v>194050.856</v>
      </c>
      <c r="G1326" s="4">
        <v>194052.962</v>
      </c>
      <c r="H1326" s="5">
        <f>120 / 86400</f>
        <v>1.3888888888888889E-3</v>
      </c>
      <c r="I1326" t="s">
        <v>69</v>
      </c>
      <c r="J1326" t="s">
        <v>61</v>
      </c>
      <c r="K1326" s="5">
        <f>454 / 86400</f>
        <v>5.2546296296296299E-3</v>
      </c>
      <c r="L1326" s="5">
        <f>320 / 86400</f>
        <v>3.7037037037037038E-3</v>
      </c>
    </row>
    <row r="1327" spans="1:12" x14ac:dyDescent="0.25">
      <c r="A1327" s="3">
        <v>45714.790196759262</v>
      </c>
      <c r="B1327" t="s">
        <v>303</v>
      </c>
      <c r="C1327" s="3">
        <v>45714.797037037039</v>
      </c>
      <c r="D1327" t="s">
        <v>168</v>
      </c>
      <c r="E1327" s="4">
        <v>3.395</v>
      </c>
      <c r="F1327" s="4">
        <v>194052.962</v>
      </c>
      <c r="G1327" s="4">
        <v>194056.35699999999</v>
      </c>
      <c r="H1327" s="5">
        <f>179 / 86400</f>
        <v>2.0717592592592593E-3</v>
      </c>
      <c r="I1327" t="s">
        <v>304</v>
      </c>
      <c r="J1327" t="s">
        <v>151</v>
      </c>
      <c r="K1327" s="5">
        <f>590 / 86400</f>
        <v>6.828703703703704E-3</v>
      </c>
      <c r="L1327" s="5">
        <f>108 / 86400</f>
        <v>1.25E-3</v>
      </c>
    </row>
    <row r="1328" spans="1:12" x14ac:dyDescent="0.25">
      <c r="A1328" s="3">
        <v>45714.798287037032</v>
      </c>
      <c r="B1328" t="s">
        <v>300</v>
      </c>
      <c r="C1328" s="3">
        <v>45714.800787037035</v>
      </c>
      <c r="D1328" t="s">
        <v>168</v>
      </c>
      <c r="E1328" s="4">
        <v>1.5580000000000001</v>
      </c>
      <c r="F1328" s="4">
        <v>194056.35699999999</v>
      </c>
      <c r="G1328" s="4">
        <v>194057.91500000001</v>
      </c>
      <c r="H1328" s="5">
        <f>0 / 86400</f>
        <v>0</v>
      </c>
      <c r="I1328" t="s">
        <v>101</v>
      </c>
      <c r="J1328" t="s">
        <v>170</v>
      </c>
      <c r="K1328" s="5">
        <f>215 / 86400</f>
        <v>2.488425925925926E-3</v>
      </c>
      <c r="L1328" s="5">
        <f>165 / 86400</f>
        <v>1.9097222222222222E-3</v>
      </c>
    </row>
    <row r="1329" spans="1:12" x14ac:dyDescent="0.25">
      <c r="A1329" s="3">
        <v>45714.80269675926</v>
      </c>
      <c r="B1329" t="s">
        <v>168</v>
      </c>
      <c r="C1329" s="3">
        <v>45714.812604166669</v>
      </c>
      <c r="D1329" t="s">
        <v>171</v>
      </c>
      <c r="E1329" s="4">
        <v>4.665</v>
      </c>
      <c r="F1329" s="4">
        <v>194057.91500000001</v>
      </c>
      <c r="G1329" s="4">
        <v>194062.58</v>
      </c>
      <c r="H1329" s="5">
        <f>80 / 86400</f>
        <v>9.2592592592592596E-4</v>
      </c>
      <c r="I1329" t="s">
        <v>117</v>
      </c>
      <c r="J1329" t="s">
        <v>64</v>
      </c>
      <c r="K1329" s="5">
        <f>856 / 86400</f>
        <v>9.9074074074074082E-3</v>
      </c>
      <c r="L1329" s="5">
        <f>269 / 86400</f>
        <v>3.1134259259259257E-3</v>
      </c>
    </row>
    <row r="1330" spans="1:12" x14ac:dyDescent="0.25">
      <c r="A1330" s="3">
        <v>45714.815717592588</v>
      </c>
      <c r="B1330" t="s">
        <v>457</v>
      </c>
      <c r="C1330" s="3">
        <v>45714.816759259258</v>
      </c>
      <c r="D1330" t="s">
        <v>457</v>
      </c>
      <c r="E1330" s="4">
        <v>0.161</v>
      </c>
      <c r="F1330" s="4">
        <v>194062.58</v>
      </c>
      <c r="G1330" s="4">
        <v>194062.74100000001</v>
      </c>
      <c r="H1330" s="5">
        <f>20 / 86400</f>
        <v>2.3148148148148149E-4</v>
      </c>
      <c r="I1330" t="s">
        <v>64</v>
      </c>
      <c r="J1330" t="s">
        <v>135</v>
      </c>
      <c r="K1330" s="5">
        <f>90 / 86400</f>
        <v>1.0416666666666667E-3</v>
      </c>
      <c r="L1330" s="5">
        <f>254 / 86400</f>
        <v>2.9398148148148148E-3</v>
      </c>
    </row>
    <row r="1331" spans="1:12" x14ac:dyDescent="0.25">
      <c r="A1331" s="3">
        <v>45714.819699074069</v>
      </c>
      <c r="B1331" t="s">
        <v>457</v>
      </c>
      <c r="C1331" s="3">
        <v>45714.823530092588</v>
      </c>
      <c r="D1331" t="s">
        <v>111</v>
      </c>
      <c r="E1331" s="4">
        <v>1.2350000000000001</v>
      </c>
      <c r="F1331" s="4">
        <v>194062.74100000001</v>
      </c>
      <c r="G1331" s="4">
        <v>194063.976</v>
      </c>
      <c r="H1331" s="5">
        <f>20 / 86400</f>
        <v>2.3148148148148149E-4</v>
      </c>
      <c r="I1331" t="s">
        <v>197</v>
      </c>
      <c r="J1331" t="s">
        <v>42</v>
      </c>
      <c r="K1331" s="5">
        <f>331 / 86400</f>
        <v>3.8310185185185183E-3</v>
      </c>
      <c r="L1331" s="5">
        <f>303 / 86400</f>
        <v>3.5069444444444445E-3</v>
      </c>
    </row>
    <row r="1332" spans="1:12" x14ac:dyDescent="0.25">
      <c r="A1332" s="3">
        <v>45714.827037037037</v>
      </c>
      <c r="B1332" t="s">
        <v>111</v>
      </c>
      <c r="C1332" s="3">
        <v>45714.828055555554</v>
      </c>
      <c r="D1332" t="s">
        <v>111</v>
      </c>
      <c r="E1332" s="4">
        <v>0.123</v>
      </c>
      <c r="F1332" s="4">
        <v>194063.976</v>
      </c>
      <c r="G1332" s="4">
        <v>194064.09899999999</v>
      </c>
      <c r="H1332" s="5">
        <f>0 / 86400</f>
        <v>0</v>
      </c>
      <c r="I1332" t="s">
        <v>157</v>
      </c>
      <c r="J1332" t="s">
        <v>77</v>
      </c>
      <c r="K1332" s="5">
        <f>88 / 86400</f>
        <v>1.0185185185185184E-3</v>
      </c>
      <c r="L1332" s="5">
        <f>14855 / 86400</f>
        <v>0.17193287037037036</v>
      </c>
    </row>
    <row r="1333" spans="1:12" x14ac:dyDescent="0.25">
      <c r="A1333" s="12"/>
      <c r="B1333" s="12"/>
      <c r="C1333" s="12"/>
      <c r="D1333" s="12"/>
      <c r="E1333" s="12"/>
      <c r="F1333" s="12"/>
      <c r="G1333" s="12"/>
      <c r="H1333" s="12"/>
      <c r="I1333" s="12"/>
      <c r="J1333" s="12"/>
    </row>
    <row r="1334" spans="1:12" x14ac:dyDescent="0.25">
      <c r="A1334" s="12"/>
      <c r="B1334" s="12"/>
      <c r="C1334" s="12"/>
      <c r="D1334" s="12"/>
      <c r="E1334" s="12"/>
      <c r="F1334" s="12"/>
      <c r="G1334" s="12"/>
      <c r="H1334" s="12"/>
      <c r="I1334" s="12"/>
      <c r="J1334" s="12"/>
    </row>
    <row r="1335" spans="1:12" s="10" customFormat="1" ht="20.100000000000001" customHeight="1" x14ac:dyDescent="0.35">
      <c r="A1335" s="15" t="s">
        <v>518</v>
      </c>
      <c r="B1335" s="15"/>
      <c r="C1335" s="15"/>
      <c r="D1335" s="15"/>
      <c r="E1335" s="15"/>
      <c r="F1335" s="15"/>
      <c r="G1335" s="15"/>
      <c r="H1335" s="15"/>
      <c r="I1335" s="15"/>
      <c r="J1335" s="15"/>
    </row>
    <row r="1336" spans="1:12" x14ac:dyDescent="0.25">
      <c r="A1336" s="12"/>
      <c r="B1336" s="12"/>
      <c r="C1336" s="12"/>
      <c r="D1336" s="12"/>
      <c r="E1336" s="12"/>
      <c r="F1336" s="12"/>
      <c r="G1336" s="12"/>
      <c r="H1336" s="12"/>
      <c r="I1336" s="12"/>
      <c r="J1336" s="12"/>
    </row>
    <row r="1337" spans="1:12" ht="30" x14ac:dyDescent="0.25">
      <c r="A1337" s="2" t="s">
        <v>6</v>
      </c>
      <c r="B1337" s="2" t="s">
        <v>7</v>
      </c>
      <c r="C1337" s="2" t="s">
        <v>8</v>
      </c>
      <c r="D1337" s="2" t="s">
        <v>9</v>
      </c>
      <c r="E1337" s="2" t="s">
        <v>10</v>
      </c>
      <c r="F1337" s="2" t="s">
        <v>11</v>
      </c>
      <c r="G1337" s="2" t="s">
        <v>12</v>
      </c>
      <c r="H1337" s="2" t="s">
        <v>13</v>
      </c>
      <c r="I1337" s="2" t="s">
        <v>14</v>
      </c>
      <c r="J1337" s="2" t="s">
        <v>15</v>
      </c>
      <c r="K1337" s="2" t="s">
        <v>16</v>
      </c>
      <c r="L1337" s="2" t="s">
        <v>17</v>
      </c>
    </row>
    <row r="1338" spans="1:12" x14ac:dyDescent="0.25">
      <c r="A1338" s="3">
        <v>45714</v>
      </c>
      <c r="B1338" t="s">
        <v>113</v>
      </c>
      <c r="C1338" s="3">
        <v>45714.010266203702</v>
      </c>
      <c r="D1338" t="s">
        <v>89</v>
      </c>
      <c r="E1338" s="4">
        <v>0.17100000011920929</v>
      </c>
      <c r="F1338" s="4">
        <v>525750.62899999996</v>
      </c>
      <c r="G1338" s="4">
        <v>525750.80000000005</v>
      </c>
      <c r="H1338" s="5">
        <f>760 / 86400</f>
        <v>8.7962962962962968E-3</v>
      </c>
      <c r="I1338" t="s">
        <v>31</v>
      </c>
      <c r="J1338" t="s">
        <v>78</v>
      </c>
      <c r="K1338" s="5">
        <f>887 / 86400</f>
        <v>1.0266203703703704E-2</v>
      </c>
      <c r="L1338" s="5">
        <f>17395 / 86400</f>
        <v>0.20133101851851851</v>
      </c>
    </row>
    <row r="1339" spans="1:12" x14ac:dyDescent="0.25">
      <c r="A1339" s="3">
        <v>45714.211597222224</v>
      </c>
      <c r="B1339" t="s">
        <v>89</v>
      </c>
      <c r="C1339" s="3">
        <v>45714.477268518516</v>
      </c>
      <c r="D1339" t="s">
        <v>422</v>
      </c>
      <c r="E1339" s="4">
        <v>102.44499999994039</v>
      </c>
      <c r="F1339" s="4">
        <v>525750.80000000005</v>
      </c>
      <c r="G1339" s="4">
        <v>525853.245</v>
      </c>
      <c r="H1339" s="5">
        <f>9056 / 86400</f>
        <v>0.10481481481481482</v>
      </c>
      <c r="I1339" t="s">
        <v>87</v>
      </c>
      <c r="J1339" t="s">
        <v>28</v>
      </c>
      <c r="K1339" s="5">
        <f>22953 / 86400</f>
        <v>0.26565972222222223</v>
      </c>
      <c r="L1339" s="5">
        <f>1953 / 86400</f>
        <v>2.2604166666666668E-2</v>
      </c>
    </row>
    <row r="1340" spans="1:12" x14ac:dyDescent="0.25">
      <c r="A1340" s="3">
        <v>45714.499872685185</v>
      </c>
      <c r="B1340" t="s">
        <v>422</v>
      </c>
      <c r="C1340" s="3">
        <v>45714.504293981481</v>
      </c>
      <c r="D1340" t="s">
        <v>80</v>
      </c>
      <c r="E1340" s="4">
        <v>0.68700000000000006</v>
      </c>
      <c r="F1340" s="4">
        <v>525853.245</v>
      </c>
      <c r="G1340" s="4">
        <v>525853.93200000003</v>
      </c>
      <c r="H1340" s="5">
        <f>219 / 86400</f>
        <v>2.5347222222222221E-3</v>
      </c>
      <c r="I1340" t="s">
        <v>200</v>
      </c>
      <c r="J1340" t="s">
        <v>135</v>
      </c>
      <c r="K1340" s="5">
        <f>381 / 86400</f>
        <v>4.409722222222222E-3</v>
      </c>
      <c r="L1340" s="5">
        <f>483 / 86400</f>
        <v>5.5902777777777773E-3</v>
      </c>
    </row>
    <row r="1341" spans="1:12" x14ac:dyDescent="0.25">
      <c r="A1341" s="3">
        <v>45714.509884259256</v>
      </c>
      <c r="B1341" t="s">
        <v>80</v>
      </c>
      <c r="C1341" s="3">
        <v>45714.735925925925</v>
      </c>
      <c r="D1341" t="s">
        <v>422</v>
      </c>
      <c r="E1341" s="4">
        <v>92.956999999940393</v>
      </c>
      <c r="F1341" s="4">
        <v>525853.93200000003</v>
      </c>
      <c r="G1341" s="4">
        <v>525946.88899999997</v>
      </c>
      <c r="H1341" s="5">
        <f>7338 / 86400</f>
        <v>8.4930555555555551E-2</v>
      </c>
      <c r="I1341" t="s">
        <v>418</v>
      </c>
      <c r="J1341" t="s">
        <v>61</v>
      </c>
      <c r="K1341" s="5">
        <f>19529 / 86400</f>
        <v>0.2260300925925926</v>
      </c>
      <c r="L1341" s="5">
        <f>681 / 86400</f>
        <v>7.8819444444444449E-3</v>
      </c>
    </row>
    <row r="1342" spans="1:12" x14ac:dyDescent="0.25">
      <c r="A1342" s="3">
        <v>45714.743807870371</v>
      </c>
      <c r="B1342" t="s">
        <v>422</v>
      </c>
      <c r="C1342" s="3">
        <v>45714.745451388888</v>
      </c>
      <c r="D1342" t="s">
        <v>80</v>
      </c>
      <c r="E1342" s="4">
        <v>0.70200000005960461</v>
      </c>
      <c r="F1342" s="4">
        <v>525946.88899999997</v>
      </c>
      <c r="G1342" s="4">
        <v>525947.59100000001</v>
      </c>
      <c r="H1342" s="5">
        <f>0 / 86400</f>
        <v>0</v>
      </c>
      <c r="I1342" t="s">
        <v>288</v>
      </c>
      <c r="J1342" t="s">
        <v>20</v>
      </c>
      <c r="K1342" s="5">
        <f>141 / 86400</f>
        <v>1.6319444444444445E-3</v>
      </c>
      <c r="L1342" s="5">
        <f>250 / 86400</f>
        <v>2.8935185185185184E-3</v>
      </c>
    </row>
    <row r="1343" spans="1:12" x14ac:dyDescent="0.25">
      <c r="A1343" s="3">
        <v>45714.748344907406</v>
      </c>
      <c r="B1343" t="s">
        <v>80</v>
      </c>
      <c r="C1343" s="3">
        <v>45714.748518518521</v>
      </c>
      <c r="D1343" t="s">
        <v>80</v>
      </c>
      <c r="E1343" s="4">
        <v>0</v>
      </c>
      <c r="F1343" s="4">
        <v>525947.59100000001</v>
      </c>
      <c r="G1343" s="4">
        <v>525947.59100000001</v>
      </c>
      <c r="H1343" s="5">
        <f>0 / 86400</f>
        <v>0</v>
      </c>
      <c r="I1343" t="s">
        <v>22</v>
      </c>
      <c r="J1343" t="s">
        <v>22</v>
      </c>
      <c r="K1343" s="5">
        <f>14 / 86400</f>
        <v>1.6203703703703703E-4</v>
      </c>
      <c r="L1343" s="5">
        <f>1078 / 86400</f>
        <v>1.2476851851851852E-2</v>
      </c>
    </row>
    <row r="1344" spans="1:12" x14ac:dyDescent="0.25">
      <c r="A1344" s="3">
        <v>45714.760995370365</v>
      </c>
      <c r="B1344" t="s">
        <v>80</v>
      </c>
      <c r="C1344" s="3">
        <v>45714.762060185181</v>
      </c>
      <c r="D1344" t="s">
        <v>160</v>
      </c>
      <c r="E1344" s="4">
        <v>0.115</v>
      </c>
      <c r="F1344" s="4">
        <v>525947.59100000001</v>
      </c>
      <c r="G1344" s="4">
        <v>525947.70600000001</v>
      </c>
      <c r="H1344" s="5">
        <f>20 / 86400</f>
        <v>2.3148148148148149E-4</v>
      </c>
      <c r="I1344" t="s">
        <v>98</v>
      </c>
      <c r="J1344" t="s">
        <v>77</v>
      </c>
      <c r="K1344" s="5">
        <f>91 / 86400</f>
        <v>1.0532407407407407E-3</v>
      </c>
      <c r="L1344" s="5">
        <f>183 / 86400</f>
        <v>2.1180555555555558E-3</v>
      </c>
    </row>
    <row r="1345" spans="1:12" x14ac:dyDescent="0.25">
      <c r="A1345" s="3">
        <v>45714.764178240745</v>
      </c>
      <c r="B1345" t="s">
        <v>80</v>
      </c>
      <c r="C1345" s="3">
        <v>45714.767245370371</v>
      </c>
      <c r="D1345" t="s">
        <v>89</v>
      </c>
      <c r="E1345" s="4">
        <v>0.105</v>
      </c>
      <c r="F1345" s="4">
        <v>525947.70600000001</v>
      </c>
      <c r="G1345" s="4">
        <v>525947.81099999999</v>
      </c>
      <c r="H1345" s="5">
        <f>119 / 86400</f>
        <v>1.3773148148148147E-3</v>
      </c>
      <c r="I1345" t="s">
        <v>31</v>
      </c>
      <c r="J1345" t="s">
        <v>78</v>
      </c>
      <c r="K1345" s="5">
        <f>265 / 86400</f>
        <v>3.0671296296296297E-3</v>
      </c>
      <c r="L1345" s="5">
        <f>5065 / 86400</f>
        <v>5.8622685185185187E-2</v>
      </c>
    </row>
    <row r="1346" spans="1:12" x14ac:dyDescent="0.25">
      <c r="A1346" s="3">
        <v>45714.825868055559</v>
      </c>
      <c r="B1346" t="s">
        <v>89</v>
      </c>
      <c r="C1346" s="3">
        <v>45714.827534722222</v>
      </c>
      <c r="D1346" t="s">
        <v>89</v>
      </c>
      <c r="E1346" s="4">
        <v>3.5999999940395357E-2</v>
      </c>
      <c r="F1346" s="4">
        <v>525947.81099999999</v>
      </c>
      <c r="G1346" s="4">
        <v>525947.84699999995</v>
      </c>
      <c r="H1346" s="5">
        <f>80 / 86400</f>
        <v>9.2592592592592596E-4</v>
      </c>
      <c r="I1346" t="s">
        <v>152</v>
      </c>
      <c r="J1346" t="s">
        <v>78</v>
      </c>
      <c r="K1346" s="5">
        <f>143 / 86400</f>
        <v>1.6550925925925926E-3</v>
      </c>
      <c r="L1346" s="5">
        <f>3 / 86400</f>
        <v>3.4722222222222222E-5</v>
      </c>
    </row>
    <row r="1347" spans="1:12" x14ac:dyDescent="0.25">
      <c r="A1347" s="3">
        <v>45714.827569444446</v>
      </c>
      <c r="B1347" t="s">
        <v>89</v>
      </c>
      <c r="C1347" s="3">
        <v>45714.827638888892</v>
      </c>
      <c r="D1347" t="s">
        <v>89</v>
      </c>
      <c r="E1347" s="4">
        <v>0</v>
      </c>
      <c r="F1347" s="4">
        <v>525947.84699999995</v>
      </c>
      <c r="G1347" s="4">
        <v>525947.84699999995</v>
      </c>
      <c r="H1347" s="5">
        <f>0 / 86400</f>
        <v>0</v>
      </c>
      <c r="I1347" t="s">
        <v>22</v>
      </c>
      <c r="J1347" t="s">
        <v>22</v>
      </c>
      <c r="K1347" s="5">
        <f>6 / 86400</f>
        <v>6.9444444444444444E-5</v>
      </c>
      <c r="L1347" s="5">
        <f>14891 / 86400</f>
        <v>0.17234953703703704</v>
      </c>
    </row>
    <row r="1348" spans="1:12" x14ac:dyDescent="0.25">
      <c r="A1348" s="12"/>
      <c r="B1348" s="12"/>
      <c r="C1348" s="12"/>
      <c r="D1348" s="12"/>
      <c r="E1348" s="12"/>
      <c r="F1348" s="12"/>
      <c r="G1348" s="12"/>
      <c r="H1348" s="12"/>
      <c r="I1348" s="12"/>
      <c r="J1348" s="12"/>
    </row>
    <row r="1349" spans="1:12" x14ac:dyDescent="0.25">
      <c r="A1349" s="12"/>
      <c r="B1349" s="12"/>
      <c r="C1349" s="12"/>
      <c r="D1349" s="12"/>
      <c r="E1349" s="12"/>
      <c r="F1349" s="12"/>
      <c r="G1349" s="12"/>
      <c r="H1349" s="12"/>
      <c r="I1349" s="12"/>
      <c r="J1349" s="12"/>
    </row>
    <row r="1350" spans="1:12" s="10" customFormat="1" ht="20.100000000000001" customHeight="1" x14ac:dyDescent="0.35">
      <c r="A1350" s="15" t="s">
        <v>519</v>
      </c>
      <c r="B1350" s="15"/>
      <c r="C1350" s="15"/>
      <c r="D1350" s="15"/>
      <c r="E1350" s="15"/>
      <c r="F1350" s="15"/>
      <c r="G1350" s="15"/>
      <c r="H1350" s="15"/>
      <c r="I1350" s="15"/>
      <c r="J1350" s="15"/>
    </row>
    <row r="1351" spans="1:12" x14ac:dyDescent="0.25">
      <c r="A1351" s="12"/>
      <c r="B1351" s="12"/>
      <c r="C1351" s="12"/>
      <c r="D1351" s="12"/>
      <c r="E1351" s="12"/>
      <c r="F1351" s="12"/>
      <c r="G1351" s="12"/>
      <c r="H1351" s="12"/>
      <c r="I1351" s="12"/>
      <c r="J1351" s="12"/>
    </row>
    <row r="1352" spans="1:12" ht="30" x14ac:dyDescent="0.25">
      <c r="A1352" s="2" t="s">
        <v>6</v>
      </c>
      <c r="B1352" s="2" t="s">
        <v>7</v>
      </c>
      <c r="C1352" s="2" t="s">
        <v>8</v>
      </c>
      <c r="D1352" s="2" t="s">
        <v>9</v>
      </c>
      <c r="E1352" s="2" t="s">
        <v>10</v>
      </c>
      <c r="F1352" s="2" t="s">
        <v>11</v>
      </c>
      <c r="G1352" s="2" t="s">
        <v>12</v>
      </c>
      <c r="H1352" s="2" t="s">
        <v>13</v>
      </c>
      <c r="I1352" s="2" t="s">
        <v>14</v>
      </c>
      <c r="J1352" s="2" t="s">
        <v>15</v>
      </c>
      <c r="K1352" s="2" t="s">
        <v>16</v>
      </c>
      <c r="L1352" s="2" t="s">
        <v>17</v>
      </c>
    </row>
    <row r="1353" spans="1:12" x14ac:dyDescent="0.25">
      <c r="A1353" s="3">
        <v>45714.148472222223</v>
      </c>
      <c r="B1353" t="s">
        <v>114</v>
      </c>
      <c r="C1353" s="3">
        <v>45714.40861111111</v>
      </c>
      <c r="D1353" t="s">
        <v>74</v>
      </c>
      <c r="E1353" s="4">
        <v>141.137</v>
      </c>
      <c r="F1353" s="4">
        <v>25342.528999999999</v>
      </c>
      <c r="G1353" s="4">
        <v>25483.666000000001</v>
      </c>
      <c r="H1353" s="5">
        <f>4719 / 86400</f>
        <v>5.4618055555555559E-2</v>
      </c>
      <c r="I1353" t="s">
        <v>115</v>
      </c>
      <c r="J1353" t="s">
        <v>134</v>
      </c>
      <c r="K1353" s="5">
        <f>22475 / 86400</f>
        <v>0.26012731481481483</v>
      </c>
      <c r="L1353" s="5">
        <f>13945 / 86400</f>
        <v>0.16140046296296295</v>
      </c>
    </row>
    <row r="1354" spans="1:12" x14ac:dyDescent="0.25">
      <c r="A1354" s="3">
        <v>45714.421539351853</v>
      </c>
      <c r="B1354" t="s">
        <v>74</v>
      </c>
      <c r="C1354" s="3">
        <v>45714.515104166669</v>
      </c>
      <c r="D1354" t="s">
        <v>80</v>
      </c>
      <c r="E1354" s="4">
        <v>39.430999999999997</v>
      </c>
      <c r="F1354" s="4">
        <v>25483.666000000001</v>
      </c>
      <c r="G1354" s="4">
        <v>25523.097000000002</v>
      </c>
      <c r="H1354" s="5">
        <f>2420 / 86400</f>
        <v>2.8009259259259258E-2</v>
      </c>
      <c r="I1354" t="s">
        <v>85</v>
      </c>
      <c r="J1354" t="s">
        <v>20</v>
      </c>
      <c r="K1354" s="5">
        <f>8083 / 86400</f>
        <v>9.3553240740740742E-2</v>
      </c>
      <c r="L1354" s="5">
        <f>427 / 86400</f>
        <v>4.9421296296296297E-3</v>
      </c>
    </row>
    <row r="1355" spans="1:12" x14ac:dyDescent="0.25">
      <c r="A1355" s="3">
        <v>45714.520046296297</v>
      </c>
      <c r="B1355" t="s">
        <v>80</v>
      </c>
      <c r="C1355" s="3">
        <v>45714.522025462968</v>
      </c>
      <c r="D1355" t="s">
        <v>450</v>
      </c>
      <c r="E1355" s="4">
        <v>0.22900000000000001</v>
      </c>
      <c r="F1355" s="4">
        <v>25523.097000000002</v>
      </c>
      <c r="G1355" s="4">
        <v>25523.326000000001</v>
      </c>
      <c r="H1355" s="5">
        <f>99 / 86400</f>
        <v>1.1458333333333333E-3</v>
      </c>
      <c r="I1355" t="s">
        <v>134</v>
      </c>
      <c r="J1355" t="s">
        <v>77</v>
      </c>
      <c r="K1355" s="5">
        <f>171 / 86400</f>
        <v>1.9791666666666668E-3</v>
      </c>
      <c r="L1355" s="5">
        <f>60 / 86400</f>
        <v>6.9444444444444447E-4</v>
      </c>
    </row>
    <row r="1356" spans="1:12" x14ac:dyDescent="0.25">
      <c r="A1356" s="3">
        <v>45714.522719907407</v>
      </c>
      <c r="B1356" t="s">
        <v>450</v>
      </c>
      <c r="C1356" s="3">
        <v>45714.523993055554</v>
      </c>
      <c r="D1356" t="s">
        <v>450</v>
      </c>
      <c r="E1356" s="4">
        <v>2.1999999999999999E-2</v>
      </c>
      <c r="F1356" s="4">
        <v>25523.326000000001</v>
      </c>
      <c r="G1356" s="4">
        <v>25523.348000000002</v>
      </c>
      <c r="H1356" s="5">
        <f>79 / 86400</f>
        <v>9.1435185185185185E-4</v>
      </c>
      <c r="I1356" t="s">
        <v>77</v>
      </c>
      <c r="J1356" t="s">
        <v>78</v>
      </c>
      <c r="K1356" s="5">
        <f>109 / 86400</f>
        <v>1.261574074074074E-3</v>
      </c>
      <c r="L1356" s="5">
        <f>9990 / 86400</f>
        <v>0.11562500000000001</v>
      </c>
    </row>
    <row r="1357" spans="1:12" x14ac:dyDescent="0.25">
      <c r="A1357" s="3">
        <v>45714.63961805556</v>
      </c>
      <c r="B1357" t="s">
        <v>450</v>
      </c>
      <c r="C1357" s="3">
        <v>45714.641736111109</v>
      </c>
      <c r="D1357" t="s">
        <v>89</v>
      </c>
      <c r="E1357" s="4">
        <v>5.2999999999999999E-2</v>
      </c>
      <c r="F1357" s="4">
        <v>25523.348000000002</v>
      </c>
      <c r="G1357" s="4">
        <v>25523.401000000002</v>
      </c>
      <c r="H1357" s="5">
        <f>119 / 86400</f>
        <v>1.3773148148148147E-3</v>
      </c>
      <c r="I1357" t="s">
        <v>147</v>
      </c>
      <c r="J1357" t="s">
        <v>78</v>
      </c>
      <c r="K1357" s="5">
        <f>183 / 86400</f>
        <v>2.1180555555555558E-3</v>
      </c>
      <c r="L1357" s="5">
        <f>3611 / 86400</f>
        <v>4.1793981481481481E-2</v>
      </c>
    </row>
    <row r="1358" spans="1:12" x14ac:dyDescent="0.25">
      <c r="A1358" s="3">
        <v>45714.683530092589</v>
      </c>
      <c r="B1358" t="s">
        <v>89</v>
      </c>
      <c r="C1358" s="3">
        <v>45714.686377314814</v>
      </c>
      <c r="D1358" t="s">
        <v>322</v>
      </c>
      <c r="E1358" s="4">
        <v>5.5E-2</v>
      </c>
      <c r="F1358" s="4">
        <v>25523.401000000002</v>
      </c>
      <c r="G1358" s="4">
        <v>25523.455999999998</v>
      </c>
      <c r="H1358" s="5">
        <f>159 / 86400</f>
        <v>1.8402777777777777E-3</v>
      </c>
      <c r="I1358" t="s">
        <v>135</v>
      </c>
      <c r="J1358" t="s">
        <v>78</v>
      </c>
      <c r="K1358" s="5">
        <f>245 / 86400</f>
        <v>2.8356481481481483E-3</v>
      </c>
      <c r="L1358" s="5">
        <f>135 / 86400</f>
        <v>1.5625000000000001E-3</v>
      </c>
    </row>
    <row r="1359" spans="1:12" x14ac:dyDescent="0.25">
      <c r="A1359" s="3">
        <v>45714.687939814816</v>
      </c>
      <c r="B1359" t="s">
        <v>322</v>
      </c>
      <c r="C1359" s="3">
        <v>45714.723726851851</v>
      </c>
      <c r="D1359" t="s">
        <v>114</v>
      </c>
      <c r="E1359" s="4">
        <v>11.023999999999999</v>
      </c>
      <c r="F1359" s="4">
        <v>25523.455999999998</v>
      </c>
      <c r="G1359" s="4">
        <v>25534.48</v>
      </c>
      <c r="H1359" s="5">
        <f>1038 / 86400</f>
        <v>1.2013888888888888E-2</v>
      </c>
      <c r="I1359" t="s">
        <v>148</v>
      </c>
      <c r="J1359" t="s">
        <v>42</v>
      </c>
      <c r="K1359" s="5">
        <f>3092 / 86400</f>
        <v>3.5787037037037034E-2</v>
      </c>
      <c r="L1359" s="5">
        <f>23869 / 86400</f>
        <v>0.27626157407407409</v>
      </c>
    </row>
    <row r="1360" spans="1:12" x14ac:dyDescent="0.25">
      <c r="A1360" s="12"/>
      <c r="B1360" s="12"/>
      <c r="C1360" s="12"/>
      <c r="D1360" s="12"/>
      <c r="E1360" s="12"/>
      <c r="F1360" s="12"/>
      <c r="G1360" s="12"/>
      <c r="H1360" s="12"/>
      <c r="I1360" s="12"/>
      <c r="J1360" s="12"/>
    </row>
    <row r="1361" spans="1:12" x14ac:dyDescent="0.25">
      <c r="A1361" s="12"/>
      <c r="B1361" s="12"/>
      <c r="C1361" s="12"/>
      <c r="D1361" s="12"/>
      <c r="E1361" s="12"/>
      <c r="F1361" s="12"/>
      <c r="G1361" s="12"/>
      <c r="H1361" s="12"/>
      <c r="I1361" s="12"/>
      <c r="J1361" s="12"/>
    </row>
    <row r="1362" spans="1:12" s="10" customFormat="1" ht="20.100000000000001" customHeight="1" x14ac:dyDescent="0.35">
      <c r="A1362" s="15" t="s">
        <v>520</v>
      </c>
      <c r="B1362" s="15"/>
      <c r="C1362" s="15"/>
      <c r="D1362" s="15"/>
      <c r="E1362" s="15"/>
      <c r="F1362" s="15"/>
      <c r="G1362" s="15"/>
      <c r="H1362" s="15"/>
      <c r="I1362" s="15"/>
      <c r="J1362" s="15"/>
    </row>
    <row r="1363" spans="1:12" x14ac:dyDescent="0.25">
      <c r="A1363" s="12"/>
      <c r="B1363" s="12"/>
      <c r="C1363" s="12"/>
      <c r="D1363" s="12"/>
      <c r="E1363" s="12"/>
      <c r="F1363" s="12"/>
      <c r="G1363" s="12"/>
      <c r="H1363" s="12"/>
      <c r="I1363" s="12"/>
      <c r="J1363" s="12"/>
    </row>
    <row r="1364" spans="1:12" ht="30" x14ac:dyDescent="0.25">
      <c r="A1364" s="2" t="s">
        <v>6</v>
      </c>
      <c r="B1364" s="2" t="s">
        <v>7</v>
      </c>
      <c r="C1364" s="2" t="s">
        <v>8</v>
      </c>
      <c r="D1364" s="2" t="s">
        <v>9</v>
      </c>
      <c r="E1364" s="2" t="s">
        <v>10</v>
      </c>
      <c r="F1364" s="2" t="s">
        <v>11</v>
      </c>
      <c r="G1364" s="2" t="s">
        <v>12</v>
      </c>
      <c r="H1364" s="2" t="s">
        <v>13</v>
      </c>
      <c r="I1364" s="2" t="s">
        <v>14</v>
      </c>
      <c r="J1364" s="2" t="s">
        <v>15</v>
      </c>
      <c r="K1364" s="2" t="s">
        <v>16</v>
      </c>
      <c r="L1364" s="2" t="s">
        <v>17</v>
      </c>
    </row>
    <row r="1365" spans="1:12" x14ac:dyDescent="0.25">
      <c r="A1365" s="3">
        <v>45714.213449074072</v>
      </c>
      <c r="B1365" t="s">
        <v>59</v>
      </c>
      <c r="C1365" s="3">
        <v>45714.219918981486</v>
      </c>
      <c r="D1365" t="s">
        <v>144</v>
      </c>
      <c r="E1365" s="4">
        <v>0.3850000000074506</v>
      </c>
      <c r="F1365" s="4">
        <v>66428.626999999993</v>
      </c>
      <c r="G1365" s="4">
        <v>66429.012000000002</v>
      </c>
      <c r="H1365" s="5">
        <f>459 / 86400</f>
        <v>5.3125000000000004E-3</v>
      </c>
      <c r="I1365" t="s">
        <v>220</v>
      </c>
      <c r="J1365" t="s">
        <v>32</v>
      </c>
      <c r="K1365" s="5">
        <f>559 / 86400</f>
        <v>6.4699074074074077E-3</v>
      </c>
      <c r="L1365" s="5">
        <f>18530 / 86400</f>
        <v>0.2144675925925926</v>
      </c>
    </row>
    <row r="1366" spans="1:12" x14ac:dyDescent="0.25">
      <c r="A1366" s="3">
        <v>45714.220937499995</v>
      </c>
      <c r="B1366" t="s">
        <v>144</v>
      </c>
      <c r="C1366" s="3">
        <v>45714.221157407403</v>
      </c>
      <c r="D1366" t="s">
        <v>144</v>
      </c>
      <c r="E1366" s="4">
        <v>4.0000000000000001E-3</v>
      </c>
      <c r="F1366" s="4">
        <v>66429.012000000002</v>
      </c>
      <c r="G1366" s="4">
        <v>66429.016000000003</v>
      </c>
      <c r="H1366" s="5">
        <f>0 / 86400</f>
        <v>0</v>
      </c>
      <c r="I1366" t="s">
        <v>22</v>
      </c>
      <c r="J1366" t="s">
        <v>78</v>
      </c>
      <c r="K1366" s="5">
        <f>18 / 86400</f>
        <v>2.0833333333333335E-4</v>
      </c>
      <c r="L1366" s="5">
        <f>247 / 86400</f>
        <v>2.8587962962962963E-3</v>
      </c>
    </row>
    <row r="1367" spans="1:12" x14ac:dyDescent="0.25">
      <c r="A1367" s="3">
        <v>45714.224016203705</v>
      </c>
      <c r="B1367" t="s">
        <v>144</v>
      </c>
      <c r="C1367" s="3">
        <v>45714.224305555559</v>
      </c>
      <c r="D1367" t="s">
        <v>144</v>
      </c>
      <c r="E1367" s="4">
        <v>7.0000000000000001E-3</v>
      </c>
      <c r="F1367" s="4">
        <v>66429.016000000003</v>
      </c>
      <c r="G1367" s="4">
        <v>66429.023000000001</v>
      </c>
      <c r="H1367" s="5">
        <f>19 / 86400</f>
        <v>2.199074074074074E-4</v>
      </c>
      <c r="I1367" t="s">
        <v>22</v>
      </c>
      <c r="J1367" t="s">
        <v>78</v>
      </c>
      <c r="K1367" s="5">
        <f>25 / 86400</f>
        <v>2.8935185185185184E-4</v>
      </c>
      <c r="L1367" s="5">
        <f>236 / 86400</f>
        <v>2.7314814814814814E-3</v>
      </c>
    </row>
    <row r="1368" spans="1:12" x14ac:dyDescent="0.25">
      <c r="A1368" s="3">
        <v>45714.227037037039</v>
      </c>
      <c r="B1368" t="s">
        <v>144</v>
      </c>
      <c r="C1368" s="3">
        <v>45714.433530092589</v>
      </c>
      <c r="D1368" t="s">
        <v>80</v>
      </c>
      <c r="E1368" s="4">
        <v>80.075000000000003</v>
      </c>
      <c r="F1368" s="4">
        <v>66429.023000000001</v>
      </c>
      <c r="G1368" s="4">
        <v>66509.097999999998</v>
      </c>
      <c r="H1368" s="5">
        <f>6339 / 86400</f>
        <v>7.3368055555555561E-2</v>
      </c>
      <c r="I1368" t="s">
        <v>27</v>
      </c>
      <c r="J1368" t="s">
        <v>28</v>
      </c>
      <c r="K1368" s="5">
        <f>17840 / 86400</f>
        <v>0.20648148148148149</v>
      </c>
      <c r="L1368" s="5">
        <f>225 / 86400</f>
        <v>2.6041666666666665E-3</v>
      </c>
    </row>
    <row r="1369" spans="1:12" x14ac:dyDescent="0.25">
      <c r="A1369" s="3">
        <v>45714.43613425926</v>
      </c>
      <c r="B1369" t="s">
        <v>80</v>
      </c>
      <c r="C1369" s="3">
        <v>45714.436608796299</v>
      </c>
      <c r="D1369" t="s">
        <v>80</v>
      </c>
      <c r="E1369" s="4">
        <v>1.700000000745058E-2</v>
      </c>
      <c r="F1369" s="4">
        <v>66509.097999999998</v>
      </c>
      <c r="G1369" s="4">
        <v>66509.115000000005</v>
      </c>
      <c r="H1369" s="5">
        <f>0 / 86400</f>
        <v>0</v>
      </c>
      <c r="I1369" t="s">
        <v>77</v>
      </c>
      <c r="J1369" t="s">
        <v>32</v>
      </c>
      <c r="K1369" s="5">
        <f>40 / 86400</f>
        <v>4.6296296296296298E-4</v>
      </c>
      <c r="L1369" s="5">
        <f>2017 / 86400</f>
        <v>2.3344907407407408E-2</v>
      </c>
    </row>
    <row r="1370" spans="1:12" x14ac:dyDescent="0.25">
      <c r="A1370" s="3">
        <v>45714.459953703699</v>
      </c>
      <c r="B1370" t="s">
        <v>80</v>
      </c>
      <c r="C1370" s="3">
        <v>45714.464861111112</v>
      </c>
      <c r="D1370" t="s">
        <v>163</v>
      </c>
      <c r="E1370" s="4">
        <v>1.3839999999850989</v>
      </c>
      <c r="F1370" s="4">
        <v>66509.115000000005</v>
      </c>
      <c r="G1370" s="4">
        <v>66510.498999999996</v>
      </c>
      <c r="H1370" s="5">
        <f>59 / 86400</f>
        <v>6.8287037037037036E-4</v>
      </c>
      <c r="I1370" t="s">
        <v>181</v>
      </c>
      <c r="J1370" t="s">
        <v>98</v>
      </c>
      <c r="K1370" s="5">
        <f>423 / 86400</f>
        <v>4.8958333333333336E-3</v>
      </c>
      <c r="L1370" s="5">
        <f>1671 / 86400</f>
        <v>1.9340277777777779E-2</v>
      </c>
    </row>
    <row r="1371" spans="1:12" x14ac:dyDescent="0.25">
      <c r="A1371" s="3">
        <v>45714.484201388885</v>
      </c>
      <c r="B1371" t="s">
        <v>163</v>
      </c>
      <c r="C1371" s="3">
        <v>45714.783518518518</v>
      </c>
      <c r="D1371" t="s">
        <v>59</v>
      </c>
      <c r="E1371" s="4">
        <v>134.87300000000744</v>
      </c>
      <c r="F1371" s="4">
        <v>66510.498999999996</v>
      </c>
      <c r="G1371" s="4">
        <v>66645.372000000003</v>
      </c>
      <c r="H1371" s="5">
        <f>8180 / 86400</f>
        <v>9.4675925925925927E-2</v>
      </c>
      <c r="I1371" t="s">
        <v>33</v>
      </c>
      <c r="J1371" t="s">
        <v>25</v>
      </c>
      <c r="K1371" s="5">
        <f>25861 / 86400</f>
        <v>0.29931712962962964</v>
      </c>
      <c r="L1371" s="5">
        <f>303 / 86400</f>
        <v>3.5069444444444445E-3</v>
      </c>
    </row>
    <row r="1372" spans="1:12" x14ac:dyDescent="0.25">
      <c r="A1372" s="3">
        <v>45714.787025462967</v>
      </c>
      <c r="B1372" t="s">
        <v>59</v>
      </c>
      <c r="C1372" s="3">
        <v>45714.790868055556</v>
      </c>
      <c r="D1372" t="s">
        <v>59</v>
      </c>
      <c r="E1372" s="4">
        <v>1.3779999999999999</v>
      </c>
      <c r="F1372" s="4">
        <v>66645.372000000003</v>
      </c>
      <c r="G1372" s="4">
        <v>66646.75</v>
      </c>
      <c r="H1372" s="5">
        <f>140 / 86400</f>
        <v>1.6203703703703703E-3</v>
      </c>
      <c r="I1372" t="s">
        <v>117</v>
      </c>
      <c r="J1372" t="s">
        <v>46</v>
      </c>
      <c r="K1372" s="5">
        <f>332 / 86400</f>
        <v>3.8425925925925928E-3</v>
      </c>
      <c r="L1372" s="5">
        <f>18068 / 86400</f>
        <v>0.20912037037037037</v>
      </c>
    </row>
    <row r="1373" spans="1:12" x14ac:dyDescent="0.25">
      <c r="A1373" s="12"/>
      <c r="B1373" s="12"/>
      <c r="C1373" s="12"/>
      <c r="D1373" s="12"/>
      <c r="E1373" s="12"/>
      <c r="F1373" s="12"/>
      <c r="G1373" s="12"/>
      <c r="H1373" s="12"/>
      <c r="I1373" s="12"/>
      <c r="J1373" s="12"/>
    </row>
    <row r="1374" spans="1:12" x14ac:dyDescent="0.25">
      <c r="A1374" s="12"/>
      <c r="B1374" s="12"/>
      <c r="C1374" s="12"/>
      <c r="D1374" s="12"/>
      <c r="E1374" s="12"/>
      <c r="F1374" s="12"/>
      <c r="G1374" s="12"/>
      <c r="H1374" s="12"/>
      <c r="I1374" s="12"/>
      <c r="J1374" s="12"/>
    </row>
    <row r="1375" spans="1:12" s="10" customFormat="1" ht="20.100000000000001" customHeight="1" x14ac:dyDescent="0.35">
      <c r="A1375" s="15" t="s">
        <v>521</v>
      </c>
      <c r="B1375" s="15"/>
      <c r="C1375" s="15"/>
      <c r="D1375" s="15"/>
      <c r="E1375" s="15"/>
      <c r="F1375" s="15"/>
      <c r="G1375" s="15"/>
      <c r="H1375" s="15"/>
      <c r="I1375" s="15"/>
      <c r="J1375" s="15"/>
    </row>
    <row r="1376" spans="1:12" x14ac:dyDescent="0.25">
      <c r="A1376" s="12"/>
      <c r="B1376" s="12"/>
      <c r="C1376" s="12"/>
      <c r="D1376" s="12"/>
      <c r="E1376" s="12"/>
      <c r="F1376" s="12"/>
      <c r="G1376" s="12"/>
      <c r="H1376" s="12"/>
      <c r="I1376" s="12"/>
      <c r="J1376" s="12"/>
    </row>
    <row r="1377" spans="1:12" ht="30" x14ac:dyDescent="0.25">
      <c r="A1377" s="2" t="s">
        <v>6</v>
      </c>
      <c r="B1377" s="2" t="s">
        <v>7</v>
      </c>
      <c r="C1377" s="2" t="s">
        <v>8</v>
      </c>
      <c r="D1377" s="2" t="s">
        <v>9</v>
      </c>
      <c r="E1377" s="2" t="s">
        <v>10</v>
      </c>
      <c r="F1377" s="2" t="s">
        <v>11</v>
      </c>
      <c r="G1377" s="2" t="s">
        <v>12</v>
      </c>
      <c r="H1377" s="2" t="s">
        <v>13</v>
      </c>
      <c r="I1377" s="2" t="s">
        <v>14</v>
      </c>
      <c r="J1377" s="2" t="s">
        <v>15</v>
      </c>
      <c r="K1377" s="2" t="s">
        <v>16</v>
      </c>
      <c r="L1377" s="2" t="s">
        <v>17</v>
      </c>
    </row>
    <row r="1378" spans="1:12" x14ac:dyDescent="0.25">
      <c r="A1378" s="3">
        <v>45714.262731481482</v>
      </c>
      <c r="B1378" t="s">
        <v>18</v>
      </c>
      <c r="C1378" s="3">
        <v>45714.337118055555</v>
      </c>
      <c r="D1378" t="s">
        <v>130</v>
      </c>
      <c r="E1378" s="4">
        <v>35.253</v>
      </c>
      <c r="F1378" s="4">
        <v>6325.2209999999995</v>
      </c>
      <c r="G1378" s="4">
        <v>6360.4740000000002</v>
      </c>
      <c r="H1378" s="5">
        <f>1599 / 86400</f>
        <v>1.8506944444444444E-2</v>
      </c>
      <c r="I1378" t="s">
        <v>167</v>
      </c>
      <c r="J1378" t="s">
        <v>64</v>
      </c>
      <c r="K1378" s="5">
        <f>6426 / 86400</f>
        <v>7.4374999999999997E-2</v>
      </c>
      <c r="L1378" s="5">
        <f>23144 / 86400</f>
        <v>0.26787037037037037</v>
      </c>
    </row>
    <row r="1379" spans="1:12" x14ac:dyDescent="0.25">
      <c r="A1379" s="3">
        <v>45714.342256944445</v>
      </c>
      <c r="B1379" t="s">
        <v>130</v>
      </c>
      <c r="C1379" s="3">
        <v>45714.343518518523</v>
      </c>
      <c r="D1379" t="s">
        <v>130</v>
      </c>
      <c r="E1379" s="4">
        <v>2.4E-2</v>
      </c>
      <c r="F1379" s="4">
        <v>6360.4740000000002</v>
      </c>
      <c r="G1379" s="4">
        <v>6360.4979999999996</v>
      </c>
      <c r="H1379" s="5">
        <f>79 / 86400</f>
        <v>9.1435185185185185E-4</v>
      </c>
      <c r="I1379" t="s">
        <v>147</v>
      </c>
      <c r="J1379" t="s">
        <v>78</v>
      </c>
      <c r="K1379" s="5">
        <f>108 / 86400</f>
        <v>1.25E-3</v>
      </c>
      <c r="L1379" s="5">
        <f>57 / 86400</f>
        <v>6.5972222222222224E-4</v>
      </c>
    </row>
    <row r="1380" spans="1:12" x14ac:dyDescent="0.25">
      <c r="A1380" s="3">
        <v>45714.344178240739</v>
      </c>
      <c r="B1380" t="s">
        <v>130</v>
      </c>
      <c r="C1380" s="3">
        <v>45714.59579861111</v>
      </c>
      <c r="D1380" t="s">
        <v>422</v>
      </c>
      <c r="E1380" s="4">
        <v>101.152</v>
      </c>
      <c r="F1380" s="4">
        <v>6360.4979999999996</v>
      </c>
      <c r="G1380" s="4">
        <v>6461.65</v>
      </c>
      <c r="H1380" s="5">
        <f>6581 / 86400</f>
        <v>7.6168981481481476E-2</v>
      </c>
      <c r="I1380" t="s">
        <v>183</v>
      </c>
      <c r="J1380" t="s">
        <v>61</v>
      </c>
      <c r="K1380" s="5">
        <f>21740 / 86400</f>
        <v>0.25162037037037038</v>
      </c>
      <c r="L1380" s="5">
        <f>1765 / 86400</f>
        <v>2.042824074074074E-2</v>
      </c>
    </row>
    <row r="1381" spans="1:12" x14ac:dyDescent="0.25">
      <c r="A1381" s="3">
        <v>45714.616226851853</v>
      </c>
      <c r="B1381" t="s">
        <v>422</v>
      </c>
      <c r="C1381" s="3">
        <v>45714.616851851853</v>
      </c>
      <c r="D1381" t="s">
        <v>422</v>
      </c>
      <c r="E1381" s="4">
        <v>1.6E-2</v>
      </c>
      <c r="F1381" s="4">
        <v>6461.65</v>
      </c>
      <c r="G1381" s="4">
        <v>6461.6660000000002</v>
      </c>
      <c r="H1381" s="5">
        <f>39 / 86400</f>
        <v>4.5138888888888887E-4</v>
      </c>
      <c r="I1381" t="s">
        <v>135</v>
      </c>
      <c r="J1381" t="s">
        <v>78</v>
      </c>
      <c r="K1381" s="5">
        <f>53 / 86400</f>
        <v>6.134259259259259E-4</v>
      </c>
      <c r="L1381" s="5">
        <f>351 / 86400</f>
        <v>4.0625000000000001E-3</v>
      </c>
    </row>
    <row r="1382" spans="1:12" x14ac:dyDescent="0.25">
      <c r="A1382" s="3">
        <v>45714.62091435185</v>
      </c>
      <c r="B1382" t="s">
        <v>422</v>
      </c>
      <c r="C1382" s="3">
        <v>45714.624305555553</v>
      </c>
      <c r="D1382" t="s">
        <v>80</v>
      </c>
      <c r="E1382" s="4">
        <v>1.089</v>
      </c>
      <c r="F1382" s="4">
        <v>6461.6660000000002</v>
      </c>
      <c r="G1382" s="4">
        <v>6462.7550000000001</v>
      </c>
      <c r="H1382" s="5">
        <f>99 / 86400</f>
        <v>1.1458333333333333E-3</v>
      </c>
      <c r="I1382" t="s">
        <v>174</v>
      </c>
      <c r="J1382" t="s">
        <v>42</v>
      </c>
      <c r="K1382" s="5">
        <f>293 / 86400</f>
        <v>3.3912037037037036E-3</v>
      </c>
      <c r="L1382" s="5">
        <f>674 / 86400</f>
        <v>7.8009259259259256E-3</v>
      </c>
    </row>
    <row r="1383" spans="1:12" x14ac:dyDescent="0.25">
      <c r="A1383" s="3">
        <v>45714.632106481484</v>
      </c>
      <c r="B1383" t="s">
        <v>80</v>
      </c>
      <c r="C1383" s="3">
        <v>45714.633101851854</v>
      </c>
      <c r="D1383" t="s">
        <v>113</v>
      </c>
      <c r="E1383" s="4">
        <v>0.24399999999999999</v>
      </c>
      <c r="F1383" s="4">
        <v>6462.7550000000001</v>
      </c>
      <c r="G1383" s="4">
        <v>6462.9989999999998</v>
      </c>
      <c r="H1383" s="5">
        <f>0 / 86400</f>
        <v>0</v>
      </c>
      <c r="I1383" t="s">
        <v>170</v>
      </c>
      <c r="J1383" t="s">
        <v>132</v>
      </c>
      <c r="K1383" s="5">
        <f>86 / 86400</f>
        <v>9.9537037037037042E-4</v>
      </c>
      <c r="L1383" s="5">
        <f>361 / 86400</f>
        <v>4.178240740740741E-3</v>
      </c>
    </row>
    <row r="1384" spans="1:12" x14ac:dyDescent="0.25">
      <c r="A1384" s="3">
        <v>45714.637280092589</v>
      </c>
      <c r="B1384" t="s">
        <v>113</v>
      </c>
      <c r="C1384" s="3">
        <v>45714.640370370369</v>
      </c>
      <c r="D1384" t="s">
        <v>130</v>
      </c>
      <c r="E1384" s="4">
        <v>1.1859999999999999</v>
      </c>
      <c r="F1384" s="4">
        <v>6462.9989999999998</v>
      </c>
      <c r="G1384" s="4">
        <v>6464.1850000000004</v>
      </c>
      <c r="H1384" s="5">
        <f>0 / 86400</f>
        <v>0</v>
      </c>
      <c r="I1384" t="s">
        <v>288</v>
      </c>
      <c r="J1384" t="s">
        <v>28</v>
      </c>
      <c r="K1384" s="5">
        <f>267 / 86400</f>
        <v>3.0902777777777777E-3</v>
      </c>
      <c r="L1384" s="5">
        <f>53 / 86400</f>
        <v>6.134259259259259E-4</v>
      </c>
    </row>
    <row r="1385" spans="1:12" x14ac:dyDescent="0.25">
      <c r="A1385" s="3">
        <v>45714.6409837963</v>
      </c>
      <c r="B1385" t="s">
        <v>130</v>
      </c>
      <c r="C1385" s="3">
        <v>45714.724456018521</v>
      </c>
      <c r="D1385" t="s">
        <v>71</v>
      </c>
      <c r="E1385" s="4">
        <v>35.479999999999997</v>
      </c>
      <c r="F1385" s="4">
        <v>6464.1850000000004</v>
      </c>
      <c r="G1385" s="4">
        <v>6499.665</v>
      </c>
      <c r="H1385" s="5">
        <f>2699 / 86400</f>
        <v>3.1238425925925926E-2</v>
      </c>
      <c r="I1385" t="s">
        <v>116</v>
      </c>
      <c r="J1385" t="s">
        <v>20</v>
      </c>
      <c r="K1385" s="5">
        <f>7212 / 86400</f>
        <v>8.3472222222222225E-2</v>
      </c>
      <c r="L1385" s="5">
        <f>23806 / 86400</f>
        <v>0.27553240740740742</v>
      </c>
    </row>
    <row r="1386" spans="1:12" x14ac:dyDescent="0.25">
      <c r="A1386" s="12"/>
      <c r="B1386" s="12"/>
      <c r="C1386" s="12"/>
      <c r="D1386" s="12"/>
      <c r="E1386" s="12"/>
      <c r="F1386" s="12"/>
      <c r="G1386" s="12"/>
      <c r="H1386" s="12"/>
      <c r="I1386" s="12"/>
      <c r="J1386" s="12"/>
    </row>
    <row r="1387" spans="1:12" x14ac:dyDescent="0.25">
      <c r="A1387" s="12"/>
      <c r="B1387" s="12"/>
      <c r="C1387" s="12"/>
      <c r="D1387" s="12"/>
      <c r="E1387" s="12"/>
      <c r="F1387" s="12"/>
      <c r="G1387" s="12"/>
      <c r="H1387" s="12"/>
      <c r="I1387" s="12"/>
      <c r="J1387" s="12"/>
    </row>
    <row r="1388" spans="1:12" s="10" customFormat="1" ht="20.100000000000001" customHeight="1" x14ac:dyDescent="0.35">
      <c r="A1388" s="15" t="s">
        <v>522</v>
      </c>
      <c r="B1388" s="15"/>
      <c r="C1388" s="15"/>
      <c r="D1388" s="15"/>
      <c r="E1388" s="15"/>
      <c r="F1388" s="15"/>
      <c r="G1388" s="15"/>
      <c r="H1388" s="15"/>
      <c r="I1388" s="15"/>
      <c r="J1388" s="15"/>
    </row>
    <row r="1389" spans="1:12" x14ac:dyDescent="0.25">
      <c r="A1389" s="12"/>
      <c r="B1389" s="12"/>
      <c r="C1389" s="12"/>
      <c r="D1389" s="12"/>
      <c r="E1389" s="12"/>
      <c r="F1389" s="12"/>
      <c r="G1389" s="12"/>
      <c r="H1389" s="12"/>
      <c r="I1389" s="12"/>
      <c r="J1389" s="12"/>
    </row>
    <row r="1390" spans="1:12" ht="30" x14ac:dyDescent="0.25">
      <c r="A1390" s="2" t="s">
        <v>6</v>
      </c>
      <c r="B1390" s="2" t="s">
        <v>7</v>
      </c>
      <c r="C1390" s="2" t="s">
        <v>8</v>
      </c>
      <c r="D1390" s="2" t="s">
        <v>9</v>
      </c>
      <c r="E1390" s="2" t="s">
        <v>10</v>
      </c>
      <c r="F1390" s="2" t="s">
        <v>11</v>
      </c>
      <c r="G1390" s="2" t="s">
        <v>12</v>
      </c>
      <c r="H1390" s="2" t="s">
        <v>13</v>
      </c>
      <c r="I1390" s="2" t="s">
        <v>14</v>
      </c>
      <c r="J1390" s="2" t="s">
        <v>15</v>
      </c>
      <c r="K1390" s="2" t="s">
        <v>16</v>
      </c>
      <c r="L1390" s="2" t="s">
        <v>17</v>
      </c>
    </row>
    <row r="1391" spans="1:12" x14ac:dyDescent="0.25">
      <c r="A1391" s="3">
        <v>45714.311574074076</v>
      </c>
      <c r="B1391" t="s">
        <v>26</v>
      </c>
      <c r="C1391" s="3">
        <v>45714.320115740746</v>
      </c>
      <c r="D1391" t="s">
        <v>23</v>
      </c>
      <c r="E1391" s="4">
        <v>2.915</v>
      </c>
      <c r="F1391" s="4">
        <v>410581.495</v>
      </c>
      <c r="G1391" s="4">
        <v>410584.41</v>
      </c>
      <c r="H1391" s="5">
        <f>179 / 86400</f>
        <v>2.0717592592592593E-3</v>
      </c>
      <c r="I1391" t="s">
        <v>176</v>
      </c>
      <c r="J1391" t="s">
        <v>52</v>
      </c>
      <c r="K1391" s="5">
        <f>737 / 86400</f>
        <v>8.5300925925925926E-3</v>
      </c>
      <c r="L1391" s="5">
        <f>28795 / 86400</f>
        <v>0.33327546296296295</v>
      </c>
    </row>
    <row r="1392" spans="1:12" x14ac:dyDescent="0.25">
      <c r="A1392" s="3">
        <v>45714.341817129629</v>
      </c>
      <c r="B1392" t="s">
        <v>23</v>
      </c>
      <c r="C1392" s="3">
        <v>45714.342557870375</v>
      </c>
      <c r="D1392" t="s">
        <v>23</v>
      </c>
      <c r="E1392" s="4">
        <v>0</v>
      </c>
      <c r="F1392" s="4">
        <v>410584.41</v>
      </c>
      <c r="G1392" s="4">
        <v>410584.41</v>
      </c>
      <c r="H1392" s="5">
        <f>59 / 86400</f>
        <v>6.8287037037037036E-4</v>
      </c>
      <c r="I1392" t="s">
        <v>22</v>
      </c>
      <c r="J1392" t="s">
        <v>22</v>
      </c>
      <c r="K1392" s="5">
        <f>64 / 86400</f>
        <v>7.407407407407407E-4</v>
      </c>
      <c r="L1392" s="5">
        <f>879 / 86400</f>
        <v>1.0173611111111111E-2</v>
      </c>
    </row>
    <row r="1393" spans="1:12" x14ac:dyDescent="0.25">
      <c r="A1393" s="3">
        <v>45714.352731481486</v>
      </c>
      <c r="B1393" t="s">
        <v>23</v>
      </c>
      <c r="C1393" s="3">
        <v>45714.35491898148</v>
      </c>
      <c r="D1393" t="s">
        <v>23</v>
      </c>
      <c r="E1393" s="4">
        <v>2.1000000000000001E-2</v>
      </c>
      <c r="F1393" s="4">
        <v>410584.41</v>
      </c>
      <c r="G1393" s="4">
        <v>410584.43099999998</v>
      </c>
      <c r="H1393" s="5">
        <f>140 / 86400</f>
        <v>1.6203703703703703E-3</v>
      </c>
      <c r="I1393" t="s">
        <v>135</v>
      </c>
      <c r="J1393" t="s">
        <v>22</v>
      </c>
      <c r="K1393" s="5">
        <f>188 / 86400</f>
        <v>2.1759259259259258E-3</v>
      </c>
      <c r="L1393" s="5">
        <f>32181 / 86400</f>
        <v>0.37246527777777777</v>
      </c>
    </row>
    <row r="1394" spans="1:12" x14ac:dyDescent="0.25">
      <c r="A1394" s="3">
        <v>45714.727384259255</v>
      </c>
      <c r="B1394" t="s">
        <v>23</v>
      </c>
      <c r="C1394" s="3">
        <v>45714.729363425926</v>
      </c>
      <c r="D1394" t="s">
        <v>23</v>
      </c>
      <c r="E1394" s="4">
        <v>0</v>
      </c>
      <c r="F1394" s="4">
        <v>410584.43099999998</v>
      </c>
      <c r="G1394" s="4">
        <v>410584.43099999998</v>
      </c>
      <c r="H1394" s="5">
        <f>160 / 86400</f>
        <v>1.8518518518518519E-3</v>
      </c>
      <c r="I1394" t="s">
        <v>22</v>
      </c>
      <c r="J1394" t="s">
        <v>22</v>
      </c>
      <c r="K1394" s="5">
        <f>171 / 86400</f>
        <v>1.9791666666666668E-3</v>
      </c>
      <c r="L1394" s="5">
        <f>28 / 86400</f>
        <v>3.2407407407407406E-4</v>
      </c>
    </row>
    <row r="1395" spans="1:12" x14ac:dyDescent="0.25">
      <c r="A1395" s="3">
        <v>45714.729687500003</v>
      </c>
      <c r="B1395" t="s">
        <v>23</v>
      </c>
      <c r="C1395" s="3">
        <v>45714.73474537037</v>
      </c>
      <c r="D1395" t="s">
        <v>23</v>
      </c>
      <c r="E1395" s="4">
        <v>2.5000000000000001E-2</v>
      </c>
      <c r="F1395" s="4">
        <v>410584.43099999998</v>
      </c>
      <c r="G1395" s="4">
        <v>410584.45600000001</v>
      </c>
      <c r="H1395" s="5">
        <f>339 / 86400</f>
        <v>3.9236111111111112E-3</v>
      </c>
      <c r="I1395" t="s">
        <v>32</v>
      </c>
      <c r="J1395" t="s">
        <v>22</v>
      </c>
      <c r="K1395" s="5">
        <f>437 / 86400</f>
        <v>5.0578703703703706E-3</v>
      </c>
      <c r="L1395" s="5">
        <f>184 / 86400</f>
        <v>2.1296296296296298E-3</v>
      </c>
    </row>
    <row r="1396" spans="1:12" x14ac:dyDescent="0.25">
      <c r="A1396" s="3">
        <v>45714.736875000002</v>
      </c>
      <c r="B1396" t="s">
        <v>23</v>
      </c>
      <c r="C1396" s="3">
        <v>45714.750914351855</v>
      </c>
      <c r="D1396" t="s">
        <v>26</v>
      </c>
      <c r="E1396" s="4">
        <v>3.77</v>
      </c>
      <c r="F1396" s="4">
        <v>410584.45600000001</v>
      </c>
      <c r="G1396" s="4">
        <v>410588.22600000002</v>
      </c>
      <c r="H1396" s="5">
        <f>459 / 86400</f>
        <v>5.3125000000000004E-3</v>
      </c>
      <c r="I1396" t="s">
        <v>117</v>
      </c>
      <c r="J1396" t="s">
        <v>31</v>
      </c>
      <c r="K1396" s="5">
        <f>1212 / 86400</f>
        <v>1.4027777777777778E-2</v>
      </c>
      <c r="L1396" s="5">
        <f>21520 / 86400</f>
        <v>0.24907407407407409</v>
      </c>
    </row>
    <row r="1397" spans="1:12" x14ac:dyDescent="0.25">
      <c r="A1397" s="12"/>
      <c r="B1397" s="12"/>
      <c r="C1397" s="12"/>
      <c r="D1397" s="12"/>
      <c r="E1397" s="12"/>
      <c r="F1397" s="12"/>
      <c r="G1397" s="12"/>
      <c r="H1397" s="12"/>
      <c r="I1397" s="12"/>
      <c r="J1397" s="12"/>
    </row>
    <row r="1398" spans="1:12" x14ac:dyDescent="0.25">
      <c r="A1398" s="12"/>
      <c r="B1398" s="12"/>
      <c r="C1398" s="12"/>
      <c r="D1398" s="12"/>
      <c r="E1398" s="12"/>
      <c r="F1398" s="12"/>
      <c r="G1398" s="12"/>
      <c r="H1398" s="12"/>
      <c r="I1398" s="12"/>
      <c r="J1398" s="12"/>
    </row>
    <row r="1399" spans="1:12" s="10" customFormat="1" ht="20.100000000000001" customHeight="1" x14ac:dyDescent="0.35">
      <c r="A1399" s="15" t="s">
        <v>523</v>
      </c>
      <c r="B1399" s="15"/>
      <c r="C1399" s="15"/>
      <c r="D1399" s="15"/>
      <c r="E1399" s="15"/>
      <c r="F1399" s="15"/>
      <c r="G1399" s="15"/>
      <c r="H1399" s="15"/>
      <c r="I1399" s="15"/>
      <c r="J1399" s="15"/>
    </row>
    <row r="1400" spans="1:12" x14ac:dyDescent="0.25">
      <c r="A1400" s="12"/>
      <c r="B1400" s="12"/>
      <c r="C1400" s="12"/>
      <c r="D1400" s="12"/>
      <c r="E1400" s="12"/>
      <c r="F1400" s="12"/>
      <c r="G1400" s="12"/>
      <c r="H1400" s="12"/>
      <c r="I1400" s="12"/>
      <c r="J1400" s="12"/>
    </row>
    <row r="1401" spans="1:12" ht="30" x14ac:dyDescent="0.25">
      <c r="A1401" s="2" t="s">
        <v>6</v>
      </c>
      <c r="B1401" s="2" t="s">
        <v>7</v>
      </c>
      <c r="C1401" s="2" t="s">
        <v>8</v>
      </c>
      <c r="D1401" s="2" t="s">
        <v>9</v>
      </c>
      <c r="E1401" s="2" t="s">
        <v>10</v>
      </c>
      <c r="F1401" s="2" t="s">
        <v>11</v>
      </c>
      <c r="G1401" s="2" t="s">
        <v>12</v>
      </c>
      <c r="H1401" s="2" t="s">
        <v>13</v>
      </c>
      <c r="I1401" s="2" t="s">
        <v>14</v>
      </c>
      <c r="J1401" s="2" t="s">
        <v>15</v>
      </c>
      <c r="K1401" s="2" t="s">
        <v>16</v>
      </c>
      <c r="L1401" s="2" t="s">
        <v>17</v>
      </c>
    </row>
    <row r="1402" spans="1:12" x14ac:dyDescent="0.25">
      <c r="A1402" s="3">
        <v>45714.016840277778</v>
      </c>
      <c r="B1402" t="s">
        <v>118</v>
      </c>
      <c r="C1402" s="3">
        <v>45714.038831018523</v>
      </c>
      <c r="D1402" t="s">
        <v>81</v>
      </c>
      <c r="E1402" s="4">
        <v>14.63</v>
      </c>
      <c r="F1402" s="4">
        <v>553219.73699999996</v>
      </c>
      <c r="G1402" s="4">
        <v>553234.36699999997</v>
      </c>
      <c r="H1402" s="5">
        <f>220 / 86400</f>
        <v>2.5462962962962965E-3</v>
      </c>
      <c r="I1402" t="s">
        <v>84</v>
      </c>
      <c r="J1402" t="s">
        <v>136</v>
      </c>
      <c r="K1402" s="5">
        <f>1899 / 86400</f>
        <v>2.1979166666666668E-2</v>
      </c>
      <c r="L1402" s="5">
        <f>1689 / 86400</f>
        <v>1.954861111111111E-2</v>
      </c>
    </row>
    <row r="1403" spans="1:12" x14ac:dyDescent="0.25">
      <c r="A1403" s="3">
        <v>45714.041539351849</v>
      </c>
      <c r="B1403" t="s">
        <v>81</v>
      </c>
      <c r="C1403" s="3">
        <v>45714.042349537034</v>
      </c>
      <c r="D1403" t="s">
        <v>81</v>
      </c>
      <c r="E1403" s="4">
        <v>5.8999999999999997E-2</v>
      </c>
      <c r="F1403" s="4">
        <v>553234.36699999997</v>
      </c>
      <c r="G1403" s="4">
        <v>553234.42599999998</v>
      </c>
      <c r="H1403" s="5">
        <f>20 / 86400</f>
        <v>2.3148148148148149E-4</v>
      </c>
      <c r="I1403" t="s">
        <v>157</v>
      </c>
      <c r="J1403" t="s">
        <v>102</v>
      </c>
      <c r="K1403" s="5">
        <f>70 / 86400</f>
        <v>8.1018518518518516E-4</v>
      </c>
      <c r="L1403" s="5">
        <f>1650 / 86400</f>
        <v>1.9097222222222224E-2</v>
      </c>
    </row>
    <row r="1404" spans="1:12" x14ac:dyDescent="0.25">
      <c r="A1404" s="3">
        <v>45714.06144675926</v>
      </c>
      <c r="B1404" t="s">
        <v>81</v>
      </c>
      <c r="C1404" s="3">
        <v>45714.080335648148</v>
      </c>
      <c r="D1404" t="s">
        <v>82</v>
      </c>
      <c r="E1404" s="4">
        <v>0.79400000000000004</v>
      </c>
      <c r="F1404" s="4">
        <v>553234.42599999998</v>
      </c>
      <c r="G1404" s="4">
        <v>553235.22</v>
      </c>
      <c r="H1404" s="5">
        <f>1339 / 86400</f>
        <v>1.5497685185185186E-2</v>
      </c>
      <c r="I1404" t="s">
        <v>288</v>
      </c>
      <c r="J1404" t="s">
        <v>32</v>
      </c>
      <c r="K1404" s="5">
        <f>1631 / 86400</f>
        <v>1.8877314814814816E-2</v>
      </c>
      <c r="L1404" s="5">
        <f>15831 / 86400</f>
        <v>0.18322916666666667</v>
      </c>
    </row>
    <row r="1405" spans="1:12" x14ac:dyDescent="0.25">
      <c r="A1405" s="3">
        <v>45714.263564814813</v>
      </c>
      <c r="B1405" t="s">
        <v>82</v>
      </c>
      <c r="C1405" s="3">
        <v>45714.382060185184</v>
      </c>
      <c r="D1405" t="s">
        <v>458</v>
      </c>
      <c r="E1405" s="4">
        <v>36.146999999999998</v>
      </c>
      <c r="F1405" s="4">
        <v>553235.22</v>
      </c>
      <c r="G1405" s="4">
        <v>553271.36699999997</v>
      </c>
      <c r="H1405" s="5">
        <f>4019 / 86400</f>
        <v>4.6516203703703705E-2</v>
      </c>
      <c r="I1405" t="s">
        <v>97</v>
      </c>
      <c r="J1405" t="s">
        <v>42</v>
      </c>
      <c r="K1405" s="5">
        <f>10238 / 86400</f>
        <v>0.11849537037037038</v>
      </c>
      <c r="L1405" s="5">
        <f>2927 / 86400</f>
        <v>3.3877314814814811E-2</v>
      </c>
    </row>
    <row r="1406" spans="1:12" x14ac:dyDescent="0.25">
      <c r="A1406" s="3">
        <v>45714.415937500002</v>
      </c>
      <c r="B1406" t="s">
        <v>458</v>
      </c>
      <c r="C1406" s="3">
        <v>45714.57335648148</v>
      </c>
      <c r="D1406" t="s">
        <v>459</v>
      </c>
      <c r="E1406" s="4">
        <v>63.994</v>
      </c>
      <c r="F1406" s="4">
        <v>553271.36699999997</v>
      </c>
      <c r="G1406" s="4">
        <v>553335.36100000003</v>
      </c>
      <c r="H1406" s="5">
        <f>4479 / 86400</f>
        <v>5.1840277777777777E-2</v>
      </c>
      <c r="I1406" t="s">
        <v>24</v>
      </c>
      <c r="J1406" t="s">
        <v>61</v>
      </c>
      <c r="K1406" s="5">
        <f>13600 / 86400</f>
        <v>0.15740740740740741</v>
      </c>
      <c r="L1406" s="5">
        <f>955 / 86400</f>
        <v>1.105324074074074E-2</v>
      </c>
    </row>
    <row r="1407" spans="1:12" x14ac:dyDescent="0.25">
      <c r="A1407" s="3">
        <v>45714.584409722222</v>
      </c>
      <c r="B1407" t="s">
        <v>460</v>
      </c>
      <c r="C1407" s="3">
        <v>45714.59039351852</v>
      </c>
      <c r="D1407" t="s">
        <v>66</v>
      </c>
      <c r="E1407" s="4">
        <v>2.1379999999999999</v>
      </c>
      <c r="F1407" s="4">
        <v>553335.36100000003</v>
      </c>
      <c r="G1407" s="4">
        <v>553337.49899999995</v>
      </c>
      <c r="H1407" s="5">
        <f>180 / 86400</f>
        <v>2.0833333333333333E-3</v>
      </c>
      <c r="I1407" t="s">
        <v>266</v>
      </c>
      <c r="J1407" t="s">
        <v>46</v>
      </c>
      <c r="K1407" s="5">
        <f>517 / 86400</f>
        <v>5.9837962962962961E-3</v>
      </c>
      <c r="L1407" s="5">
        <f>1164 / 86400</f>
        <v>1.3472222222222222E-2</v>
      </c>
    </row>
    <row r="1408" spans="1:12" x14ac:dyDescent="0.25">
      <c r="A1408" s="3">
        <v>45714.603865740741</v>
      </c>
      <c r="B1408" t="s">
        <v>66</v>
      </c>
      <c r="C1408" s="3">
        <v>45714.625810185185</v>
      </c>
      <c r="D1408" t="s">
        <v>461</v>
      </c>
      <c r="E1408" s="4">
        <v>5.9829999999999997</v>
      </c>
      <c r="F1408" s="4">
        <v>553337.49899999995</v>
      </c>
      <c r="G1408" s="4">
        <v>553343.48199999996</v>
      </c>
      <c r="H1408" s="5">
        <f>879 / 86400</f>
        <v>1.0173611111111111E-2</v>
      </c>
      <c r="I1408" t="s">
        <v>188</v>
      </c>
      <c r="J1408" t="s">
        <v>31</v>
      </c>
      <c r="K1408" s="5">
        <f>1896 / 86400</f>
        <v>2.1944444444444444E-2</v>
      </c>
      <c r="L1408" s="5">
        <f>7274 / 86400</f>
        <v>8.4189814814814815E-2</v>
      </c>
    </row>
    <row r="1409" spans="1:12" x14ac:dyDescent="0.25">
      <c r="A1409" s="3">
        <v>45714.71</v>
      </c>
      <c r="B1409" t="s">
        <v>461</v>
      </c>
      <c r="C1409" s="3">
        <v>45714.731817129628</v>
      </c>
      <c r="D1409" t="s">
        <v>81</v>
      </c>
      <c r="E1409" s="4">
        <v>7.625</v>
      </c>
      <c r="F1409" s="4">
        <v>553343.48199999996</v>
      </c>
      <c r="G1409" s="4">
        <v>553351.10699999996</v>
      </c>
      <c r="H1409" s="5">
        <f>739 / 86400</f>
        <v>8.5532407407407415E-3</v>
      </c>
      <c r="I1409" t="s">
        <v>117</v>
      </c>
      <c r="J1409" t="s">
        <v>46</v>
      </c>
      <c r="K1409" s="5">
        <f>1885 / 86400</f>
        <v>2.1817129629629631E-2</v>
      </c>
      <c r="L1409" s="5">
        <f>414 / 86400</f>
        <v>4.7916666666666663E-3</v>
      </c>
    </row>
    <row r="1410" spans="1:12" x14ac:dyDescent="0.25">
      <c r="A1410" s="3">
        <v>45714.736608796295</v>
      </c>
      <c r="B1410" t="s">
        <v>81</v>
      </c>
      <c r="C1410" s="3">
        <v>45714.99998842593</v>
      </c>
      <c r="D1410" t="s">
        <v>92</v>
      </c>
      <c r="E1410" s="4">
        <v>110.449</v>
      </c>
      <c r="F1410" s="4">
        <v>553351.10699999996</v>
      </c>
      <c r="G1410" s="4">
        <v>553461.55599999998</v>
      </c>
      <c r="H1410" s="5">
        <f>7440 / 86400</f>
        <v>8.611111111111111E-2</v>
      </c>
      <c r="I1410" t="s">
        <v>88</v>
      </c>
      <c r="J1410" t="s">
        <v>61</v>
      </c>
      <c r="K1410" s="5">
        <f>22756 / 86400</f>
        <v>0.26337962962962963</v>
      </c>
      <c r="L1410" s="5">
        <f>0 / 86400</f>
        <v>0</v>
      </c>
    </row>
    <row r="1411" spans="1:12" x14ac:dyDescent="0.25">
      <c r="A1411" s="12"/>
      <c r="B1411" s="12"/>
      <c r="C1411" s="12"/>
      <c r="D1411" s="12"/>
      <c r="E1411" s="12"/>
      <c r="F1411" s="12"/>
      <c r="G1411" s="12"/>
      <c r="H1411" s="12"/>
      <c r="I1411" s="12"/>
      <c r="J1411" s="12"/>
    </row>
    <row r="1412" spans="1:12" x14ac:dyDescent="0.25">
      <c r="A1412" s="12"/>
      <c r="B1412" s="12"/>
      <c r="C1412" s="12"/>
      <c r="D1412" s="12"/>
      <c r="E1412" s="12"/>
      <c r="F1412" s="12"/>
      <c r="G1412" s="12"/>
      <c r="H1412" s="12"/>
      <c r="I1412" s="12"/>
      <c r="J1412" s="12"/>
    </row>
    <row r="1413" spans="1:12" s="10" customFormat="1" ht="20.100000000000001" customHeight="1" x14ac:dyDescent="0.35">
      <c r="A1413" s="15" t="s">
        <v>524</v>
      </c>
      <c r="B1413" s="15"/>
      <c r="C1413" s="15"/>
      <c r="D1413" s="15"/>
      <c r="E1413" s="15"/>
      <c r="F1413" s="15"/>
      <c r="G1413" s="15"/>
      <c r="H1413" s="15"/>
      <c r="I1413" s="15"/>
      <c r="J1413" s="15"/>
    </row>
    <row r="1414" spans="1:12" x14ac:dyDescent="0.25">
      <c r="A1414" s="12"/>
      <c r="B1414" s="12"/>
      <c r="C1414" s="12"/>
      <c r="D1414" s="12"/>
      <c r="E1414" s="12"/>
      <c r="F1414" s="12"/>
      <c r="G1414" s="12"/>
      <c r="H1414" s="12"/>
      <c r="I1414" s="12"/>
      <c r="J1414" s="12"/>
    </row>
    <row r="1415" spans="1:12" ht="30" x14ac:dyDescent="0.25">
      <c r="A1415" s="2" t="s">
        <v>6</v>
      </c>
      <c r="B1415" s="2" t="s">
        <v>7</v>
      </c>
      <c r="C1415" s="2" t="s">
        <v>8</v>
      </c>
      <c r="D1415" s="2" t="s">
        <v>9</v>
      </c>
      <c r="E1415" s="2" t="s">
        <v>10</v>
      </c>
      <c r="F1415" s="2" t="s">
        <v>11</v>
      </c>
      <c r="G1415" s="2" t="s">
        <v>12</v>
      </c>
      <c r="H1415" s="2" t="s">
        <v>13</v>
      </c>
      <c r="I1415" s="2" t="s">
        <v>14</v>
      </c>
      <c r="J1415" s="2" t="s">
        <v>15</v>
      </c>
      <c r="K1415" s="2" t="s">
        <v>16</v>
      </c>
      <c r="L1415" s="2" t="s">
        <v>17</v>
      </c>
    </row>
    <row r="1416" spans="1:12" x14ac:dyDescent="0.25">
      <c r="A1416" s="3">
        <v>45714.217291666668</v>
      </c>
      <c r="B1416" t="s">
        <v>119</v>
      </c>
      <c r="C1416" s="3">
        <v>45714.320925925931</v>
      </c>
      <c r="D1416" t="s">
        <v>462</v>
      </c>
      <c r="E1416" s="4">
        <v>240.58</v>
      </c>
      <c r="F1416" s="4">
        <v>4873.33</v>
      </c>
      <c r="G1416" s="4">
        <v>5113.91</v>
      </c>
      <c r="H1416" s="5">
        <f>2859 / 86400</f>
        <v>3.3090277777777781E-2</v>
      </c>
      <c r="I1416" t="s">
        <v>120</v>
      </c>
      <c r="J1416" t="s">
        <v>463</v>
      </c>
      <c r="K1416" s="5">
        <f>8953 / 86400</f>
        <v>0.10362268518518518</v>
      </c>
      <c r="L1416" s="5">
        <f>18874 / 86400</f>
        <v>0.21844907407407407</v>
      </c>
    </row>
    <row r="1417" spans="1:12" x14ac:dyDescent="0.25">
      <c r="A1417" s="3">
        <v>45714.322083333333</v>
      </c>
      <c r="B1417" t="s">
        <v>462</v>
      </c>
      <c r="C1417" s="3">
        <v>45714.388310185182</v>
      </c>
      <c r="D1417" t="s">
        <v>196</v>
      </c>
      <c r="E1417" s="4">
        <v>89.22</v>
      </c>
      <c r="F1417" s="4">
        <v>5113.91</v>
      </c>
      <c r="G1417" s="4">
        <v>5203.13</v>
      </c>
      <c r="H1417" s="5">
        <f>2479 / 86400</f>
        <v>2.869212962962963E-2</v>
      </c>
      <c r="I1417" t="s">
        <v>183</v>
      </c>
      <c r="J1417" t="s">
        <v>176</v>
      </c>
      <c r="K1417" s="5">
        <f>5721 / 86400</f>
        <v>6.6215277777777776E-2</v>
      </c>
      <c r="L1417" s="5">
        <f>242 / 86400</f>
        <v>2.8009259259259259E-3</v>
      </c>
    </row>
    <row r="1418" spans="1:12" x14ac:dyDescent="0.25">
      <c r="A1418" s="3">
        <v>45714.391111111108</v>
      </c>
      <c r="B1418" t="s">
        <v>196</v>
      </c>
      <c r="C1418" s="3">
        <v>45714.391539351855</v>
      </c>
      <c r="D1418" t="s">
        <v>189</v>
      </c>
      <c r="E1418" s="4">
        <v>0.66500000000000004</v>
      </c>
      <c r="F1418" s="4">
        <v>5203.13</v>
      </c>
      <c r="G1418" s="4">
        <v>5203.7950000000001</v>
      </c>
      <c r="H1418" s="5">
        <f>0 / 86400</f>
        <v>0</v>
      </c>
      <c r="I1418" t="s">
        <v>61</v>
      </c>
      <c r="J1418" t="s">
        <v>185</v>
      </c>
      <c r="K1418" s="5">
        <f>37 / 86400</f>
        <v>4.2824074074074075E-4</v>
      </c>
      <c r="L1418" s="5">
        <f>921 / 86400</f>
        <v>1.0659722222222221E-2</v>
      </c>
    </row>
    <row r="1419" spans="1:12" x14ac:dyDescent="0.25">
      <c r="A1419" s="3">
        <v>45714.402199074073</v>
      </c>
      <c r="B1419" t="s">
        <v>196</v>
      </c>
      <c r="C1419" s="3">
        <v>45714.408229166671</v>
      </c>
      <c r="D1419" t="s">
        <v>464</v>
      </c>
      <c r="E1419" s="4">
        <v>5.6</v>
      </c>
      <c r="F1419" s="4">
        <v>5203.7950000000001</v>
      </c>
      <c r="G1419" s="4">
        <v>5209.3950000000004</v>
      </c>
      <c r="H1419" s="5">
        <f>140 / 86400</f>
        <v>1.6203703703703703E-3</v>
      </c>
      <c r="I1419" t="s">
        <v>37</v>
      </c>
      <c r="J1419" t="s">
        <v>206</v>
      </c>
      <c r="K1419" s="5">
        <f>521 / 86400</f>
        <v>6.030092592592593E-3</v>
      </c>
      <c r="L1419" s="5">
        <f>28 / 86400</f>
        <v>3.2407407407407406E-4</v>
      </c>
    </row>
    <row r="1420" spans="1:12" x14ac:dyDescent="0.25">
      <c r="A1420" s="3">
        <v>45714.408553240741</v>
      </c>
      <c r="B1420" t="s">
        <v>464</v>
      </c>
      <c r="C1420" s="3">
        <v>45714.409004629633</v>
      </c>
      <c r="D1420" t="s">
        <v>464</v>
      </c>
      <c r="E1420" s="4">
        <v>0.04</v>
      </c>
      <c r="F1420" s="4">
        <v>5209.3950000000004</v>
      </c>
      <c r="G1420" s="4">
        <v>5209.4350000000004</v>
      </c>
      <c r="H1420" s="5">
        <f>19 / 86400</f>
        <v>2.199074074074074E-4</v>
      </c>
      <c r="I1420" t="s">
        <v>22</v>
      </c>
      <c r="J1420" t="s">
        <v>152</v>
      </c>
      <c r="K1420" s="5">
        <f>39 / 86400</f>
        <v>4.5138888888888887E-4</v>
      </c>
      <c r="L1420" s="5">
        <f>159 / 86400</f>
        <v>1.8402777777777777E-3</v>
      </c>
    </row>
    <row r="1421" spans="1:12" x14ac:dyDescent="0.25">
      <c r="A1421" s="3">
        <v>45714.410844907412</v>
      </c>
      <c r="B1421" t="s">
        <v>464</v>
      </c>
      <c r="C1421" s="3">
        <v>45714.412141203706</v>
      </c>
      <c r="D1421" t="s">
        <v>196</v>
      </c>
      <c r="E1421" s="4">
        <v>0.72499999999999998</v>
      </c>
      <c r="F1421" s="4">
        <v>5209.4350000000004</v>
      </c>
      <c r="G1421" s="4">
        <v>5210.16</v>
      </c>
      <c r="H1421" s="5">
        <f>60 / 86400</f>
        <v>6.9444444444444447E-4</v>
      </c>
      <c r="I1421" t="s">
        <v>151</v>
      </c>
      <c r="J1421" t="s">
        <v>134</v>
      </c>
      <c r="K1421" s="5">
        <f>112 / 86400</f>
        <v>1.2962962962962963E-3</v>
      </c>
      <c r="L1421" s="5">
        <f>4624 / 86400</f>
        <v>5.3518518518518521E-2</v>
      </c>
    </row>
    <row r="1422" spans="1:12" x14ac:dyDescent="0.25">
      <c r="A1422" s="3">
        <v>45714.46565972222</v>
      </c>
      <c r="B1422" t="s">
        <v>196</v>
      </c>
      <c r="C1422" s="3">
        <v>45714.54850694444</v>
      </c>
      <c r="D1422" t="s">
        <v>47</v>
      </c>
      <c r="E1422" s="4">
        <v>201.01</v>
      </c>
      <c r="F1422" s="4">
        <v>5210.16</v>
      </c>
      <c r="G1422" s="4">
        <v>5411.17</v>
      </c>
      <c r="H1422" s="5">
        <f>2060 / 86400</f>
        <v>2.3842592592592592E-2</v>
      </c>
      <c r="I1422" t="s">
        <v>85</v>
      </c>
      <c r="J1422" t="s">
        <v>105</v>
      </c>
      <c r="K1422" s="5">
        <f>7158 / 86400</f>
        <v>8.2847222222222225E-2</v>
      </c>
      <c r="L1422" s="5">
        <f>2236 / 86400</f>
        <v>2.5879629629629631E-2</v>
      </c>
    </row>
    <row r="1423" spans="1:12" x14ac:dyDescent="0.25">
      <c r="A1423" s="3">
        <v>45714.574386574073</v>
      </c>
      <c r="B1423" t="s">
        <v>47</v>
      </c>
      <c r="C1423" s="3">
        <v>45714.577719907407</v>
      </c>
      <c r="D1423" t="s">
        <v>163</v>
      </c>
      <c r="E1423" s="4">
        <v>3.78</v>
      </c>
      <c r="F1423" s="4">
        <v>5411.17</v>
      </c>
      <c r="G1423" s="4">
        <v>5414.95</v>
      </c>
      <c r="H1423" s="5">
        <f>60 / 86400</f>
        <v>6.9444444444444447E-4</v>
      </c>
      <c r="I1423" t="s">
        <v>134</v>
      </c>
      <c r="J1423" t="s">
        <v>180</v>
      </c>
      <c r="K1423" s="5">
        <f>288 / 86400</f>
        <v>3.3333333333333335E-3</v>
      </c>
      <c r="L1423" s="5">
        <f>684 / 86400</f>
        <v>7.9166666666666673E-3</v>
      </c>
    </row>
    <row r="1424" spans="1:12" x14ac:dyDescent="0.25">
      <c r="A1424" s="3">
        <v>45714.585636574076</v>
      </c>
      <c r="B1424" t="s">
        <v>163</v>
      </c>
      <c r="C1424" s="3">
        <v>45714.701898148152</v>
      </c>
      <c r="D1424" t="s">
        <v>165</v>
      </c>
      <c r="E1424" s="4">
        <v>238.48</v>
      </c>
      <c r="F1424" s="4">
        <v>5414.95</v>
      </c>
      <c r="G1424" s="4">
        <v>5653.43</v>
      </c>
      <c r="H1424" s="5">
        <f>3837 / 86400</f>
        <v>4.4409722222222225E-2</v>
      </c>
      <c r="I1424" t="s">
        <v>57</v>
      </c>
      <c r="J1424" t="s">
        <v>418</v>
      </c>
      <c r="K1424" s="5">
        <f>10045 / 86400</f>
        <v>0.11626157407407407</v>
      </c>
      <c r="L1424" s="5">
        <f>73 / 86400</f>
        <v>8.4490740740740739E-4</v>
      </c>
    </row>
    <row r="1425" spans="1:12" x14ac:dyDescent="0.25">
      <c r="A1425" s="3">
        <v>45714.702743055561</v>
      </c>
      <c r="B1425" t="s">
        <v>165</v>
      </c>
      <c r="C1425" s="3">
        <v>45714.849780092598</v>
      </c>
      <c r="D1425" t="s">
        <v>465</v>
      </c>
      <c r="E1425" s="4">
        <v>324.90499999999997</v>
      </c>
      <c r="F1425" s="4">
        <v>5653.43</v>
      </c>
      <c r="G1425" s="4">
        <v>5978.335</v>
      </c>
      <c r="H1425" s="5">
        <f>3720 / 86400</f>
        <v>4.3055555555555555E-2</v>
      </c>
      <c r="I1425" t="s">
        <v>54</v>
      </c>
      <c r="J1425" t="s">
        <v>45</v>
      </c>
      <c r="K1425" s="5">
        <f>12703 / 86400</f>
        <v>0.14702546296296296</v>
      </c>
      <c r="L1425" s="5">
        <f>594 / 86400</f>
        <v>6.875E-3</v>
      </c>
    </row>
    <row r="1426" spans="1:12" x14ac:dyDescent="0.25">
      <c r="A1426" s="3">
        <v>45714.85665509259</v>
      </c>
      <c r="B1426" t="s">
        <v>465</v>
      </c>
      <c r="C1426" s="3">
        <v>45714.860763888893</v>
      </c>
      <c r="D1426" t="s">
        <v>26</v>
      </c>
      <c r="E1426" s="4">
        <v>2.0299999999999998</v>
      </c>
      <c r="F1426" s="4">
        <v>5978.335</v>
      </c>
      <c r="G1426" s="4">
        <v>5980.3649999999998</v>
      </c>
      <c r="H1426" s="5">
        <f>220 / 86400</f>
        <v>2.5462962962962965E-3</v>
      </c>
      <c r="I1426" t="s">
        <v>25</v>
      </c>
      <c r="J1426" t="s">
        <v>151</v>
      </c>
      <c r="K1426" s="5">
        <f>354 / 86400</f>
        <v>4.0972222222222226E-3</v>
      </c>
      <c r="L1426" s="5">
        <f>10522 / 86400</f>
        <v>0.12178240740740741</v>
      </c>
    </row>
    <row r="1427" spans="1:12" x14ac:dyDescent="0.25">
      <c r="A1427" s="3">
        <v>45714.982546296298</v>
      </c>
      <c r="B1427" t="s">
        <v>26</v>
      </c>
      <c r="C1427" s="3">
        <v>45714.983773148153</v>
      </c>
      <c r="D1427" t="s">
        <v>119</v>
      </c>
      <c r="E1427" s="4">
        <v>0.34</v>
      </c>
      <c r="F1427" s="4">
        <v>5980.3649999999998</v>
      </c>
      <c r="G1427" s="4">
        <v>5980.7049999999999</v>
      </c>
      <c r="H1427" s="5">
        <f>39 / 86400</f>
        <v>4.5138888888888887E-4</v>
      </c>
      <c r="I1427" t="s">
        <v>77</v>
      </c>
      <c r="J1427" t="s">
        <v>98</v>
      </c>
      <c r="K1427" s="5">
        <f>106 / 86400</f>
        <v>1.2268518518518518E-3</v>
      </c>
      <c r="L1427" s="5">
        <f>1401 / 86400</f>
        <v>1.6215277777777776E-2</v>
      </c>
    </row>
    <row r="1428" spans="1:12" x14ac:dyDescent="0.25">
      <c r="A1428" s="12"/>
      <c r="B1428" s="12"/>
      <c r="C1428" s="12"/>
      <c r="D1428" s="12"/>
      <c r="E1428" s="12"/>
      <c r="F1428" s="12"/>
      <c r="G1428" s="12"/>
      <c r="H1428" s="12"/>
      <c r="I1428" s="12"/>
      <c r="J1428" s="12"/>
    </row>
    <row r="1429" spans="1:12" x14ac:dyDescent="0.25">
      <c r="A1429" s="12"/>
      <c r="B1429" s="12"/>
      <c r="C1429" s="12"/>
      <c r="D1429" s="12"/>
      <c r="E1429" s="12"/>
      <c r="F1429" s="12"/>
      <c r="G1429" s="12"/>
      <c r="H1429" s="12"/>
      <c r="I1429" s="12"/>
      <c r="J1429" s="12"/>
    </row>
    <row r="1430" spans="1:12" s="10" customFormat="1" ht="20.100000000000001" customHeight="1" x14ac:dyDescent="0.35">
      <c r="A1430" s="15" t="s">
        <v>525</v>
      </c>
      <c r="B1430" s="15"/>
      <c r="C1430" s="15"/>
      <c r="D1430" s="15"/>
      <c r="E1430" s="15"/>
      <c r="F1430" s="15"/>
      <c r="G1430" s="15"/>
      <c r="H1430" s="15"/>
      <c r="I1430" s="15"/>
      <c r="J1430" s="15"/>
    </row>
    <row r="1431" spans="1:12" x14ac:dyDescent="0.25">
      <c r="A1431" s="12"/>
      <c r="B1431" s="12"/>
      <c r="C1431" s="12"/>
      <c r="D1431" s="12"/>
      <c r="E1431" s="12"/>
      <c r="F1431" s="12"/>
      <c r="G1431" s="12"/>
      <c r="H1431" s="12"/>
      <c r="I1431" s="12"/>
      <c r="J1431" s="12"/>
    </row>
    <row r="1432" spans="1:12" ht="30" x14ac:dyDescent="0.25">
      <c r="A1432" s="2" t="s">
        <v>6</v>
      </c>
      <c r="B1432" s="2" t="s">
        <v>7</v>
      </c>
      <c r="C1432" s="2" t="s">
        <v>8</v>
      </c>
      <c r="D1432" s="2" t="s">
        <v>9</v>
      </c>
      <c r="E1432" s="2" t="s">
        <v>10</v>
      </c>
      <c r="F1432" s="2" t="s">
        <v>11</v>
      </c>
      <c r="G1432" s="2" t="s">
        <v>12</v>
      </c>
      <c r="H1432" s="2" t="s">
        <v>13</v>
      </c>
      <c r="I1432" s="2" t="s">
        <v>14</v>
      </c>
      <c r="J1432" s="2" t="s">
        <v>15</v>
      </c>
      <c r="K1432" s="2" t="s">
        <v>16</v>
      </c>
      <c r="L1432" s="2" t="s">
        <v>17</v>
      </c>
    </row>
    <row r="1433" spans="1:12" x14ac:dyDescent="0.25">
      <c r="A1433" s="3">
        <v>45714.181400462963</v>
      </c>
      <c r="B1433" t="s">
        <v>121</v>
      </c>
      <c r="C1433" s="3">
        <v>45714.383032407408</v>
      </c>
      <c r="D1433" t="s">
        <v>411</v>
      </c>
      <c r="E1433" s="4">
        <v>97.531999999999996</v>
      </c>
      <c r="F1433" s="4">
        <v>62977.845999999998</v>
      </c>
      <c r="G1433" s="4">
        <v>63075.377999999997</v>
      </c>
      <c r="H1433" s="5">
        <f>5179 / 86400</f>
        <v>5.994212962962963E-2</v>
      </c>
      <c r="I1433" t="s">
        <v>40</v>
      </c>
      <c r="J1433" t="s">
        <v>64</v>
      </c>
      <c r="K1433" s="5">
        <f>17421 / 86400</f>
        <v>0.20163194444444443</v>
      </c>
      <c r="L1433" s="5">
        <f>15716 / 86400</f>
        <v>0.18189814814814814</v>
      </c>
    </row>
    <row r="1434" spans="1:12" x14ac:dyDescent="0.25">
      <c r="A1434" s="3">
        <v>45714.383530092593</v>
      </c>
      <c r="B1434" t="s">
        <v>411</v>
      </c>
      <c r="C1434" s="3">
        <v>45714.393750000003</v>
      </c>
      <c r="D1434" t="s">
        <v>163</v>
      </c>
      <c r="E1434" s="4">
        <v>5.0529999999999999</v>
      </c>
      <c r="F1434" s="4">
        <v>63075.377999999997</v>
      </c>
      <c r="G1434" s="4">
        <v>63080.430999999997</v>
      </c>
      <c r="H1434" s="5">
        <f>100 / 86400</f>
        <v>1.1574074074074073E-3</v>
      </c>
      <c r="I1434" t="s">
        <v>178</v>
      </c>
      <c r="J1434" t="s">
        <v>151</v>
      </c>
      <c r="K1434" s="5">
        <f>883 / 86400</f>
        <v>1.0219907407407407E-2</v>
      </c>
      <c r="L1434" s="5">
        <f>25 / 86400</f>
        <v>2.8935185185185184E-4</v>
      </c>
    </row>
    <row r="1435" spans="1:12" x14ac:dyDescent="0.25">
      <c r="A1435" s="3">
        <v>45714.394039351857</v>
      </c>
      <c r="B1435" t="s">
        <v>163</v>
      </c>
      <c r="C1435" s="3">
        <v>45714.396562499998</v>
      </c>
      <c r="D1435" t="s">
        <v>129</v>
      </c>
      <c r="E1435" s="4">
        <v>0.61699999999999999</v>
      </c>
      <c r="F1435" s="4">
        <v>63080.430999999997</v>
      </c>
      <c r="G1435" s="4">
        <v>63081.048000000003</v>
      </c>
      <c r="H1435" s="5">
        <f>60 / 86400</f>
        <v>6.9444444444444447E-4</v>
      </c>
      <c r="I1435" t="s">
        <v>184</v>
      </c>
      <c r="J1435" t="s">
        <v>132</v>
      </c>
      <c r="K1435" s="5">
        <f>217 / 86400</f>
        <v>2.5115740740740741E-3</v>
      </c>
      <c r="L1435" s="5">
        <f>2601 / 86400</f>
        <v>3.0104166666666668E-2</v>
      </c>
    </row>
    <row r="1436" spans="1:12" x14ac:dyDescent="0.25">
      <c r="A1436" s="3">
        <v>45714.426666666666</v>
      </c>
      <c r="B1436" t="s">
        <v>129</v>
      </c>
      <c r="C1436" s="3">
        <v>45714.483530092592</v>
      </c>
      <c r="D1436" t="s">
        <v>192</v>
      </c>
      <c r="E1436" s="4">
        <v>31.657</v>
      </c>
      <c r="F1436" s="4">
        <v>63081.048000000003</v>
      </c>
      <c r="G1436" s="4">
        <v>63112.705000000002</v>
      </c>
      <c r="H1436" s="5">
        <f>1480 / 86400</f>
        <v>1.712962962962963E-2</v>
      </c>
      <c r="I1436" t="s">
        <v>112</v>
      </c>
      <c r="J1436" t="s">
        <v>134</v>
      </c>
      <c r="K1436" s="5">
        <f>4913 / 86400</f>
        <v>5.6863425925925928E-2</v>
      </c>
      <c r="L1436" s="5">
        <f>44 / 86400</f>
        <v>5.0925925925925921E-4</v>
      </c>
    </row>
    <row r="1437" spans="1:12" x14ac:dyDescent="0.25">
      <c r="A1437" s="3">
        <v>45714.484039351853</v>
      </c>
      <c r="B1437" t="s">
        <v>192</v>
      </c>
      <c r="C1437" s="3">
        <v>45714.512592592597</v>
      </c>
      <c r="D1437" t="s">
        <v>215</v>
      </c>
      <c r="E1437" s="4">
        <v>10.657999999999999</v>
      </c>
      <c r="F1437" s="4">
        <v>63112.705000000002</v>
      </c>
      <c r="G1437" s="4">
        <v>63123.362999999998</v>
      </c>
      <c r="H1437" s="5">
        <f>819 / 86400</f>
        <v>9.479166666666667E-3</v>
      </c>
      <c r="I1437" t="s">
        <v>67</v>
      </c>
      <c r="J1437" t="s">
        <v>28</v>
      </c>
      <c r="K1437" s="5">
        <f>2466 / 86400</f>
        <v>2.8541666666666667E-2</v>
      </c>
      <c r="L1437" s="5">
        <f>30 / 86400</f>
        <v>3.4722222222222224E-4</v>
      </c>
    </row>
    <row r="1438" spans="1:12" x14ac:dyDescent="0.25">
      <c r="A1438" s="3">
        <v>45714.512939814813</v>
      </c>
      <c r="B1438" t="s">
        <v>215</v>
      </c>
      <c r="C1438" s="3">
        <v>45714.54987268518</v>
      </c>
      <c r="D1438" t="s">
        <v>271</v>
      </c>
      <c r="E1438" s="4">
        <v>8.984</v>
      </c>
      <c r="F1438" s="4">
        <v>63123.362999999998</v>
      </c>
      <c r="G1438" s="4">
        <v>63132.347000000002</v>
      </c>
      <c r="H1438" s="5">
        <f>1400 / 86400</f>
        <v>1.6203703703703703E-2</v>
      </c>
      <c r="I1438" t="s">
        <v>97</v>
      </c>
      <c r="J1438" t="s">
        <v>132</v>
      </c>
      <c r="K1438" s="5">
        <f>3190 / 86400</f>
        <v>3.6921296296296299E-2</v>
      </c>
      <c r="L1438" s="5">
        <f>42 / 86400</f>
        <v>4.861111111111111E-4</v>
      </c>
    </row>
    <row r="1439" spans="1:12" x14ac:dyDescent="0.25">
      <c r="A1439" s="3">
        <v>45714.550358796296</v>
      </c>
      <c r="B1439" t="s">
        <v>271</v>
      </c>
      <c r="C1439" s="3">
        <v>45714.604571759264</v>
      </c>
      <c r="D1439" t="s">
        <v>349</v>
      </c>
      <c r="E1439" s="4">
        <v>32.662999999999997</v>
      </c>
      <c r="F1439" s="4">
        <v>63132.347000000002</v>
      </c>
      <c r="G1439" s="4">
        <v>63165.01</v>
      </c>
      <c r="H1439" s="5">
        <f>1209 / 86400</f>
        <v>1.3993055555555555E-2</v>
      </c>
      <c r="I1439" t="s">
        <v>30</v>
      </c>
      <c r="J1439" t="s">
        <v>131</v>
      </c>
      <c r="K1439" s="5">
        <f>4683 / 86400</f>
        <v>5.4201388888888889E-2</v>
      </c>
      <c r="L1439" s="5">
        <f>52 / 86400</f>
        <v>6.018518518518519E-4</v>
      </c>
    </row>
    <row r="1440" spans="1:12" x14ac:dyDescent="0.25">
      <c r="A1440" s="3">
        <v>45714.605173611111</v>
      </c>
      <c r="B1440" t="s">
        <v>349</v>
      </c>
      <c r="C1440" s="3">
        <v>45714.627187499995</v>
      </c>
      <c r="D1440" t="s">
        <v>113</v>
      </c>
      <c r="E1440" s="4">
        <v>9.3010000000000002</v>
      </c>
      <c r="F1440" s="4">
        <v>63165.01</v>
      </c>
      <c r="G1440" s="4">
        <v>63174.311000000002</v>
      </c>
      <c r="H1440" s="5">
        <f>540 / 86400</f>
        <v>6.2500000000000003E-3</v>
      </c>
      <c r="I1440" t="s">
        <v>314</v>
      </c>
      <c r="J1440" t="s">
        <v>20</v>
      </c>
      <c r="K1440" s="5">
        <f>1901 / 86400</f>
        <v>2.2002314814814815E-2</v>
      </c>
      <c r="L1440" s="5">
        <f>421 / 86400</f>
        <v>4.8726851851851848E-3</v>
      </c>
    </row>
    <row r="1441" spans="1:12" x14ac:dyDescent="0.25">
      <c r="A1441" s="3">
        <v>45714.632060185184</v>
      </c>
      <c r="B1441" t="s">
        <v>113</v>
      </c>
      <c r="C1441" s="3">
        <v>45714.633576388893</v>
      </c>
      <c r="D1441" t="s">
        <v>80</v>
      </c>
      <c r="E1441" s="4">
        <v>0.22600000000000001</v>
      </c>
      <c r="F1441" s="4">
        <v>63174.311000000002</v>
      </c>
      <c r="G1441" s="4">
        <v>63174.536999999997</v>
      </c>
      <c r="H1441" s="5">
        <f>20 / 86400</f>
        <v>2.3148148148148149E-4</v>
      </c>
      <c r="I1441" t="s">
        <v>25</v>
      </c>
      <c r="J1441" t="s">
        <v>135</v>
      </c>
      <c r="K1441" s="5">
        <f>130 / 86400</f>
        <v>1.5046296296296296E-3</v>
      </c>
      <c r="L1441" s="5">
        <f>204 / 86400</f>
        <v>2.3611111111111111E-3</v>
      </c>
    </row>
    <row r="1442" spans="1:12" x14ac:dyDescent="0.25">
      <c r="A1442" s="3">
        <v>45714.635937500003</v>
      </c>
      <c r="B1442" t="s">
        <v>80</v>
      </c>
      <c r="C1442" s="3">
        <v>45714.637013888889</v>
      </c>
      <c r="D1442" t="s">
        <v>121</v>
      </c>
      <c r="E1442" s="4">
        <v>0.17699999999999999</v>
      </c>
      <c r="F1442" s="4">
        <v>63174.536999999997</v>
      </c>
      <c r="G1442" s="4">
        <v>63174.714</v>
      </c>
      <c r="H1442" s="5">
        <f>20 / 86400</f>
        <v>2.3148148148148149E-4</v>
      </c>
      <c r="I1442" t="s">
        <v>52</v>
      </c>
      <c r="J1442" t="s">
        <v>147</v>
      </c>
      <c r="K1442" s="5">
        <f>92 / 86400</f>
        <v>1.0648148148148149E-3</v>
      </c>
      <c r="L1442" s="5">
        <f>137 / 86400</f>
        <v>1.5856481481481481E-3</v>
      </c>
    </row>
    <row r="1443" spans="1:12" x14ac:dyDescent="0.25">
      <c r="A1443" s="3">
        <v>45714.638599537036</v>
      </c>
      <c r="B1443" t="s">
        <v>121</v>
      </c>
      <c r="C1443" s="3">
        <v>45714.638865740737</v>
      </c>
      <c r="D1443" t="s">
        <v>121</v>
      </c>
      <c r="E1443" s="4">
        <v>1.7999999999999999E-2</v>
      </c>
      <c r="F1443" s="4">
        <v>63174.714</v>
      </c>
      <c r="G1443" s="4">
        <v>63174.732000000004</v>
      </c>
      <c r="H1443" s="5">
        <f>0 / 86400</f>
        <v>0</v>
      </c>
      <c r="I1443" t="s">
        <v>77</v>
      </c>
      <c r="J1443" t="s">
        <v>102</v>
      </c>
      <c r="K1443" s="5">
        <f>22 / 86400</f>
        <v>2.5462962962962961E-4</v>
      </c>
      <c r="L1443" s="5">
        <f>55 / 86400</f>
        <v>6.3657407407407413E-4</v>
      </c>
    </row>
    <row r="1444" spans="1:12" x14ac:dyDescent="0.25">
      <c r="A1444" s="3">
        <v>45714.639502314814</v>
      </c>
      <c r="B1444" t="s">
        <v>121</v>
      </c>
      <c r="C1444" s="3">
        <v>45714.640162037038</v>
      </c>
      <c r="D1444" t="s">
        <v>121</v>
      </c>
      <c r="E1444" s="4">
        <v>3.7999999999999999E-2</v>
      </c>
      <c r="F1444" s="4">
        <v>63174.732000000004</v>
      </c>
      <c r="G1444" s="4">
        <v>63174.77</v>
      </c>
      <c r="H1444" s="5">
        <f>20 / 86400</f>
        <v>2.3148148148148149E-4</v>
      </c>
      <c r="I1444" t="s">
        <v>77</v>
      </c>
      <c r="J1444" t="s">
        <v>32</v>
      </c>
      <c r="K1444" s="5">
        <f>56 / 86400</f>
        <v>6.4814814814814813E-4</v>
      </c>
      <c r="L1444" s="5">
        <f>3514 / 86400</f>
        <v>4.0671296296296296E-2</v>
      </c>
    </row>
    <row r="1445" spans="1:12" x14ac:dyDescent="0.25">
      <c r="A1445" s="3">
        <v>45714.680833333332</v>
      </c>
      <c r="B1445" t="s">
        <v>121</v>
      </c>
      <c r="C1445" s="3">
        <v>45714.684907407413</v>
      </c>
      <c r="D1445" t="s">
        <v>89</v>
      </c>
      <c r="E1445" s="4">
        <v>1.34</v>
      </c>
      <c r="F1445" s="4">
        <v>63174.77</v>
      </c>
      <c r="G1445" s="4">
        <v>63176.11</v>
      </c>
      <c r="H1445" s="5">
        <f>40 / 86400</f>
        <v>4.6296296296296298E-4</v>
      </c>
      <c r="I1445" t="s">
        <v>197</v>
      </c>
      <c r="J1445" t="s">
        <v>52</v>
      </c>
      <c r="K1445" s="5">
        <f>351 / 86400</f>
        <v>4.0625000000000001E-3</v>
      </c>
      <c r="L1445" s="5">
        <f>229 / 86400</f>
        <v>2.650462962962963E-3</v>
      </c>
    </row>
    <row r="1446" spans="1:12" x14ac:dyDescent="0.25">
      <c r="A1446" s="3">
        <v>45714.687557870369</v>
      </c>
      <c r="B1446" t="s">
        <v>89</v>
      </c>
      <c r="C1446" s="3">
        <v>45714.783055555556</v>
      </c>
      <c r="D1446" t="s">
        <v>336</v>
      </c>
      <c r="E1446" s="4">
        <v>40.411999999999999</v>
      </c>
      <c r="F1446" s="4">
        <v>63176.11</v>
      </c>
      <c r="G1446" s="4">
        <v>63216.521999999997</v>
      </c>
      <c r="H1446" s="5">
        <f>2661 / 86400</f>
        <v>3.079861111111111E-2</v>
      </c>
      <c r="I1446" t="s">
        <v>112</v>
      </c>
      <c r="J1446" t="s">
        <v>20</v>
      </c>
      <c r="K1446" s="5">
        <f>8251 / 86400</f>
        <v>9.5497685185185185E-2</v>
      </c>
      <c r="L1446" s="5">
        <f>30 / 86400</f>
        <v>3.4722222222222224E-4</v>
      </c>
    </row>
    <row r="1447" spans="1:12" x14ac:dyDescent="0.25">
      <c r="A1447" s="3">
        <v>45714.783402777779</v>
      </c>
      <c r="B1447" t="s">
        <v>336</v>
      </c>
      <c r="C1447" s="3">
        <v>45714.949733796297</v>
      </c>
      <c r="D1447" t="s">
        <v>280</v>
      </c>
      <c r="E1447" s="4">
        <v>76.805000000000007</v>
      </c>
      <c r="F1447" s="4">
        <v>63216.521999999997</v>
      </c>
      <c r="G1447" s="4">
        <v>63293.326999999997</v>
      </c>
      <c r="H1447" s="5">
        <f>4320 / 86400</f>
        <v>0.05</v>
      </c>
      <c r="I1447" t="s">
        <v>418</v>
      </c>
      <c r="J1447" t="s">
        <v>25</v>
      </c>
      <c r="K1447" s="5">
        <f>14371 / 86400</f>
        <v>0.16633101851851853</v>
      </c>
      <c r="L1447" s="5">
        <f>23 / 86400</f>
        <v>2.6620370370370372E-4</v>
      </c>
    </row>
    <row r="1448" spans="1:12" x14ac:dyDescent="0.25">
      <c r="A1448" s="3">
        <v>45714.95</v>
      </c>
      <c r="B1448" t="s">
        <v>280</v>
      </c>
      <c r="C1448" s="3">
        <v>45714.950150462959</v>
      </c>
      <c r="D1448" t="s">
        <v>280</v>
      </c>
      <c r="E1448" s="4">
        <v>0</v>
      </c>
      <c r="F1448" s="4">
        <v>63293.326999999997</v>
      </c>
      <c r="G1448" s="4">
        <v>63293.326999999997</v>
      </c>
      <c r="H1448" s="5">
        <f>0 / 86400</f>
        <v>0</v>
      </c>
      <c r="I1448" t="s">
        <v>22</v>
      </c>
      <c r="J1448" t="s">
        <v>22</v>
      </c>
      <c r="K1448" s="5">
        <f>12 / 86400</f>
        <v>1.3888888888888889E-4</v>
      </c>
      <c r="L1448" s="5">
        <f>100 / 86400</f>
        <v>1.1574074074074073E-3</v>
      </c>
    </row>
    <row r="1449" spans="1:12" x14ac:dyDescent="0.25">
      <c r="A1449" s="3">
        <v>45714.951307870375</v>
      </c>
      <c r="B1449" t="s">
        <v>280</v>
      </c>
      <c r="C1449" s="3">
        <v>45714.951435185183</v>
      </c>
      <c r="D1449" t="s">
        <v>280</v>
      </c>
      <c r="E1449" s="4">
        <v>1E-3</v>
      </c>
      <c r="F1449" s="4">
        <v>63293.326999999997</v>
      </c>
      <c r="G1449" s="4">
        <v>63293.328000000001</v>
      </c>
      <c r="H1449" s="5">
        <f>0 / 86400</f>
        <v>0</v>
      </c>
      <c r="I1449" t="s">
        <v>22</v>
      </c>
      <c r="J1449" t="s">
        <v>22</v>
      </c>
      <c r="K1449" s="5">
        <f>11 / 86400</f>
        <v>1.273148148148148E-4</v>
      </c>
      <c r="L1449" s="5">
        <f>97 / 86400</f>
        <v>1.1226851851851851E-3</v>
      </c>
    </row>
    <row r="1450" spans="1:12" x14ac:dyDescent="0.25">
      <c r="A1450" s="3">
        <v>45714.952557870369</v>
      </c>
      <c r="B1450" t="s">
        <v>280</v>
      </c>
      <c r="C1450" s="3">
        <v>45714.952743055561</v>
      </c>
      <c r="D1450" t="s">
        <v>280</v>
      </c>
      <c r="E1450" s="4">
        <v>2E-3</v>
      </c>
      <c r="F1450" s="4">
        <v>63293.328000000001</v>
      </c>
      <c r="G1450" s="4">
        <v>63293.33</v>
      </c>
      <c r="H1450" s="5">
        <f>0 / 86400</f>
        <v>0</v>
      </c>
      <c r="I1450" t="s">
        <v>22</v>
      </c>
      <c r="J1450" t="s">
        <v>22</v>
      </c>
      <c r="K1450" s="5">
        <f>16 / 86400</f>
        <v>1.8518518518518518E-4</v>
      </c>
      <c r="L1450" s="5">
        <f>143 / 86400</f>
        <v>1.6550925925925926E-3</v>
      </c>
    </row>
    <row r="1451" spans="1:12" x14ac:dyDescent="0.25">
      <c r="A1451" s="3">
        <v>45714.954398148147</v>
      </c>
      <c r="B1451" t="s">
        <v>210</v>
      </c>
      <c r="C1451" s="3">
        <v>45714.954513888893</v>
      </c>
      <c r="D1451" t="s">
        <v>210</v>
      </c>
      <c r="E1451" s="4">
        <v>3.0000000000000001E-3</v>
      </c>
      <c r="F1451" s="4">
        <v>63293.33</v>
      </c>
      <c r="G1451" s="4">
        <v>63293.332999999999</v>
      </c>
      <c r="H1451" s="5">
        <f>0 / 86400</f>
        <v>0</v>
      </c>
      <c r="I1451" t="s">
        <v>22</v>
      </c>
      <c r="J1451" t="s">
        <v>78</v>
      </c>
      <c r="K1451" s="5">
        <f>10 / 86400</f>
        <v>1.1574074074074075E-4</v>
      </c>
      <c r="L1451" s="5">
        <f>60 / 86400</f>
        <v>6.9444444444444447E-4</v>
      </c>
    </row>
    <row r="1452" spans="1:12" x14ac:dyDescent="0.25">
      <c r="A1452" s="3">
        <v>45714.955208333333</v>
      </c>
      <c r="B1452" t="s">
        <v>280</v>
      </c>
      <c r="C1452" s="3">
        <v>45714.99998842593</v>
      </c>
      <c r="D1452" t="s">
        <v>122</v>
      </c>
      <c r="E1452" s="4">
        <v>18.135000000000002</v>
      </c>
      <c r="F1452" s="4">
        <v>63293.332999999999</v>
      </c>
      <c r="G1452" s="4">
        <v>63311.468000000001</v>
      </c>
      <c r="H1452" s="5">
        <f>1479 / 86400</f>
        <v>1.7118055555555556E-2</v>
      </c>
      <c r="I1452" t="s">
        <v>56</v>
      </c>
      <c r="J1452" t="s">
        <v>61</v>
      </c>
      <c r="K1452" s="5">
        <f>3869 / 86400</f>
        <v>4.4780092592592594E-2</v>
      </c>
      <c r="L1452" s="5">
        <f>0 / 86400</f>
        <v>0</v>
      </c>
    </row>
    <row r="1453" spans="1:12" x14ac:dyDescent="0.25">
      <c r="A1453" s="12"/>
      <c r="B1453" s="12"/>
      <c r="C1453" s="12"/>
      <c r="D1453" s="12"/>
      <c r="E1453" s="12"/>
      <c r="F1453" s="12"/>
      <c r="G1453" s="12"/>
      <c r="H1453" s="12"/>
      <c r="I1453" s="12"/>
      <c r="J1453" s="12"/>
    </row>
    <row r="1454" spans="1:12" x14ac:dyDescent="0.25">
      <c r="A1454" s="12"/>
      <c r="B1454" s="12"/>
      <c r="C1454" s="12"/>
      <c r="D1454" s="12"/>
      <c r="E1454" s="12"/>
      <c r="F1454" s="12"/>
      <c r="G1454" s="12"/>
      <c r="H1454" s="12"/>
      <c r="I1454" s="12"/>
      <c r="J1454" s="12"/>
    </row>
    <row r="1455" spans="1:12" s="10" customFormat="1" ht="20.100000000000001" customHeight="1" x14ac:dyDescent="0.35">
      <c r="A1455" s="15" t="s">
        <v>526</v>
      </c>
      <c r="B1455" s="15"/>
      <c r="C1455" s="15"/>
      <c r="D1455" s="15"/>
      <c r="E1455" s="15"/>
      <c r="F1455" s="15"/>
      <c r="G1455" s="15"/>
      <c r="H1455" s="15"/>
      <c r="I1455" s="15"/>
      <c r="J1455" s="15"/>
    </row>
    <row r="1456" spans="1:12" x14ac:dyDescent="0.25">
      <c r="A1456" s="12"/>
      <c r="B1456" s="12"/>
      <c r="C1456" s="12"/>
      <c r="D1456" s="12"/>
      <c r="E1456" s="12"/>
      <c r="F1456" s="12"/>
      <c r="G1456" s="12"/>
      <c r="H1456" s="12"/>
      <c r="I1456" s="12"/>
      <c r="J1456" s="12"/>
    </row>
    <row r="1457" spans="1:12" ht="30" x14ac:dyDescent="0.25">
      <c r="A1457" s="2" t="s">
        <v>6</v>
      </c>
      <c r="B1457" s="2" t="s">
        <v>7</v>
      </c>
      <c r="C1457" s="2" t="s">
        <v>8</v>
      </c>
      <c r="D1457" s="2" t="s">
        <v>9</v>
      </c>
      <c r="E1457" s="2" t="s">
        <v>10</v>
      </c>
      <c r="F1457" s="2" t="s">
        <v>11</v>
      </c>
      <c r="G1457" s="2" t="s">
        <v>12</v>
      </c>
      <c r="H1457" s="2" t="s">
        <v>13</v>
      </c>
      <c r="I1457" s="2" t="s">
        <v>14</v>
      </c>
      <c r="J1457" s="2" t="s">
        <v>15</v>
      </c>
      <c r="K1457" s="2" t="s">
        <v>16</v>
      </c>
      <c r="L1457" s="2" t="s">
        <v>17</v>
      </c>
    </row>
    <row r="1458" spans="1:12" x14ac:dyDescent="0.25">
      <c r="A1458" s="3">
        <v>45714</v>
      </c>
      <c r="B1458" t="s">
        <v>123</v>
      </c>
      <c r="C1458" s="3">
        <v>45714.001250000001</v>
      </c>
      <c r="D1458" t="s">
        <v>39</v>
      </c>
      <c r="E1458" s="4">
        <v>7.8000000007450582E-2</v>
      </c>
      <c r="F1458" s="4">
        <v>66686.876999999993</v>
      </c>
      <c r="G1458" s="4">
        <v>66686.955000000002</v>
      </c>
      <c r="H1458" s="5">
        <f>40 / 86400</f>
        <v>4.6296296296296298E-4</v>
      </c>
      <c r="I1458" t="s">
        <v>61</v>
      </c>
      <c r="J1458" t="s">
        <v>102</v>
      </c>
      <c r="K1458" s="5">
        <f>108 / 86400</f>
        <v>1.25E-3</v>
      </c>
      <c r="L1458" s="5">
        <f>16531 / 86400</f>
        <v>0.19133101851851853</v>
      </c>
    </row>
    <row r="1459" spans="1:12" x14ac:dyDescent="0.25">
      <c r="A1459" s="3">
        <v>45714.19258101852</v>
      </c>
      <c r="B1459" t="s">
        <v>39</v>
      </c>
      <c r="C1459" s="3">
        <v>45714.371736111112</v>
      </c>
      <c r="D1459" t="s">
        <v>125</v>
      </c>
      <c r="E1459" s="4">
        <v>97.459999999992547</v>
      </c>
      <c r="F1459" s="4">
        <v>66686.955000000002</v>
      </c>
      <c r="G1459" s="4">
        <v>66784.414999999994</v>
      </c>
      <c r="H1459" s="5">
        <f>4299 / 86400</f>
        <v>4.9756944444444444E-2</v>
      </c>
      <c r="I1459" t="s">
        <v>63</v>
      </c>
      <c r="J1459" t="s">
        <v>134</v>
      </c>
      <c r="K1459" s="5">
        <f>15479 / 86400</f>
        <v>0.1791550925925926</v>
      </c>
      <c r="L1459" s="5">
        <f>5920 / 86400</f>
        <v>6.851851851851852E-2</v>
      </c>
    </row>
    <row r="1460" spans="1:12" x14ac:dyDescent="0.25">
      <c r="A1460" s="3">
        <v>45714.440254629633</v>
      </c>
      <c r="B1460" t="s">
        <v>125</v>
      </c>
      <c r="C1460" s="3">
        <v>45714.448969907404</v>
      </c>
      <c r="D1460" t="s">
        <v>163</v>
      </c>
      <c r="E1460" s="4">
        <v>1.1640000000074506</v>
      </c>
      <c r="F1460" s="4">
        <v>66784.414999999994</v>
      </c>
      <c r="G1460" s="4">
        <v>66785.578999999998</v>
      </c>
      <c r="H1460" s="5">
        <f>419 / 86400</f>
        <v>4.8495370370370368E-3</v>
      </c>
      <c r="I1460" t="s">
        <v>186</v>
      </c>
      <c r="J1460" t="s">
        <v>135</v>
      </c>
      <c r="K1460" s="5">
        <f>752 / 86400</f>
        <v>8.7037037037037031E-3</v>
      </c>
      <c r="L1460" s="5">
        <f>343 / 86400</f>
        <v>3.9699074074074072E-3</v>
      </c>
    </row>
    <row r="1461" spans="1:12" x14ac:dyDescent="0.25">
      <c r="A1461" s="3">
        <v>45714.452939814815</v>
      </c>
      <c r="B1461" t="s">
        <v>163</v>
      </c>
      <c r="C1461" s="3">
        <v>45714.55569444444</v>
      </c>
      <c r="D1461" t="s">
        <v>443</v>
      </c>
      <c r="E1461" s="4">
        <v>49.356000000000002</v>
      </c>
      <c r="F1461" s="4">
        <v>66785.578999999998</v>
      </c>
      <c r="G1461" s="4">
        <v>66834.934999999998</v>
      </c>
      <c r="H1461" s="5">
        <f>2960 / 86400</f>
        <v>3.425925925925926E-2</v>
      </c>
      <c r="I1461" t="s">
        <v>124</v>
      </c>
      <c r="J1461" t="s">
        <v>64</v>
      </c>
      <c r="K1461" s="5">
        <f>8877 / 86400</f>
        <v>0.10274305555555556</v>
      </c>
      <c r="L1461" s="5">
        <f>486 / 86400</f>
        <v>5.6249999999999998E-3</v>
      </c>
    </row>
    <row r="1462" spans="1:12" x14ac:dyDescent="0.25">
      <c r="A1462" s="3">
        <v>45714.561319444445</v>
      </c>
      <c r="B1462" t="s">
        <v>443</v>
      </c>
      <c r="C1462" s="3">
        <v>45714.65724537037</v>
      </c>
      <c r="D1462" t="s">
        <v>80</v>
      </c>
      <c r="E1462" s="4">
        <v>46.085999999992552</v>
      </c>
      <c r="F1462" s="4">
        <v>66834.934999999998</v>
      </c>
      <c r="G1462" s="4">
        <v>66881.020999999993</v>
      </c>
      <c r="H1462" s="5">
        <f>3141 / 86400</f>
        <v>3.6354166666666667E-2</v>
      </c>
      <c r="I1462" t="s">
        <v>466</v>
      </c>
      <c r="J1462" t="s">
        <v>64</v>
      </c>
      <c r="K1462" s="5">
        <f>8288 / 86400</f>
        <v>9.5925925925925928E-2</v>
      </c>
      <c r="L1462" s="5">
        <f>545 / 86400</f>
        <v>6.3078703703703708E-3</v>
      </c>
    </row>
    <row r="1463" spans="1:12" x14ac:dyDescent="0.25">
      <c r="A1463" s="3">
        <v>45714.663553240738</v>
      </c>
      <c r="B1463" t="s">
        <v>80</v>
      </c>
      <c r="C1463" s="3">
        <v>45714.666539351849</v>
      </c>
      <c r="D1463" t="s">
        <v>125</v>
      </c>
      <c r="E1463" s="4">
        <v>0.98499999999999999</v>
      </c>
      <c r="F1463" s="4">
        <v>66881.020999999993</v>
      </c>
      <c r="G1463" s="4">
        <v>66882.005999999994</v>
      </c>
      <c r="H1463" s="5">
        <f>40 / 86400</f>
        <v>4.6296296296296298E-4</v>
      </c>
      <c r="I1463" t="s">
        <v>197</v>
      </c>
      <c r="J1463" t="s">
        <v>52</v>
      </c>
      <c r="K1463" s="5">
        <f>257 / 86400</f>
        <v>2.9745370370370373E-3</v>
      </c>
      <c r="L1463" s="5">
        <f>582 / 86400</f>
        <v>6.7361111111111111E-3</v>
      </c>
    </row>
    <row r="1464" spans="1:12" x14ac:dyDescent="0.25">
      <c r="A1464" s="3">
        <v>45714.673275462963</v>
      </c>
      <c r="B1464" t="s">
        <v>125</v>
      </c>
      <c r="C1464" s="3">
        <v>45714.995995370366</v>
      </c>
      <c r="D1464" t="s">
        <v>99</v>
      </c>
      <c r="E1464" s="4">
        <v>148.67000000001491</v>
      </c>
      <c r="F1464" s="4">
        <v>66882.005999999994</v>
      </c>
      <c r="G1464" s="4">
        <v>67030.676000000007</v>
      </c>
      <c r="H1464" s="5">
        <f>9240 / 86400</f>
        <v>0.10694444444444444</v>
      </c>
      <c r="I1464" t="s">
        <v>54</v>
      </c>
      <c r="J1464" t="s">
        <v>25</v>
      </c>
      <c r="K1464" s="5">
        <f>27882 / 86400</f>
        <v>0.32270833333333332</v>
      </c>
      <c r="L1464" s="5">
        <f>345 / 86400</f>
        <v>3.9930555555555552E-3</v>
      </c>
    </row>
    <row r="1465" spans="1:12" x14ac:dyDescent="0.25">
      <c r="A1465" s="12"/>
      <c r="B1465" s="12"/>
      <c r="C1465" s="12"/>
      <c r="D1465" s="12"/>
      <c r="E1465" s="12"/>
      <c r="F1465" s="12"/>
      <c r="G1465" s="12"/>
      <c r="H1465" s="12"/>
      <c r="I1465" s="12"/>
      <c r="J1465" s="12"/>
    </row>
    <row r="1466" spans="1:12" x14ac:dyDescent="0.25">
      <c r="A1466" s="12"/>
      <c r="B1466" s="12"/>
      <c r="C1466" s="12"/>
      <c r="D1466" s="12"/>
      <c r="E1466" s="12"/>
      <c r="F1466" s="12"/>
      <c r="G1466" s="12"/>
      <c r="H1466" s="12"/>
      <c r="I1466" s="12"/>
      <c r="J1466" s="12"/>
    </row>
    <row r="1467" spans="1:12" s="10" customFormat="1" ht="20.100000000000001" customHeight="1" x14ac:dyDescent="0.35">
      <c r="A1467" s="15" t="s">
        <v>527</v>
      </c>
      <c r="B1467" s="15"/>
      <c r="C1467" s="15"/>
      <c r="D1467" s="15"/>
      <c r="E1467" s="15"/>
      <c r="F1467" s="15"/>
      <c r="G1467" s="15"/>
      <c r="H1467" s="15"/>
      <c r="I1467" s="15"/>
      <c r="J1467" s="15"/>
    </row>
    <row r="1468" spans="1:12" x14ac:dyDescent="0.25">
      <c r="A1468" s="12"/>
      <c r="B1468" s="12"/>
      <c r="C1468" s="12"/>
      <c r="D1468" s="12"/>
      <c r="E1468" s="12"/>
      <c r="F1468" s="12"/>
      <c r="G1468" s="12"/>
      <c r="H1468" s="12"/>
      <c r="I1468" s="12"/>
      <c r="J1468" s="12"/>
    </row>
    <row r="1469" spans="1:12" ht="30" x14ac:dyDescent="0.25">
      <c r="A1469" s="2" t="s">
        <v>6</v>
      </c>
      <c r="B1469" s="2" t="s">
        <v>7</v>
      </c>
      <c r="C1469" s="2" t="s">
        <v>8</v>
      </c>
      <c r="D1469" s="2" t="s">
        <v>9</v>
      </c>
      <c r="E1469" s="2" t="s">
        <v>10</v>
      </c>
      <c r="F1469" s="2" t="s">
        <v>11</v>
      </c>
      <c r="G1469" s="2" t="s">
        <v>12</v>
      </c>
      <c r="H1469" s="2" t="s">
        <v>13</v>
      </c>
      <c r="I1469" s="2" t="s">
        <v>14</v>
      </c>
      <c r="J1469" s="2" t="s">
        <v>15</v>
      </c>
      <c r="K1469" s="2" t="s">
        <v>16</v>
      </c>
      <c r="L1469" s="2" t="s">
        <v>17</v>
      </c>
    </row>
    <row r="1470" spans="1:12" x14ac:dyDescent="0.25">
      <c r="A1470" s="3">
        <v>45714.25445601852</v>
      </c>
      <c r="B1470" t="s">
        <v>125</v>
      </c>
      <c r="C1470" s="3">
        <v>45714.643900462965</v>
      </c>
      <c r="D1470" t="s">
        <v>414</v>
      </c>
      <c r="E1470" s="4">
        <v>151.488</v>
      </c>
      <c r="F1470" s="4">
        <v>294115.99699999997</v>
      </c>
      <c r="G1470" s="4">
        <v>294267.48499999999</v>
      </c>
      <c r="H1470" s="5">
        <f>12399 / 86400</f>
        <v>0.14350694444444445</v>
      </c>
      <c r="I1470" t="s">
        <v>90</v>
      </c>
      <c r="J1470" t="s">
        <v>28</v>
      </c>
      <c r="K1470" s="5">
        <f>33648 / 86400</f>
        <v>0.38944444444444443</v>
      </c>
      <c r="L1470" s="5">
        <f>23395 / 86400</f>
        <v>0.27077546296296295</v>
      </c>
    </row>
    <row r="1471" spans="1:12" x14ac:dyDescent="0.25">
      <c r="A1471" s="3">
        <v>45714.660219907411</v>
      </c>
      <c r="B1471" t="s">
        <v>414</v>
      </c>
      <c r="C1471" s="3">
        <v>45714.69127314815</v>
      </c>
      <c r="D1471" t="s">
        <v>159</v>
      </c>
      <c r="E1471" s="4">
        <v>0.79500000000000004</v>
      </c>
      <c r="F1471" s="4">
        <v>294267.48499999999</v>
      </c>
      <c r="G1471" s="4">
        <v>294268.28000000003</v>
      </c>
      <c r="H1471" s="5">
        <f>2379 / 86400</f>
        <v>2.7534722222222221E-2</v>
      </c>
      <c r="I1471" t="s">
        <v>20</v>
      </c>
      <c r="J1471" t="s">
        <v>78</v>
      </c>
      <c r="K1471" s="5">
        <f>2683 / 86400</f>
        <v>3.1053240740740742E-2</v>
      </c>
      <c r="L1471" s="5">
        <f>2355 / 86400</f>
        <v>2.7256944444444445E-2</v>
      </c>
    </row>
    <row r="1472" spans="1:12" x14ac:dyDescent="0.25">
      <c r="A1472" s="3">
        <v>45714.718530092592</v>
      </c>
      <c r="B1472" t="s">
        <v>159</v>
      </c>
      <c r="C1472" s="3">
        <v>45714.90121527778</v>
      </c>
      <c r="D1472" t="s">
        <v>125</v>
      </c>
      <c r="E1472" s="4">
        <v>52.109000000000002</v>
      </c>
      <c r="F1472" s="4">
        <v>294268.28000000003</v>
      </c>
      <c r="G1472" s="4">
        <v>294320.38900000002</v>
      </c>
      <c r="H1472" s="5">
        <f>7260 / 86400</f>
        <v>8.4027777777777785E-2</v>
      </c>
      <c r="I1472" t="s">
        <v>97</v>
      </c>
      <c r="J1472" t="s">
        <v>98</v>
      </c>
      <c r="K1472" s="5">
        <f>15784 / 86400</f>
        <v>0.18268518518518517</v>
      </c>
      <c r="L1472" s="5">
        <f>8534 / 86400</f>
        <v>9.8773148148148152E-2</v>
      </c>
    </row>
    <row r="1473" spans="1:10" x14ac:dyDescent="0.25">
      <c r="A1473" s="12"/>
      <c r="B1473" s="12"/>
      <c r="C1473" s="12"/>
      <c r="D1473" s="12"/>
      <c r="E1473" s="12"/>
      <c r="F1473" s="12"/>
      <c r="G1473" s="12"/>
      <c r="H1473" s="12"/>
      <c r="I1473" s="12"/>
      <c r="J1473" s="12"/>
    </row>
    <row r="1474" spans="1:10" x14ac:dyDescent="0.25">
      <c r="A1474" s="12" t="s">
        <v>127</v>
      </c>
      <c r="B1474" s="12"/>
      <c r="C1474" s="12"/>
      <c r="D1474" s="12"/>
      <c r="E1474" s="12"/>
      <c r="F1474" s="12"/>
      <c r="G1474" s="12"/>
      <c r="H1474" s="12"/>
      <c r="I1474" s="12"/>
      <c r="J1474" s="12"/>
    </row>
  </sheetData>
  <mergeCells count="254">
    <mergeCell ref="A1468:J1468"/>
    <mergeCell ref="A1473:J1473"/>
    <mergeCell ref="A1474:J1474"/>
    <mergeCell ref="A1430:J1430"/>
    <mergeCell ref="A1431:J1431"/>
    <mergeCell ref="A1453:J1453"/>
    <mergeCell ref="A1454:J1454"/>
    <mergeCell ref="A1455:J1455"/>
    <mergeCell ref="A1456:J1456"/>
    <mergeCell ref="A1465:J1465"/>
    <mergeCell ref="A1466:J1466"/>
    <mergeCell ref="A1467:J1467"/>
    <mergeCell ref="A1398:J1398"/>
    <mergeCell ref="A1399:J1399"/>
    <mergeCell ref="A1400:J1400"/>
    <mergeCell ref="A1411:J1411"/>
    <mergeCell ref="A1412:J1412"/>
    <mergeCell ref="A1413:J1413"/>
    <mergeCell ref="A1414:J1414"/>
    <mergeCell ref="A1428:J1428"/>
    <mergeCell ref="A1429:J1429"/>
    <mergeCell ref="A1373:J1373"/>
    <mergeCell ref="A1374:J1374"/>
    <mergeCell ref="A1375:J1375"/>
    <mergeCell ref="A1376:J1376"/>
    <mergeCell ref="A1386:J1386"/>
    <mergeCell ref="A1387:J1387"/>
    <mergeCell ref="A1388:J1388"/>
    <mergeCell ref="A1389:J1389"/>
    <mergeCell ref="A1397:J1397"/>
    <mergeCell ref="A1336:J1336"/>
    <mergeCell ref="A1348:J1348"/>
    <mergeCell ref="A1349:J1349"/>
    <mergeCell ref="A1350:J1350"/>
    <mergeCell ref="A1351:J1351"/>
    <mergeCell ref="A1360:J1360"/>
    <mergeCell ref="A1361:J1361"/>
    <mergeCell ref="A1362:J1362"/>
    <mergeCell ref="A1363:J1363"/>
    <mergeCell ref="A1301:J1301"/>
    <mergeCell ref="A1302:J1302"/>
    <mergeCell ref="A1310:J1310"/>
    <mergeCell ref="A1311:J1311"/>
    <mergeCell ref="A1312:J1312"/>
    <mergeCell ref="A1313:J1313"/>
    <mergeCell ref="A1333:J1333"/>
    <mergeCell ref="A1334:J1334"/>
    <mergeCell ref="A1335:J1335"/>
    <mergeCell ref="A1263:J1263"/>
    <mergeCell ref="A1264:J1264"/>
    <mergeCell ref="A1265:J1265"/>
    <mergeCell ref="A1282:J1282"/>
    <mergeCell ref="A1283:J1283"/>
    <mergeCell ref="A1284:J1284"/>
    <mergeCell ref="A1285:J1285"/>
    <mergeCell ref="A1299:J1299"/>
    <mergeCell ref="A1300:J1300"/>
    <mergeCell ref="A1223:J1223"/>
    <mergeCell ref="A1224:J1224"/>
    <mergeCell ref="A1225:J1225"/>
    <mergeCell ref="A1226:J1226"/>
    <mergeCell ref="A1237:J1237"/>
    <mergeCell ref="A1238:J1238"/>
    <mergeCell ref="A1239:J1239"/>
    <mergeCell ref="A1240:J1240"/>
    <mergeCell ref="A1262:J1262"/>
    <mergeCell ref="A1158:J1158"/>
    <mergeCell ref="A1169:J1169"/>
    <mergeCell ref="A1170:J1170"/>
    <mergeCell ref="A1171:J1171"/>
    <mergeCell ref="A1172:J1172"/>
    <mergeCell ref="A1181:J1181"/>
    <mergeCell ref="A1182:J1182"/>
    <mergeCell ref="A1183:J1183"/>
    <mergeCell ref="A1184:J1184"/>
    <mergeCell ref="A1125:J1125"/>
    <mergeCell ref="A1126:J1126"/>
    <mergeCell ref="A1144:J1144"/>
    <mergeCell ref="A1145:J1145"/>
    <mergeCell ref="A1146:J1146"/>
    <mergeCell ref="A1147:J1147"/>
    <mergeCell ref="A1155:J1155"/>
    <mergeCell ref="A1156:J1156"/>
    <mergeCell ref="A1157:J1157"/>
    <mergeCell ref="A1096:J1096"/>
    <mergeCell ref="A1097:J1097"/>
    <mergeCell ref="A1098:J1098"/>
    <mergeCell ref="A1108:J1108"/>
    <mergeCell ref="A1109:J1109"/>
    <mergeCell ref="A1110:J1110"/>
    <mergeCell ref="A1111:J1111"/>
    <mergeCell ref="A1123:J1123"/>
    <mergeCell ref="A1124:J1124"/>
    <mergeCell ref="A1063:J1063"/>
    <mergeCell ref="A1064:J1064"/>
    <mergeCell ref="A1065:J1065"/>
    <mergeCell ref="A1066:J1066"/>
    <mergeCell ref="A1081:J1081"/>
    <mergeCell ref="A1082:J1082"/>
    <mergeCell ref="A1083:J1083"/>
    <mergeCell ref="A1084:J1084"/>
    <mergeCell ref="A1095:J1095"/>
    <mergeCell ref="A1025:J1025"/>
    <mergeCell ref="A1035:J1035"/>
    <mergeCell ref="A1036:J1036"/>
    <mergeCell ref="A1037:J1037"/>
    <mergeCell ref="A1038:J1038"/>
    <mergeCell ref="A1048:J1048"/>
    <mergeCell ref="A1049:J1049"/>
    <mergeCell ref="A1050:J1050"/>
    <mergeCell ref="A1051:J1051"/>
    <mergeCell ref="A1003:J1003"/>
    <mergeCell ref="A1004:J1004"/>
    <mergeCell ref="A1007:J1007"/>
    <mergeCell ref="A1008:J1008"/>
    <mergeCell ref="A1009:J1009"/>
    <mergeCell ref="A1010:J1010"/>
    <mergeCell ref="A1022:J1022"/>
    <mergeCell ref="A1023:J1023"/>
    <mergeCell ref="A1024:J1024"/>
    <mergeCell ref="A940:J940"/>
    <mergeCell ref="A941:J941"/>
    <mergeCell ref="A942:J942"/>
    <mergeCell ref="A959:J959"/>
    <mergeCell ref="A960:J960"/>
    <mergeCell ref="A961:J961"/>
    <mergeCell ref="A962:J962"/>
    <mergeCell ref="A1001:J1001"/>
    <mergeCell ref="A1002:J1002"/>
    <mergeCell ref="A905:J905"/>
    <mergeCell ref="A906:J906"/>
    <mergeCell ref="A907:J907"/>
    <mergeCell ref="A908:J908"/>
    <mergeCell ref="A931:J931"/>
    <mergeCell ref="A932:J932"/>
    <mergeCell ref="A933:J933"/>
    <mergeCell ref="A934:J934"/>
    <mergeCell ref="A939:J939"/>
    <mergeCell ref="A864:J864"/>
    <mergeCell ref="A870:J870"/>
    <mergeCell ref="A871:J871"/>
    <mergeCell ref="A872:J872"/>
    <mergeCell ref="A873:J873"/>
    <mergeCell ref="A880:J880"/>
    <mergeCell ref="A881:J881"/>
    <mergeCell ref="A882:J882"/>
    <mergeCell ref="A883:J883"/>
    <mergeCell ref="A830:J830"/>
    <mergeCell ref="A831:J831"/>
    <mergeCell ref="A839:J839"/>
    <mergeCell ref="A840:J840"/>
    <mergeCell ref="A841:J841"/>
    <mergeCell ref="A842:J842"/>
    <mergeCell ref="A861:J861"/>
    <mergeCell ref="A862:J862"/>
    <mergeCell ref="A863:J863"/>
    <mergeCell ref="A796:J796"/>
    <mergeCell ref="A797:J797"/>
    <mergeCell ref="A798:J798"/>
    <mergeCell ref="A811:J811"/>
    <mergeCell ref="A812:J812"/>
    <mergeCell ref="A813:J813"/>
    <mergeCell ref="A814:J814"/>
    <mergeCell ref="A828:J828"/>
    <mergeCell ref="A829:J829"/>
    <mergeCell ref="A774:J774"/>
    <mergeCell ref="A775:J775"/>
    <mergeCell ref="A776:J776"/>
    <mergeCell ref="A777:J777"/>
    <mergeCell ref="A786:J786"/>
    <mergeCell ref="A787:J787"/>
    <mergeCell ref="A788:J788"/>
    <mergeCell ref="A789:J789"/>
    <mergeCell ref="A795:J795"/>
    <mergeCell ref="A730:J730"/>
    <mergeCell ref="A742:J742"/>
    <mergeCell ref="A743:J743"/>
    <mergeCell ref="A744:J744"/>
    <mergeCell ref="A745:J745"/>
    <mergeCell ref="A759:J759"/>
    <mergeCell ref="A760:J760"/>
    <mergeCell ref="A761:J761"/>
    <mergeCell ref="A762:J762"/>
    <mergeCell ref="A698:J698"/>
    <mergeCell ref="A699:J699"/>
    <mergeCell ref="A714:J714"/>
    <mergeCell ref="A715:J715"/>
    <mergeCell ref="A716:J716"/>
    <mergeCell ref="A717:J717"/>
    <mergeCell ref="A727:J727"/>
    <mergeCell ref="A728:J728"/>
    <mergeCell ref="A729:J729"/>
    <mergeCell ref="A656:J656"/>
    <mergeCell ref="A657:J657"/>
    <mergeCell ref="A658:J658"/>
    <mergeCell ref="A678:J678"/>
    <mergeCell ref="A679:J679"/>
    <mergeCell ref="A680:J680"/>
    <mergeCell ref="A681:J681"/>
    <mergeCell ref="A696:J696"/>
    <mergeCell ref="A697:J697"/>
    <mergeCell ref="A624:J624"/>
    <mergeCell ref="A625:J625"/>
    <mergeCell ref="A626:J626"/>
    <mergeCell ref="A627:J627"/>
    <mergeCell ref="A646:J646"/>
    <mergeCell ref="A647:J647"/>
    <mergeCell ref="A648:J648"/>
    <mergeCell ref="A649:J649"/>
    <mergeCell ref="A655:J655"/>
    <mergeCell ref="A175:J175"/>
    <mergeCell ref="A183:J183"/>
    <mergeCell ref="A184:J184"/>
    <mergeCell ref="A185:J185"/>
    <mergeCell ref="A186:J186"/>
    <mergeCell ref="A607:J607"/>
    <mergeCell ref="A608:J608"/>
    <mergeCell ref="A609:J609"/>
    <mergeCell ref="A610:J610"/>
    <mergeCell ref="A149:J149"/>
    <mergeCell ref="A150:J150"/>
    <mergeCell ref="A163:J163"/>
    <mergeCell ref="A164:J164"/>
    <mergeCell ref="A165:J165"/>
    <mergeCell ref="A166:J166"/>
    <mergeCell ref="A172:J172"/>
    <mergeCell ref="A173:J173"/>
    <mergeCell ref="A174:J174"/>
    <mergeCell ref="A103:J103"/>
    <mergeCell ref="A104:J104"/>
    <mergeCell ref="A105:J105"/>
    <mergeCell ref="A130:J130"/>
    <mergeCell ref="A131:J131"/>
    <mergeCell ref="A132:J132"/>
    <mergeCell ref="A133:J133"/>
    <mergeCell ref="A147:J147"/>
    <mergeCell ref="A148:J148"/>
    <mergeCell ref="A72:J72"/>
    <mergeCell ref="A73:J73"/>
    <mergeCell ref="A74:J74"/>
    <mergeCell ref="A75:J75"/>
    <mergeCell ref="A91:J91"/>
    <mergeCell ref="A92:J92"/>
    <mergeCell ref="A93:J93"/>
    <mergeCell ref="A94:J94"/>
    <mergeCell ref="A102:J102"/>
    <mergeCell ref="A1:J1"/>
    <mergeCell ref="A2:J2"/>
    <mergeCell ref="A3:J3"/>
    <mergeCell ref="A4:J4"/>
    <mergeCell ref="A5:J5"/>
    <mergeCell ref="A6:J6"/>
    <mergeCell ref="A70:J70"/>
    <mergeCell ref="A71:J71"/>
  </mergeCell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2025-09-22T19:53:16Z</dcterms:created>
  <dcterms:modified xsi:type="dcterms:W3CDTF">2025-09-23T05:43:18Z</dcterms:modified>
</cp:coreProperties>
</file>