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F83A0340-33E9-4683-8977-36A1F68704C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603" i="1" l="1"/>
  <c r="K1603" i="1"/>
  <c r="H1603" i="1"/>
  <c r="L1597" i="1"/>
  <c r="K1597" i="1"/>
  <c r="H1597" i="1"/>
  <c r="L1596" i="1"/>
  <c r="K1596" i="1"/>
  <c r="H1596" i="1"/>
  <c r="L1595" i="1"/>
  <c r="K1595" i="1"/>
  <c r="H1595" i="1"/>
  <c r="L1594" i="1"/>
  <c r="K1594" i="1"/>
  <c r="H1594" i="1"/>
  <c r="L1593" i="1"/>
  <c r="K1593" i="1"/>
  <c r="H1593" i="1"/>
  <c r="L1592" i="1"/>
  <c r="K1592" i="1"/>
  <c r="H1592" i="1"/>
  <c r="L1591" i="1"/>
  <c r="K1591" i="1"/>
  <c r="H1591" i="1"/>
  <c r="L1590" i="1"/>
  <c r="K1590" i="1"/>
  <c r="H1590" i="1"/>
  <c r="L1584" i="1"/>
  <c r="K1584" i="1"/>
  <c r="H1584" i="1"/>
  <c r="L1583" i="1"/>
  <c r="K1583" i="1"/>
  <c r="H1583" i="1"/>
  <c r="L1582" i="1"/>
  <c r="K1582" i="1"/>
  <c r="H1582" i="1"/>
  <c r="L1581" i="1"/>
  <c r="K1581" i="1"/>
  <c r="H1581" i="1"/>
  <c r="L1580" i="1"/>
  <c r="K1580" i="1"/>
  <c r="H1580" i="1"/>
  <c r="L1579" i="1"/>
  <c r="K1579" i="1"/>
  <c r="H1579" i="1"/>
  <c r="L1578" i="1"/>
  <c r="K1578" i="1"/>
  <c r="H1578" i="1"/>
  <c r="L1577" i="1"/>
  <c r="K1577" i="1"/>
  <c r="H1577" i="1"/>
  <c r="L1576" i="1"/>
  <c r="K1576" i="1"/>
  <c r="H1576" i="1"/>
  <c r="L1575" i="1"/>
  <c r="K1575" i="1"/>
  <c r="H1575" i="1"/>
  <c r="L1574" i="1"/>
  <c r="K1574" i="1"/>
  <c r="H1574" i="1"/>
  <c r="L1573" i="1"/>
  <c r="K1573" i="1"/>
  <c r="H1573" i="1"/>
  <c r="L1572" i="1"/>
  <c r="K1572" i="1"/>
  <c r="H1572" i="1"/>
  <c r="L1571" i="1"/>
  <c r="K1571" i="1"/>
  <c r="H1571" i="1"/>
  <c r="L1570" i="1"/>
  <c r="K1570" i="1"/>
  <c r="H1570" i="1"/>
  <c r="L1569" i="1"/>
  <c r="K1569" i="1"/>
  <c r="H1569" i="1"/>
  <c r="L1568" i="1"/>
  <c r="K1568" i="1"/>
  <c r="H1568" i="1"/>
  <c r="L1567" i="1"/>
  <c r="K1567" i="1"/>
  <c r="H1567" i="1"/>
  <c r="L1566" i="1"/>
  <c r="K1566" i="1"/>
  <c r="H1566" i="1"/>
  <c r="L1565" i="1"/>
  <c r="K1565" i="1"/>
  <c r="H1565" i="1"/>
  <c r="L1564" i="1"/>
  <c r="K1564" i="1"/>
  <c r="H1564" i="1"/>
  <c r="L1563" i="1"/>
  <c r="K1563" i="1"/>
  <c r="H1563" i="1"/>
  <c r="L1557" i="1"/>
  <c r="K1557" i="1"/>
  <c r="H1557" i="1"/>
  <c r="L1556" i="1"/>
  <c r="K1556" i="1"/>
  <c r="H1556" i="1"/>
  <c r="L1555" i="1"/>
  <c r="K1555" i="1"/>
  <c r="H1555" i="1"/>
  <c r="L1554" i="1"/>
  <c r="K1554" i="1"/>
  <c r="H1554" i="1"/>
  <c r="L1553" i="1"/>
  <c r="K1553" i="1"/>
  <c r="H1553" i="1"/>
  <c r="L1552" i="1"/>
  <c r="K1552" i="1"/>
  <c r="H1552" i="1"/>
  <c r="L1546" i="1"/>
  <c r="K1546" i="1"/>
  <c r="H1546" i="1"/>
  <c r="L1545" i="1"/>
  <c r="K1545" i="1"/>
  <c r="H1545" i="1"/>
  <c r="L1544" i="1"/>
  <c r="K1544" i="1"/>
  <c r="H1544" i="1"/>
  <c r="L1543" i="1"/>
  <c r="K1543" i="1"/>
  <c r="H1543" i="1"/>
  <c r="L1542" i="1"/>
  <c r="K1542" i="1"/>
  <c r="H1542" i="1"/>
  <c r="L1541" i="1"/>
  <c r="K1541" i="1"/>
  <c r="H1541" i="1"/>
  <c r="L1540" i="1"/>
  <c r="K1540" i="1"/>
  <c r="H1540" i="1"/>
  <c r="L1534" i="1"/>
  <c r="K1534" i="1"/>
  <c r="H1534" i="1"/>
  <c r="L1533" i="1"/>
  <c r="K1533" i="1"/>
  <c r="H1533" i="1"/>
  <c r="L1532" i="1"/>
  <c r="K1532" i="1"/>
  <c r="H1532" i="1"/>
  <c r="L1531" i="1"/>
  <c r="K1531" i="1"/>
  <c r="H1531" i="1"/>
  <c r="L1530" i="1"/>
  <c r="K1530" i="1"/>
  <c r="H1530" i="1"/>
  <c r="L1529" i="1"/>
  <c r="K1529" i="1"/>
  <c r="H1529" i="1"/>
  <c r="L1528" i="1"/>
  <c r="K1528" i="1"/>
  <c r="H1528" i="1"/>
  <c r="L1527" i="1"/>
  <c r="K1527" i="1"/>
  <c r="H1527" i="1"/>
  <c r="L1526" i="1"/>
  <c r="K1526" i="1"/>
  <c r="H1526" i="1"/>
  <c r="L1525" i="1"/>
  <c r="K1525" i="1"/>
  <c r="H1525" i="1"/>
  <c r="L1524" i="1"/>
  <c r="K1524" i="1"/>
  <c r="H1524" i="1"/>
  <c r="L1523" i="1"/>
  <c r="K1523" i="1"/>
  <c r="H1523" i="1"/>
  <c r="L1517" i="1"/>
  <c r="K1517" i="1"/>
  <c r="H1517" i="1"/>
  <c r="L1516" i="1"/>
  <c r="K1516" i="1"/>
  <c r="H1516" i="1"/>
  <c r="L1515" i="1"/>
  <c r="K1515" i="1"/>
  <c r="H1515" i="1"/>
  <c r="L1514" i="1"/>
  <c r="K1514" i="1"/>
  <c r="H1514" i="1"/>
  <c r="L1513" i="1"/>
  <c r="K1513" i="1"/>
  <c r="H1513" i="1"/>
  <c r="L1512" i="1"/>
  <c r="K1512" i="1"/>
  <c r="H1512" i="1"/>
  <c r="L1511" i="1"/>
  <c r="K1511" i="1"/>
  <c r="H1511" i="1"/>
  <c r="L1505" i="1"/>
  <c r="K1505" i="1"/>
  <c r="H1505" i="1"/>
  <c r="L1504" i="1"/>
  <c r="K1504" i="1"/>
  <c r="H1504" i="1"/>
  <c r="L1503" i="1"/>
  <c r="K1503" i="1"/>
  <c r="H1503" i="1"/>
  <c r="L1502" i="1"/>
  <c r="K1502" i="1"/>
  <c r="H1502" i="1"/>
  <c r="L1496" i="1"/>
  <c r="K1496" i="1"/>
  <c r="H1496" i="1"/>
  <c r="L1495" i="1"/>
  <c r="K1495" i="1"/>
  <c r="H1495" i="1"/>
  <c r="L1494" i="1"/>
  <c r="K1494" i="1"/>
  <c r="H1494" i="1"/>
  <c r="L1493" i="1"/>
  <c r="K1493" i="1"/>
  <c r="H1493" i="1"/>
  <c r="L1492" i="1"/>
  <c r="K1492" i="1"/>
  <c r="H1492" i="1"/>
  <c r="L1491" i="1"/>
  <c r="K1491" i="1"/>
  <c r="H1491" i="1"/>
  <c r="L1490" i="1"/>
  <c r="K1490" i="1"/>
  <c r="H1490" i="1"/>
  <c r="L1489" i="1"/>
  <c r="K1489" i="1"/>
  <c r="H1489" i="1"/>
  <c r="L1488" i="1"/>
  <c r="K1488" i="1"/>
  <c r="H1488" i="1"/>
  <c r="L1482" i="1"/>
  <c r="K1482" i="1"/>
  <c r="H1482" i="1"/>
  <c r="L1481" i="1"/>
  <c r="K1481" i="1"/>
  <c r="H1481" i="1"/>
  <c r="L1480" i="1"/>
  <c r="K1480" i="1"/>
  <c r="H1480" i="1"/>
  <c r="L1479" i="1"/>
  <c r="K1479" i="1"/>
  <c r="H1479" i="1"/>
  <c r="L1478" i="1"/>
  <c r="K1478" i="1"/>
  <c r="H1478" i="1"/>
  <c r="L1477" i="1"/>
  <c r="K1477" i="1"/>
  <c r="H1477" i="1"/>
  <c r="L1471" i="1"/>
  <c r="K1471" i="1"/>
  <c r="H1471" i="1"/>
  <c r="L1470" i="1"/>
  <c r="K1470" i="1"/>
  <c r="H1470" i="1"/>
  <c r="L1469" i="1"/>
  <c r="K1469" i="1"/>
  <c r="H1469" i="1"/>
  <c r="L1468" i="1"/>
  <c r="K1468" i="1"/>
  <c r="H1468" i="1"/>
  <c r="L1467" i="1"/>
  <c r="K1467" i="1"/>
  <c r="H1467" i="1"/>
  <c r="L1466" i="1"/>
  <c r="K1466" i="1"/>
  <c r="H1466" i="1"/>
  <c r="L1460" i="1"/>
  <c r="K1460" i="1"/>
  <c r="H1460" i="1"/>
  <c r="L1459" i="1"/>
  <c r="K1459" i="1"/>
  <c r="H1459" i="1"/>
  <c r="L1458" i="1"/>
  <c r="K1458" i="1"/>
  <c r="H1458" i="1"/>
  <c r="L1457" i="1"/>
  <c r="K1457" i="1"/>
  <c r="H1457" i="1"/>
  <c r="L1456" i="1"/>
  <c r="K1456" i="1"/>
  <c r="H1456" i="1"/>
  <c r="L1455" i="1"/>
  <c r="K1455" i="1"/>
  <c r="H1455" i="1"/>
  <c r="L1454" i="1"/>
  <c r="K1454" i="1"/>
  <c r="H1454" i="1"/>
  <c r="L1453" i="1"/>
  <c r="K1453" i="1"/>
  <c r="H1453" i="1"/>
  <c r="L1452" i="1"/>
  <c r="K1452" i="1"/>
  <c r="H1452" i="1"/>
  <c r="L1451" i="1"/>
  <c r="K1451" i="1"/>
  <c r="H1451" i="1"/>
  <c r="L1450" i="1"/>
  <c r="K1450" i="1"/>
  <c r="H1450" i="1"/>
  <c r="L1449" i="1"/>
  <c r="K1449" i="1"/>
  <c r="H1449" i="1"/>
  <c r="L1448" i="1"/>
  <c r="K1448" i="1"/>
  <c r="H1448" i="1"/>
  <c r="L1447" i="1"/>
  <c r="K1447" i="1"/>
  <c r="H1447" i="1"/>
  <c r="L1446" i="1"/>
  <c r="K1446" i="1"/>
  <c r="H1446" i="1"/>
  <c r="L1445" i="1"/>
  <c r="K1445" i="1"/>
  <c r="H1445" i="1"/>
  <c r="L1444" i="1"/>
  <c r="K1444" i="1"/>
  <c r="H1444" i="1"/>
  <c r="L1443" i="1"/>
  <c r="K1443" i="1"/>
  <c r="H1443" i="1"/>
  <c r="L1442" i="1"/>
  <c r="K1442" i="1"/>
  <c r="H1442" i="1"/>
  <c r="L1441" i="1"/>
  <c r="K1441" i="1"/>
  <c r="H1441" i="1"/>
  <c r="L1440" i="1"/>
  <c r="K1440" i="1"/>
  <c r="H1440" i="1"/>
  <c r="L1434" i="1"/>
  <c r="K1434" i="1"/>
  <c r="H1434" i="1"/>
  <c r="L1433" i="1"/>
  <c r="K1433" i="1"/>
  <c r="H1433" i="1"/>
  <c r="L1432" i="1"/>
  <c r="K1432" i="1"/>
  <c r="H1432" i="1"/>
  <c r="L1431" i="1"/>
  <c r="K1431" i="1"/>
  <c r="H1431" i="1"/>
  <c r="L1430" i="1"/>
  <c r="K1430" i="1"/>
  <c r="H1430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5" i="1"/>
  <c r="K1415" i="1"/>
  <c r="H1415" i="1"/>
  <c r="L1414" i="1"/>
  <c r="K1414" i="1"/>
  <c r="H1414" i="1"/>
  <c r="L1413" i="1"/>
  <c r="K1413" i="1"/>
  <c r="H1413" i="1"/>
  <c r="L1412" i="1"/>
  <c r="K1412" i="1"/>
  <c r="H1412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401" i="1"/>
  <c r="K1401" i="1"/>
  <c r="H1401" i="1"/>
  <c r="L1400" i="1"/>
  <c r="K1400" i="1"/>
  <c r="H1400" i="1"/>
  <c r="L1399" i="1"/>
  <c r="K1399" i="1"/>
  <c r="H1399" i="1"/>
  <c r="L1398" i="1"/>
  <c r="K1398" i="1"/>
  <c r="H1398" i="1"/>
  <c r="L1397" i="1"/>
  <c r="K1397" i="1"/>
  <c r="H1397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87" i="1"/>
  <c r="K1387" i="1"/>
  <c r="H1387" i="1"/>
  <c r="L1386" i="1"/>
  <c r="K1386" i="1"/>
  <c r="H1386" i="1"/>
  <c r="L1385" i="1"/>
  <c r="K1385" i="1"/>
  <c r="H1385" i="1"/>
  <c r="L1384" i="1"/>
  <c r="K1384" i="1"/>
  <c r="H1384" i="1"/>
  <c r="L1378" i="1"/>
  <c r="K1378" i="1"/>
  <c r="H1378" i="1"/>
  <c r="L1377" i="1"/>
  <c r="K1377" i="1"/>
  <c r="H1377" i="1"/>
  <c r="L1376" i="1"/>
  <c r="K1376" i="1"/>
  <c r="H1376" i="1"/>
  <c r="L1375" i="1"/>
  <c r="K1375" i="1"/>
  <c r="H1375" i="1"/>
  <c r="L1374" i="1"/>
  <c r="K1374" i="1"/>
  <c r="H1374" i="1"/>
  <c r="L1373" i="1"/>
  <c r="K1373" i="1"/>
  <c r="H1373" i="1"/>
  <c r="L1372" i="1"/>
  <c r="K1372" i="1"/>
  <c r="H1372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0" i="1"/>
  <c r="K1360" i="1"/>
  <c r="H1360" i="1"/>
  <c r="L1359" i="1"/>
  <c r="K1359" i="1"/>
  <c r="H1359" i="1"/>
  <c r="L1358" i="1"/>
  <c r="K1358" i="1"/>
  <c r="H1358" i="1"/>
  <c r="L1357" i="1"/>
  <c r="K1357" i="1"/>
  <c r="H1357" i="1"/>
  <c r="L1356" i="1"/>
  <c r="K1356" i="1"/>
  <c r="H1356" i="1"/>
  <c r="L1355" i="1"/>
  <c r="K1355" i="1"/>
  <c r="H1355" i="1"/>
  <c r="L1349" i="1"/>
  <c r="K1349" i="1"/>
  <c r="H1349" i="1"/>
  <c r="L1348" i="1"/>
  <c r="K1348" i="1"/>
  <c r="H1348" i="1"/>
  <c r="L1347" i="1"/>
  <c r="K1347" i="1"/>
  <c r="H1347" i="1"/>
  <c r="L1346" i="1"/>
  <c r="K1346" i="1"/>
  <c r="H1346" i="1"/>
  <c r="L1345" i="1"/>
  <c r="K1345" i="1"/>
  <c r="H1345" i="1"/>
  <c r="L1344" i="1"/>
  <c r="K1344" i="1"/>
  <c r="H1344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45" i="1"/>
  <c r="K1245" i="1"/>
  <c r="H1245" i="1"/>
  <c r="L1244" i="1"/>
  <c r="K1244" i="1"/>
  <c r="H1244" i="1"/>
  <c r="L1243" i="1"/>
  <c r="K1243" i="1"/>
  <c r="H1243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68" i="1"/>
  <c r="K1168" i="1"/>
  <c r="H1168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46" i="1"/>
  <c r="K746" i="1"/>
  <c r="H746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2" i="1"/>
  <c r="K112" i="1"/>
  <c r="H112" i="1"/>
  <c r="L111" i="1"/>
  <c r="K111" i="1"/>
  <c r="H111" i="1"/>
  <c r="L110" i="1"/>
  <c r="K110" i="1"/>
  <c r="H110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M73" i="1"/>
  <c r="L73" i="1"/>
  <c r="I73" i="1"/>
  <c r="M72" i="1"/>
  <c r="L72" i="1"/>
  <c r="I72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<sst xmlns="http://schemas.openxmlformats.org/spreadsheetml/2006/main" count="6011" uniqueCount="547">
  <si>
    <t>Informe de trayectos</t>
  </si>
  <si>
    <t>Periodo: 28 de febrero de 2025 0:00 - 28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</si>
  <si>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</si>
  <si>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</si>
  <si>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</si>
  <si>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</si>
  <si>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</si>
  <si>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</si>
  <si>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</si>
  <si>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</si>
  <si>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</si>
  <si>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</si>
  <si>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</si>
  <si>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</si>
  <si>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</si>
  <si>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</si>
  <si>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</si>
  <si>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</si>
  <si>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</si>
  <si>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95 km/h</t>
  </si>
  <si>
    <t>18 km/h</t>
  </si>
  <si>
    <t>Avenida Lima Norte, Chosica, Lima Metropolitana, Lima, 15468, Perú, (Ruta4507nueva era 23-10-23)</t>
  </si>
  <si>
    <t>0 km/h</t>
  </si>
  <si>
    <t>Los Huancas, Ate, Lima Metropolitana, Lima, 15483, Perú</t>
  </si>
  <si>
    <t>Avenida Los Incas, Ate, Lima Metropolitana, Lima, 15483, Perú</t>
  </si>
  <si>
    <t>5 km/h</t>
  </si>
  <si>
    <t>Ate, Lima Metropolitana, Lima, 15483, Perú</t>
  </si>
  <si>
    <t>78 km/h</t>
  </si>
  <si>
    <t>12 km/h</t>
  </si>
  <si>
    <t>Calle Manantiales de Vida, Ate, Lima Metropolitana, Lima, 15487, Perú</t>
  </si>
  <si>
    <t>84 km/h</t>
  </si>
  <si>
    <t>16 km/h</t>
  </si>
  <si>
    <t>25 km/h</t>
  </si>
  <si>
    <t>3 km/h</t>
  </si>
  <si>
    <t>88 km/h</t>
  </si>
  <si>
    <t>15 km/h</t>
  </si>
  <si>
    <t>Avenida Nicolás Ayllón, Chaclacayo, Lima Metropolitana, Lima, 15472, Perú, (Ruta4507nueva era 23-10-23)</t>
  </si>
  <si>
    <t>24 km/h</t>
  </si>
  <si>
    <t>Carretera Central, Chaclacayo, Lima Metropolitana, Lima, 15476, Perú</t>
  </si>
  <si>
    <t>69 km/h</t>
  </si>
  <si>
    <t>Calle los Alamos, Chosica, Lima Metropolitana, Lima, 15468, Perú</t>
  </si>
  <si>
    <t>Avenida Las Retamas, Ricardo Palma, Huarochirí, Lima, 15468, Perú</t>
  </si>
  <si>
    <t>104 km/h</t>
  </si>
  <si>
    <t>Calle Las Gardenias, Ricardo Palma, Huarochirí, Lima, 15468, Perú</t>
  </si>
  <si>
    <t>71 km/h</t>
  </si>
  <si>
    <t>Capitan Gamarra, Ricardo Palma, Huarochirí, Lima, 15468, Perú, (Ruta4507nueva era 23-10-23)</t>
  </si>
  <si>
    <t>Avenida José Santos Chocano, Ricardo Palma, Huarochirí, Lima, 15468, Perú</t>
  </si>
  <si>
    <t>85 km/h</t>
  </si>
  <si>
    <t>Calle A, Chosica, Lima Metropolitana, Lima, 15468, Perú</t>
  </si>
  <si>
    <t>83 km/h</t>
  </si>
  <si>
    <t>Avenida José Carlos Mariátegui, Ricardo Palma, Huarochirí, Lima, 15468, Perú</t>
  </si>
  <si>
    <t>Carretera Central, 200, Chaclacayo, Lima Metropolitana, Lima, 15476, Perú</t>
  </si>
  <si>
    <t>86 km/h</t>
  </si>
  <si>
    <t>Calle Nueva Los Alamos, Santa Eulalia, Huarochirí, Lima, 15468, Perú</t>
  </si>
  <si>
    <t>87 km/h</t>
  </si>
  <si>
    <t>Calle Cerro de Pasco, Ate, Lima Metropolitana, Lima, 15498, Perú</t>
  </si>
  <si>
    <t>57 km/h</t>
  </si>
  <si>
    <t>7 km/h</t>
  </si>
  <si>
    <t>73 km/h</t>
  </si>
  <si>
    <t>1 km/h</t>
  </si>
  <si>
    <t>Avenida Bernard de Balaguer, Lurigancho, Lima Metropolitana, Lima, 15464, Perú</t>
  </si>
  <si>
    <t>90 km/h</t>
  </si>
  <si>
    <t>17 km/h</t>
  </si>
  <si>
    <t>82 km/h</t>
  </si>
  <si>
    <t>13 km/h</t>
  </si>
  <si>
    <t>72 km/h</t>
  </si>
  <si>
    <t>76 km/h</t>
  </si>
  <si>
    <t>Calle 1, Ate, Lima Metropolitana, Lima, 15483, Perú</t>
  </si>
  <si>
    <t>Avenida Nicolás de Ayllón, Santa Anita, Lima Metropolitana, Lima, 15008, Perú, (Ruta4507nueva era 23-10-23)</t>
  </si>
  <si>
    <t>Avenida Metropolitana, Santa Anita, Lima Metropolitana, Lima, 15009, Perú, (RUTA DESVIO TEM.  4507)</t>
  </si>
  <si>
    <t>67 km/h</t>
  </si>
  <si>
    <t>Calle Leoncio Prado, Santa Eulalia, Huarochirí, Lima, 15468, Perú</t>
  </si>
  <si>
    <t>14 km/h</t>
  </si>
  <si>
    <t>Calle Estocolmo, Ate, Lima Metropolitana, Lima, 15498, Perú</t>
  </si>
  <si>
    <t>Calle Las Tunas, Santa Anita, Lima Metropolitana, Lima, 15007, Perú</t>
  </si>
  <si>
    <t>77 km/h</t>
  </si>
  <si>
    <t>Calle Los Topacios, Lurigancho, Lima Metropolitana, Lima, 15472, Perú</t>
  </si>
  <si>
    <t>Carretera Central, Ate, Lima Metropolitana, Lima, 15474, Perú, (Horacio Zeballos, Ruta4507nueva era 23-10-23)</t>
  </si>
  <si>
    <t>91 km/h</t>
  </si>
  <si>
    <t>Avenida Alfonso Cobián, Chaclacayo, Lima Metropolitana, Lima, 15476, Perú</t>
  </si>
  <si>
    <t>Avenida Metropolitana, Ate, Lima Metropolitana, Lima, 15498, Perú, (RUTA DESVIO TEM.  4507)</t>
  </si>
  <si>
    <t>81 km/h</t>
  </si>
  <si>
    <t>Avenida Alfonso Cobián, D Lt 25, Chaclacayo, Lima Metropolitana, Lima, 15476, Perú</t>
  </si>
  <si>
    <t>96 km/h</t>
  </si>
  <si>
    <t>80 km/h</t>
  </si>
  <si>
    <t>19 km/h</t>
  </si>
  <si>
    <t>Avenida Camino Real, Santa Anita, Lima Metropolitana, Lima, 15009, Perú</t>
  </si>
  <si>
    <t>74 km/h</t>
  </si>
  <si>
    <t>Simón Bolívar, Ricardo Palma, Huarochirí, Lima, 15468, Perú, (Ruta4507nueva era 23-10-23)</t>
  </si>
  <si>
    <t>Carretera Central, Ate, Lima Metropolitana, Lima, 15474, Perú</t>
  </si>
  <si>
    <t>Ate, Lima Metropolitana, Lima, 15474, Perú</t>
  </si>
  <si>
    <t>79 km/h</t>
  </si>
  <si>
    <t>Calle Los Álamos, Ate, Lima Metropolitana, Lima, 15483, Perú</t>
  </si>
  <si>
    <t>89 km/h</t>
  </si>
  <si>
    <t>Avenida Enrique Guzmán y Valle, Chosica, Lima Metropolitana, Lima, 15468, Perú</t>
  </si>
  <si>
    <t>Avenida José Carlos Mariátegui, Ate, Lima Metropolitana, Lima, 15474, Perú</t>
  </si>
  <si>
    <t>Carretera Central, Ate, Lima Metropolitana, Lima, 15487, Perú, (Ruta4507nueva era 23-10-23)</t>
  </si>
  <si>
    <t>35 km/h</t>
  </si>
  <si>
    <t>Santa Eulalia, Huarochirí, Lima, 15468, Perú</t>
  </si>
  <si>
    <t>Avenida Nicolás de Ayllón, Ate, Lima Metropolitana, Lima, 15487, Perú, (Ruta4507nueva era 23-10-23)</t>
  </si>
  <si>
    <t>11 km/h</t>
  </si>
  <si>
    <t>Ate, Lima Metropolitana, Lima, 15487, Perú</t>
  </si>
  <si>
    <t>Corcona, Huarochirí, Lima, Perú</t>
  </si>
  <si>
    <t>Carretera Central, Corcona, Huarochirí, Lima, Perú</t>
  </si>
  <si>
    <t>64 km/h</t>
  </si>
  <si>
    <t>Lurigancho, Lima Metropolitana, Lima, 15468, Perú</t>
  </si>
  <si>
    <t>Plaza Francisco Bolognesi, Lima, Lima Metropolitana, Lima, 15083, Perú, (Ruta4507nueva era 23-10-23)</t>
  </si>
  <si>
    <t>102 km/h</t>
  </si>
  <si>
    <t>20 km/h</t>
  </si>
  <si>
    <t>Avenida José Carlos Mariátegui, Ate, Lima Metropolitana, Lima, 15487, Perú</t>
  </si>
  <si>
    <t>50 km/h</t>
  </si>
  <si>
    <t>Calle 3, Chosica, Lima Metropolitana, Lima, 15468, Perú</t>
  </si>
  <si>
    <t>Avenida Colectora, Chosica, Lima Metropolitana, Lima, 15468, Perú</t>
  </si>
  <si>
    <t>Avenida Lima Norte, Santa Eulalia, Lima Metropolitana, Lima, 15468, Perú</t>
  </si>
  <si>
    <t>Alameda E, Chaclacayo, Lima Metropolitana, Lima, 15476, Perú</t>
  </si>
  <si>
    <t>Avenida Inca Garcilazo de la Vega, Lima, Lima Metropolitana, Lima, 15004, Perú</t>
  </si>
  <si>
    <t>Micaela Bastidas, Ate, Lima Metropolitana, Lima, 15498, Perú</t>
  </si>
  <si>
    <t>98 km/h</t>
  </si>
  <si>
    <t>Avenida Lima Norte, Chosica, Lima Metropolitana, Lima, 15468, Perú</t>
  </si>
  <si>
    <t>Ricardo Palma, Huarochirí, Lima, 15468, Perú, (Ruta4507nueva era 23-10-23)</t>
  </si>
  <si>
    <t>Jirón Tacna, Chosica, Lima Metropolitana, Lima, 15468, Perú, (Ruta4507nueva era 23-10-23)</t>
  </si>
  <si>
    <t>Avenida Nicolás de Ayllón, Ate, Lima Metropolitana, Lima, 15008, Perú, (Ruta4507nueva era 23-10-23)</t>
  </si>
  <si>
    <t>Calle 3, Ate, Lima Metropolitana, Lima, 15487, Perú</t>
  </si>
  <si>
    <t>Prolongación Javier Prado Este, Ate, Lima Metropolitana, Lima, 15498, Perú, (Ruta4507nueva era 23-10-23)</t>
  </si>
  <si>
    <t>Avenida Lima Sur, Chosica, Lima Metropolitana, Lima, 15468, Perú</t>
  </si>
  <si>
    <t>Totales:</t>
  </si>
  <si>
    <t/>
  </si>
  <si>
    <t>* Los datos de combustible se calculan de acuerdo con el consumo medio de combustible del vehículo especificado en su configuración</t>
  </si>
  <si>
    <t>Calle Córdova, Ricardo Palma, Huarochirí, Lima, 15468, Perú, (Ruta4507nueva era 23-10-23)</t>
  </si>
  <si>
    <t>70 km/h</t>
  </si>
  <si>
    <t>22 km/h</t>
  </si>
  <si>
    <t>Jose Carlos Mariátegui, Chosica, Lima Metropolitana, Lima, 15468, Perú, (PARADERO RICARDO PALMA)</t>
  </si>
  <si>
    <t>9 km/h</t>
  </si>
  <si>
    <t>Avenida Río Perene, Ate, Lima Metropolitana, Lima, 15498, Perú</t>
  </si>
  <si>
    <t>Avenida Simón Bolívar, Santa Eulalia, Huarochirí, Lima, 15468, Perú, (Ruta4507nueva era 23-10-23)</t>
  </si>
  <si>
    <t>Simón Bolívar, Ricardo Palma, Huarochirí, Lima, 15468, Perú</t>
  </si>
  <si>
    <t>Avenida Simón Bolívar, Santa Eulalia, Huarochirí, Lima, 15468, Perú</t>
  </si>
  <si>
    <t>6 km/h</t>
  </si>
  <si>
    <t>Calle Berlín, Ate, Lima Metropolitana, Lima, 15498, Perú</t>
  </si>
  <si>
    <t>92 km/h</t>
  </si>
  <si>
    <t>27 km/h</t>
  </si>
  <si>
    <t>Marcos Puente Llanos, Ate, Lima Metropolitana, Lima, 15498, Perú, (RUTA DESVIO TEM.  4507)</t>
  </si>
  <si>
    <t>29 km/h</t>
  </si>
  <si>
    <t>62 km/h</t>
  </si>
  <si>
    <t>Avenida José Carlos Mariátegui, Ricardo Palma, Huarochirí, Lima, 15468, Perú, (CURVA RICARDO PALMA, Ruta4507nueva era 23-10-23)</t>
  </si>
  <si>
    <t>28 km/h</t>
  </si>
  <si>
    <t>Ricardo Palma, Huarochirí, Lima, 15468, Perú, (CURVA RICARDO PALMA, Ruta4507nueva era 23-10-23)</t>
  </si>
  <si>
    <t>4 km/h</t>
  </si>
  <si>
    <t>Avenida Andrés Avelino Cáceres, Ate, Lima Metropolitana, Lima, 15483, Perú</t>
  </si>
  <si>
    <t>30 km/h</t>
  </si>
  <si>
    <t>Jirón Huarochirí, 643, Lima, Lima Metropolitana, Lima, 15082, Perú</t>
  </si>
  <si>
    <t>10 km/h</t>
  </si>
  <si>
    <t>Avenida José Carlos Mariátegui, Ricardo Palma, Huarochirí, Lima, 15468, Perú, (Ruta4507nueva era 23-10-23)</t>
  </si>
  <si>
    <t>23 km/h</t>
  </si>
  <si>
    <t>Jirón Sánchez Pinillos, Breña, Lima Metropolitana, Lima, 15082, Perú</t>
  </si>
  <si>
    <t>75 km/h</t>
  </si>
  <si>
    <t>2 km/h</t>
  </si>
  <si>
    <t>Avenida Circunvalación, 1082, La Victoria, Lima Metropolitana, Lima, 15019, Perú</t>
  </si>
  <si>
    <t>Carretera Central, Chaclacayo, Lima Metropolitana, Lima, 15474, Perú</t>
  </si>
  <si>
    <t>54 km/h</t>
  </si>
  <si>
    <t>51 km/h</t>
  </si>
  <si>
    <t>Jose Carlos Mariátegui, Ricardo Palma, Lima Metropolitana, Lima, 15468, Perú, (PARADERO RICARDO PALMA)</t>
  </si>
  <si>
    <t>Carretera Central, Ricardo Palma, Huarochirí, Lima, 15468, Perú</t>
  </si>
  <si>
    <t>Víctor Raúl Haya de la Torre, Ate, Lima Metropolitana, Lima, 15498, Perú, (Ruta4507nueva era 23-10-23)</t>
  </si>
  <si>
    <t>32 km/h</t>
  </si>
  <si>
    <t>42 km/h</t>
  </si>
  <si>
    <t>Carretera Central, Chaclacayo, Lima Metropolitana, Lima, 15464, Perú, (Ruta4507nueva era 23-10-23)</t>
  </si>
  <si>
    <t>41 km/h</t>
  </si>
  <si>
    <t>44 km/h</t>
  </si>
  <si>
    <t>Carretera Central, Chaclacayo, Lima Metropolitana, Lima, 15476, Perú, (Ruta4507nueva era 23-10-23)</t>
  </si>
  <si>
    <t>Carretera Central, Chaclacayo, Lima Metropolitana, Lima, 15474, Perú, (S07ÑAÑA, Ruta4507nueva era 23-10-23)</t>
  </si>
  <si>
    <t>45 km/h</t>
  </si>
  <si>
    <t>Carretera Central, Chaclacayo, Lima Metropolitana, Lima, 15474, Perú, (Ruta4507nueva era 23-10-23)</t>
  </si>
  <si>
    <t>55 km/h</t>
  </si>
  <si>
    <t>Chaclacayo, Lima Metropolitana, Lima, 15474, Perú, (Ruta4507nueva era 23-10-23)</t>
  </si>
  <si>
    <t>68 km/h</t>
  </si>
  <si>
    <t>46 km/h</t>
  </si>
  <si>
    <t>Carretera Central, Ate, Lima Metropolitana, Lima, 15474, Perú, (Ruta4507nueva era 23-10-23)</t>
  </si>
  <si>
    <t>66 km/h</t>
  </si>
  <si>
    <t>33 km/h</t>
  </si>
  <si>
    <t>38 km/h</t>
  </si>
  <si>
    <t>47 km/h</t>
  </si>
  <si>
    <t>34 km/h</t>
  </si>
  <si>
    <t>40 km/h</t>
  </si>
  <si>
    <t>Avenida Nicolás de Ayllón, Ate, Lima Metropolitana, Lima, 15498, Perú, (Ruta4507nueva era 23-10-23, RUTA DESVIO TEM.  4507)</t>
  </si>
  <si>
    <t>43 km/h</t>
  </si>
  <si>
    <t>Avenida Nicolás de Ayllón, Ate, Lima Metropolitana, Lima, 15498, Perú, (Ruta4507nueva era 23-10-23)</t>
  </si>
  <si>
    <t>Calle Progreso, Ate, Lima Metropolitana, Lima, 15498, Perú, (Ruta4507nueva era 23-10-23)</t>
  </si>
  <si>
    <t>Avenida Nicolás de Ayllón, 5880, Ate, Lima Metropolitana, Lima, 15498, Perú, (S05Vitarte/ ALT. Hospital)</t>
  </si>
  <si>
    <t>Prolongación Javier Prado Este, Ate, Lima Metropolitana, Lima, 15498, Perú, (RUTA DESVIO TEM.  4507)</t>
  </si>
  <si>
    <t>21 km/h</t>
  </si>
  <si>
    <t>Avenida Metropolitana, Santa Anita, Lima Metropolitana, Lima, 15009, Perú</t>
  </si>
  <si>
    <t>Avenida Huancaray, Santa Anita, Lima Metropolitana, Lima, 15009, Perú, (S04 AV. Metropolitana / Colectora Industrial, RUTA DESVIO TEM.  4507)</t>
  </si>
  <si>
    <t>Avenida Francisco Bolognesi, 1011, Santa Anita, Lima Metropolitana, Lima, 15008, Perú, (RUTA DESVIO TEM.  4507)</t>
  </si>
  <si>
    <t>Avenida Francisco Bolognesi, Santa Anita, Lima Metropolitana, Lima, 15008, Perú, (RUTA DESVIO TEM.  4507)</t>
  </si>
  <si>
    <t>Avenida Nicolás de Ayllón, Santa Anita, Lima Metropolitana, Lima, 15008, Perú, (Ruta4507nueva era 23-10-23, RUTA DESVIO TEM.  4507)</t>
  </si>
  <si>
    <t>Víctor Raúl Haya de la Torre, Ate, Lima Metropolitana, Lima, 15498, Perú, (Ruta4507nueva era 23-10-23, RUTA DESVIO TEM.  4507)</t>
  </si>
  <si>
    <t>Avenida Nicolás de Ayllón, Ate, Lima Metropolitana, Lima, 15498, Perú, (S05Vitarte/ ALT. Hospital, Ruta4507nueva era 23-10-23)</t>
  </si>
  <si>
    <t>Avenida José Carlos Mariátegui, Ate, Lima Metropolitana, Lima, 15498, Perú, (S05Vitarte/ ALT. Hospital, Ruta4507nueva era 23-10-23)</t>
  </si>
  <si>
    <t>Carretera Central, Lurigancho, Lima Metropolitana, Lima, 15483, Perú</t>
  </si>
  <si>
    <t>37 km/h</t>
  </si>
  <si>
    <t>Calle Los Robles, Chaclacayo, Lima Metropolitana, Lima, 15472, Perú</t>
  </si>
  <si>
    <t>56 km/h</t>
  </si>
  <si>
    <t>Avenida Malecón Manco Cápac, Chaclacayo, Lima Metropolitana, Lima, 15472, Perú, (Ruta4507nueva era 23-10-23)</t>
  </si>
  <si>
    <t>Carretera Central, Chaclacayo, Lima Metropolitana, Lima, 15464, Perú</t>
  </si>
  <si>
    <t>53 km/h</t>
  </si>
  <si>
    <t>31 km/h</t>
  </si>
  <si>
    <t>36 km/h</t>
  </si>
  <si>
    <t>Carretera Central, Ate, Lima Metropolitana, Lima, 15487, Perú, (S06 SANTA CLARA, Ruta4507nueva era 23-10-23)</t>
  </si>
  <si>
    <t>Calle Las Praderas, Ate, Lima Metropolitana, Lima, 15487, Perú, (Ruta4507nueva era 23-10-23)</t>
  </si>
  <si>
    <t>Avenida Nicolás de Ayllón, 5880, Ate, Lima Metropolitana, Lima, 15498, Perú, (Ruta4507nueva era 23-10-23)</t>
  </si>
  <si>
    <t>39 km/h</t>
  </si>
  <si>
    <t>Avenida Nicolás de Ayllón, Km. 10.5, Ate, Lima Metropolitana, Lima, 15498, Perú, (S05Vitarte/ ALT. Hospital, Ruta4507nueva era 23-10-23)</t>
  </si>
  <si>
    <t>Avenida Nicolás de Ayllón, 15498, Ate, Lima Metropolitana, Lima, 15498, Perú, (Ruta4507nueva era 23-10-23)</t>
  </si>
  <si>
    <t>8 km/h</t>
  </si>
  <si>
    <t>Jirón San Martín de Porres, Ate, Lima Metropolitana, Lima, 15498, Perú, (Ruta4507nueva era 23-10-23, RUTA DESVIO TEM.  4507)</t>
  </si>
  <si>
    <t>Ate, Lima Metropolitana, Lima, 15498, Perú, (Ruta4507nueva era 23-10-23)</t>
  </si>
  <si>
    <t>Avenida Separadora Industrial, Ate, Lima Metropolitana, Lima, 15498, Perú, (Ruta4507nueva era 23-10-23)</t>
  </si>
  <si>
    <t>Avenida Nicolás de Ayllón, Santa Anita, Lima Metropolitana, Lima, 15498, Perú, (Ruta4507nueva era 23-10-23)</t>
  </si>
  <si>
    <t>52 km/h</t>
  </si>
  <si>
    <t>Avenida Nicolás de Ayllón, Santa Anita, Lima Metropolitana, Lima, 15009, Perú, (Ruta4507nueva era 23-10-23)</t>
  </si>
  <si>
    <t>Avenida Nicolás de Ayllón, 1113, Santa Anita, Lima Metropolitana, Lima, 15009, Perú, (Ruta4507nueva era 23-10-23)</t>
  </si>
  <si>
    <t>Las Alondras, Santa Anita, Lima Metropolitana, Lima, 15008, Perú, (Ruta4507nueva era 23-10-23)</t>
  </si>
  <si>
    <t>Vía de Evitamiento, Ate, Lima Metropolitana, Lima, 15008, Perú, (Ruta4507nueva era 23-10-23)</t>
  </si>
  <si>
    <t>Avenida Nicolás de Ayllón, El Agustino, Lima Metropolitana, Lima, 15008, Perú, (Ruta4507nueva era 23-10-23)</t>
  </si>
  <si>
    <t>Avenida Nicolás de Ayllón, El Agustino, Lima Metropolitana, Lima, 15008, Perú, (Ruta4507nueva era 23-10-23, RUTA DESVIO TEM.  4507)</t>
  </si>
  <si>
    <t>Avenida Santa María, Ate, Lima Metropolitana, Lima, 15022, Perú</t>
  </si>
  <si>
    <t>59 km/h</t>
  </si>
  <si>
    <t>Avenida De Las Torres, San Luis, Lima Metropolitana, Lima, 15022, Perú</t>
  </si>
  <si>
    <t>Calle Ollanta, Lima, Lima Metropolitana, Lima, 15019, Perú</t>
  </si>
  <si>
    <t>Avenida Inca Garcilazo de la Vega, El Agustino, Lima Metropolitana, Lima, 15004, Perú</t>
  </si>
  <si>
    <t>Avenida José de la Riva Aguero, El Agustino, Lima Metropolitana, Lima, 15004, Perú</t>
  </si>
  <si>
    <t>Avenida Nicolás Ayllón, 137, Lima, Lima Metropolitana, Lima, 15011, Perú, (Ruta4507nueva era 23-10-23)</t>
  </si>
  <si>
    <t>Avenida Almirante Miguel Grau, Lima, Lima Metropolitana, Lima, 15011, Perú, (Ruta4507nueva era 23-10-23)</t>
  </si>
  <si>
    <t>Avenida Almirante Miguel Grau, 113, Lima, Lima Metropolitana, Lima, 15001, Perú, (Ruta4507nueva era 23-10-23)</t>
  </si>
  <si>
    <t>65 km/h</t>
  </si>
  <si>
    <t>26 km/h</t>
  </si>
  <si>
    <t>Metropolitano, Lima, Lima Metropolitana, Lima, 15001, Perú, (Ruta4507nueva era 23-10-23)</t>
  </si>
  <si>
    <t>Avenida 28 de Julio, Lima, Lima Metropolitana, Lima, 15083, Perú</t>
  </si>
  <si>
    <t>Avenida 28 de Julio, 715, Jesús María, Lima Metropolitana, Lima, 15083, Perú</t>
  </si>
  <si>
    <t>Plaza Jorge Chávez, Jesús María, Lima Metropolitana, Lima, 15083, Perú</t>
  </si>
  <si>
    <t>Avenida Alfonso Ugarte, 1439, Lima, Lima Metropolitana, Lima, 15083, Perú, (Ruta4507nueva era 23-10-23)</t>
  </si>
  <si>
    <t>49 km/h</t>
  </si>
  <si>
    <t>Avenida Alfonso Ugarte, 1409, Lima, Lima Metropolitana, Lima, 15083, Perú, (Ruta4507nueva era 23-10-23)</t>
  </si>
  <si>
    <t>Avenida Alfonso Ugarte, 1227, Breña, Lima Metropolitana, Lima, 15083, Perú, (Ruta4507nueva era 23-10-23)</t>
  </si>
  <si>
    <t>Avenida Alfonso Ugarte, Cdra. 9, Lima, Lima Metropolitana, Lima, 15082, Perú, (Ruta4507nueva era 23-10-23)</t>
  </si>
  <si>
    <t>Larraburre, 198, Lima, Lima Metropolitana, Lima, 15082, Perú</t>
  </si>
  <si>
    <t>Jirón Zepita, 101, Lima, Lima Metropolitana, Lima, 15082, Perú</t>
  </si>
  <si>
    <t>Avenida Alfonso Ugarte, 641B, Lima, Lima Metropolitana, Lima, 15082, Perú, (Ruta4507nueva era 23-10-23)</t>
  </si>
  <si>
    <t>Avenida Óscar Raimundo Benavides, 150, Lima, Lima Metropolitana, Lima, 15082, Perú, (Ruta4507nueva era 23-10-23)</t>
  </si>
  <si>
    <t>Ciclovía Colonial, Lima, Lima Metropolitana, Lima, 15082, Perú, (Ruta4507nueva era 23-10-23)</t>
  </si>
  <si>
    <t>Ciclovía Colonial, Lima, Lima Metropolitana, Lima, 15082, Perú</t>
  </si>
  <si>
    <t>Avenida Óscar Raimundo Benavides, 150, Lima, Lima Metropolitana, Lima, 15082, Perú</t>
  </si>
  <si>
    <t>Avenida Alfonso Ugarte, 650, Lima, Lima Metropolitana, Lima, 15082, Perú</t>
  </si>
  <si>
    <t>Jirón Iquique, Breña, Lima Metropolitana, Lima, 15082, Perú</t>
  </si>
  <si>
    <t>Avenida Alfonso Ugarte, 1280, Breña, Lima Metropolitana, Lima, 15083, Perú, (Ruta4507nueva era 23-10-23)</t>
  </si>
  <si>
    <t>Avenida Guzmán Blanco, 171, Lima, Lima Metropolitana, Lima, 15046, Perú</t>
  </si>
  <si>
    <t>Jirón Gregorio Paredes, Lima, Lima Metropolitana, Lima, 15083, Perú</t>
  </si>
  <si>
    <t>Avenida Guzmán Blanco, Lima, Lima Metropolitana, Lima, 15083, Perú</t>
  </si>
  <si>
    <t>Avenida Guzmán Blanco, 545, Lima, Lima Metropolitana, Lima, 15046, Perú</t>
  </si>
  <si>
    <t>Avenida 28 de Julio, Jesús María, Lima Metropolitana, Lima, 15083, Perú</t>
  </si>
  <si>
    <t>Avenida Paseo de la República, 400, Jesús María, Lima Metropolitana, Lima, 15001, Perú</t>
  </si>
  <si>
    <t>Avenida Paseo de la República, 385, La Victoria, Lima Metropolitana, Lima, 15001, Perú</t>
  </si>
  <si>
    <t>Avenida Almirante Miguel Grau, 1400, Lima, Lima Metropolitana, Lima, 15011, Perú, (Ruta4507nueva era 23-10-23)</t>
  </si>
  <si>
    <t>61 km/h</t>
  </si>
  <si>
    <t>Avenida Almirante Miguel Grau, 1615, Lima, Lima Metropolitana, Lima, 15011, Perú, (Ruta4507nueva era 23-10-23)</t>
  </si>
  <si>
    <t>Avenida Nicolás de Ayllón, Lima, Lima Metropolitana, Lima, 15011, Perú, (Ruta4507nueva era 23-10-23)</t>
  </si>
  <si>
    <t>Avenida Nicolás Ayllón, Lima, Lima Metropolitana, Lima, 15011, Perú, (Ruta4507nueva era 23-10-23)</t>
  </si>
  <si>
    <t>Avenida José de la Riva Aguero, Lima, Lima Metropolitana, Lima, 15004, Perú, (Ruta4507nueva era 23-10-23)</t>
  </si>
  <si>
    <t>Avenida José de la Riva Aguero, Lima, Lima Metropolitana, Lima, 15004, Perú</t>
  </si>
  <si>
    <t>Avenida Inca Garcilazo de la Vega, El Agustino, Lima Metropolitana, Lima, 15004, Perú, (Ruta4507nueva era 23-10-23)</t>
  </si>
  <si>
    <t>Calle Angel Cepollini, San Luis, Lima Metropolitana, Lima, 15019, Perú</t>
  </si>
  <si>
    <t>Calle 28 de Diciembre, San Luis, Lima Metropolitana, Lima, 15019, Perú</t>
  </si>
  <si>
    <t>Avenida Nicolás de Ayllón, San Luis, Lima Metropolitana, Lima, 15019, Perú, (Ruta4507nueva era 23-10-23)</t>
  </si>
  <si>
    <t>Avenida Circunvalación, La Victoria, Lima Metropolitana, Lima, 15019, Perú</t>
  </si>
  <si>
    <t>Avenida Circunvalación, San Luis, Lima Metropolitana, Lima, 15019, Perú</t>
  </si>
  <si>
    <t>Avenida Nicolás de Ayllón, San Luis, Lima Metropolitana, Lima, 15022, Perú, (Ruta4507nueva era 23-10-23, RUTA DESVIO TEM.  4507)</t>
  </si>
  <si>
    <t>Avenida Nicolás de Ayllón, Ate, Lima Metropolitana, Lima, 15002, Perú, (Ruta4507nueva era 23-10-23, RUTA DESVIO TEM.  4507)</t>
  </si>
  <si>
    <t>Avenida Santa Cecilia, Ate, Lima Metropolitana, Lima, 15002, Perú, (Ruta4507nueva era 23-10-23, RUTA DESVIO TEM.  4507)</t>
  </si>
  <si>
    <t>Avenida Nicolás de Ayllón, Ate, Lima Metropolitana, Lima, 15009, Perú, (Ruta4507nueva era 23-10-23)</t>
  </si>
  <si>
    <t>Avenida Nicolás de Ayllón, 1308, Ate, Lima Metropolitana, Lima, 15009, Perú, (Ruta4507nueva era 23-10-23)</t>
  </si>
  <si>
    <t>Avenida Nicolás de Ayllón, Km. 3.5, Santa Anita, Lima Metropolitana, Lima, 00051, Perú, (Ruta4507nueva era 23-10-23)</t>
  </si>
  <si>
    <t>Avenida Nicolás de Ayllón, Santa Anita, Lima Metropolitana, Lima, 00051, Perú, (Ruta4507nueva era 23-10-23)</t>
  </si>
  <si>
    <t>Avenida Nicolás de Ayllón, 4770, Ate, Lima Metropolitana, Lima, 15498, Perú, (Ruta4507nueva era 23-10-23)</t>
  </si>
  <si>
    <t>Avenida Nicolás de Ayllón, 5818, Ate, Lima Metropolitana, Lima, 15498, Perú, (Ruta4507nueva era 23-10-23)</t>
  </si>
  <si>
    <t>Avenida Gloria Grande, Ate, Lima Metropolitana, Lima, 15483, Perú, (Ruta4507nueva era 23-10-23)</t>
  </si>
  <si>
    <t>Avenida Jaime Zubieta Calderón, Ate, Lima Metropolitana, Lima, 15483, Perú, (Ruta4507nueva era 23-10-23)</t>
  </si>
  <si>
    <t>Carretera Central, Ate, Lima Metropolitana, Lima, 15474, Perú, (Horacio Zeballos)</t>
  </si>
  <si>
    <t>Avenida José Carlos Mariátegui, Ate, Lima Metropolitana, Lima, 15474, Perú, (Horacio Zeballos)</t>
  </si>
  <si>
    <t>63 km/h</t>
  </si>
  <si>
    <t>Avenida Nicolás Ayllón, 161 C, Chaclacayo, Lima Metropolitana, Lima, 15464, Perú, (Ruta4507nueva era 23-10-23)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</si>
  <si>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</si>
  <si>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</si>
  <si>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Avenida Nicolás Ayllón, 582-598, Chaclacayo, Lima Metropolitana, Lima, 15472, Perú, (Ruta4507nueva era 23-10-23)</t>
  </si>
  <si>
    <t>Carretera Central, Lurigancho, Lima Metropolitana, Lima, 15472, Perú, (Ruta4507nueva era 23-10-23)</t>
  </si>
  <si>
    <t>Calle Los Geranios, Chosica, Lima Metropolitana, Lima, 15468, Perú, (Ruta4507nueva era 23-10-23)</t>
  </si>
  <si>
    <t>Avenida Las Flores, Chosica, Lima Metropolitana, Lima, 15468, Perú, (Ruta4507nueva era 23-10-23)</t>
  </si>
  <si>
    <t>Avenida Lima Sur, Chosica, Lima Metropolitana, Lima, 15468, Perú, (Ruta4507nueva era 23-10-23)</t>
  </si>
  <si>
    <t>Chosica, Lima Metropolitana, Lima, 15468, Perú</t>
  </si>
  <si>
    <t>Avenida Lima Sur, Chosica, Lima Metropolitana, Lima, 15468, Perú, (S09 CHOSICA/ PEDREGAL, Ruta4507nueva era 23-10-23)</t>
  </si>
  <si>
    <t>Calle Las Dacitas, Chosica, Lima Metropolitana, Lima, 15468, Perú</t>
  </si>
  <si>
    <t>Jirón Iquitos, Chosica, Lima Metropolitana, Lima, 15468, Perú, (Ruta4507nueva era 23-10-23)</t>
  </si>
  <si>
    <t>Jirón Trujillo Sur, 378, Chosica, Lima Metropolitana, Lima, 15468, Perú, (Ruta4507nueva era 23-10-23)</t>
  </si>
  <si>
    <t>Jirón Trujillo Sur, 344, Chosica, Lima Metropolitana, Lima, 15468, Perú, (Ruta4507nueva era 23-10-23)</t>
  </si>
  <si>
    <t>Jirón Arequipa, 208, Chosica, Lima Metropolitana, Lima, 15468, Perú</t>
  </si>
  <si>
    <t>Avenida Lima Sur, 275, Chosica, Lima Metropolitana, Lima, 15468, Perú, (Ruta4507nueva era 23-10-23)</t>
  </si>
  <si>
    <t>Avenida Lima Norte, 574, Santa Eulalia, Lima Metropolitana, Lima, 15468, Perú, (Ruta4507nueva era 23-10-23)</t>
  </si>
  <si>
    <t>48 km/h</t>
  </si>
  <si>
    <t>Avenida 5 de Setiembre, Ricardo Palma, Huarochirí, Lima, 15468, Perú</t>
  </si>
  <si>
    <t>Simón Bolívar, Ricardo Palma, Huarochirí, Lima, 15468, Perú, (TALLER TRASANDINO, Ruta4507nueva era 23-10-23)</t>
  </si>
  <si>
    <t>Simón Bolívar, Ricardo Palma, Huarochirí, Lima, 15468, Perú, (TALLER TRASANDINO)</t>
  </si>
  <si>
    <t>Avenida Lima Norte, Santa Eulalia, Lima Metropolitana, Lima, 15468, Perú, (Ruta4507nueva era 23-10-23)</t>
  </si>
  <si>
    <t>Avenida Lima Norte, 246, Chosica, Lima Metropolitana, Lima, 15468, Perú, (Ruta4507nueva era 23-10-23)</t>
  </si>
  <si>
    <t>Avenida Lima Norte, 178, Chosica, Lima Metropolitana, Lima, 15468, Perú, (Ruta4507nueva era 23-10-23)</t>
  </si>
  <si>
    <t>Jirón Trujillo Sur, Chosica, Lima Metropolitana, Lima, 15468, Perú, (Ruta4507nueva era 23-10-23)</t>
  </si>
  <si>
    <t>Jirón Trujillo Sur, 496, Chosica, Lima Metropolitana, Lima, 15468, Perú</t>
  </si>
  <si>
    <t>Jirón Tacna, 430, Chosica, Lima Metropolitana, Lima, 15468, Perú</t>
  </si>
  <si>
    <t>Jirón Iquitos, Chosica, Lima Metropolitana, Lima, 15468, Perú</t>
  </si>
  <si>
    <t>60 km/h</t>
  </si>
  <si>
    <t>Avenida Lima Sur, 1471, Chosica, Lima Metropolitana, Lima, 15468, Perú, (Ruta4507nueva era 23-10-23)</t>
  </si>
  <si>
    <t>58 km/h</t>
  </si>
  <si>
    <t>Avenida Nicolás de Ayllón, 836, Ate, Lima Metropolitana, Lima, 15487, Perú, (Ruta4507nueva era 23-10-23)</t>
  </si>
  <si>
    <t>Avenida Nicolás de Ayllón, 4351, Ate, Lima Metropolitana, Lima, 15498, Perú, (Ruta4507nueva era 23-10-23)</t>
  </si>
  <si>
    <t>Las Alondras, 175, Santa Anita, Lima Metropolitana, Lima, 15008, Perú, (Ruta4507nueva era 23-10-23)</t>
  </si>
  <si>
    <t>Avenida Santa Rosa, El Agustino, Lima Metropolitana, Lima, 15002, Perú, (Ruta4507nueva era 23-10-23, RUTA DESVIO TEM.  4507)</t>
  </si>
  <si>
    <t>Avenida Nicolás de Ayllón, El Agustino, Lima Metropolitana, Lima, 15002, Perú, (Ruta4507nueva era 23-10-23, RUTA DESVIO TEM.  4507)</t>
  </si>
  <si>
    <t>Calle Ollanta, San Luis, Lima Metropolitana, Lima, 15019, Perú</t>
  </si>
  <si>
    <t>Inca Garcilaso de la Vega, Lima, Lima Metropolitana, Lima, 15019, Perú</t>
  </si>
  <si>
    <t>Avenida Nicolás Arriola, San Luis, Lima Metropolitana, Lima, 15019, Perú, (RUTA DESVIO TEM.  4507)</t>
  </si>
  <si>
    <t>Avenida De Las Torres, San Luis, Lima Metropolitana, Lima, 15022, Perú, (Ruta4507nueva era 23-10-23, RUTA DESVIO TEM.  4507)</t>
  </si>
  <si>
    <t>Avenida Nicolás de Ayllón, Ate, Lima Metropolitana, Lima, 15002, Perú, (Ruta4507nueva era 23-10-23)</t>
  </si>
  <si>
    <t>Vía de Evitamiento, Ate, Lima Metropolitana, Lima, 15008, Perú, (Ruta4507nueva era 23-10-23, RUTA DESVIO TEM.  4507)</t>
  </si>
  <si>
    <t>Avenida Nicolás de Ayllón, Ate, Lima Metropolitana, Lima, 15008, Perú, (Ruta4507nueva era 23-10-23, RUTA DESVIO TEM.  4507)</t>
  </si>
  <si>
    <t>Avenida La Molina, Ate, Lima Metropolitana, Lima, 15008, Perú, (Ruta4507nueva era 23-10-23)</t>
  </si>
  <si>
    <t>Avenida Simón Bolivar, Ate, Lima Metropolitana, Lima, 15498, Perú, (Ruta4507nueva era 23-10-23)</t>
  </si>
  <si>
    <t>Victor Raul Haya de la Torre, Ate, Lima Metropolitana, Lima, 15498, Perú</t>
  </si>
  <si>
    <t>Victor Raul Haya de la Torre, Ate, Lima Metropolitana, Lima, 15498, Perú, (Ruta4507nueva era 23-10-23, RUTA DESVIO TEM.  4507)</t>
  </si>
  <si>
    <t>Avenida José Carlos Mariátegui, Ate, Lima Metropolitana, Lima, 15498, Perú, (Ruta4507nueva era 23-10-23, RUTA DESVIO TEM.  4507)</t>
  </si>
  <si>
    <t>Avenida José Carlos Mariátegui, Ate, Lima Metropolitana, Lima, 15498, Perú, (S05Vitarte/ ALT. Hospital)</t>
  </si>
  <si>
    <t>Avenida Nicolás de Ayllón, 500, Ate, Lima Metropolitana, Lima, 15498, Perú, (Ruta4507nueva era 23-10-23)</t>
  </si>
  <si>
    <t>Calle El Trabajo, Ate, Lima Metropolitana, Lima, 15498, Perú, (Ruta4507nueva era 23-10-23)</t>
  </si>
  <si>
    <t>Calle El Trabajo, Ate, Lima Metropolitana, Lima, 15498, Perú, (Ruta4507nueva era 23-10-23, RUTA DESVIO TEM.  4507)</t>
  </si>
  <si>
    <t>Calle José Gálvez, Ate, Lima Metropolitana, Lima, 15487, Perú, (Ruta4507nueva era 23-10-23)</t>
  </si>
  <si>
    <t>Carretera Central, Ate, Lima Metropolitana, Lima, 15483, Perú, (Ruta4507nueva era 23-10-23)</t>
  </si>
  <si>
    <t>Avenida Las Flores, Lurigancho, Lima Metropolitana, Lima, 15468, Perú, (Ruta4507nueva era 23-10-23)</t>
  </si>
  <si>
    <t>Calle Las Casuarinas, Chosica, Lima Metropolitana, Lima, 15468, Perú, (Ruta4507nueva era 23-10-23)</t>
  </si>
  <si>
    <t>Avenida Lima Sur, 824, Chosica, Lima Metropolitana, Lima, 15468, Perú, (Ruta4507nueva era 23-10-23)</t>
  </si>
  <si>
    <t>Jirón Chucuito, 187, Chosica, Lima Metropolitana, Lima, 15468, Perú, (Ruta4507nueva era 23-10-23)</t>
  </si>
  <si>
    <t>Avenida Lima Sur, 765, Chosica, Lima Metropolitana, Lima, 15468, Perú, (Ruta4507nueva era 23-10-23)</t>
  </si>
  <si>
    <t>Calle Las Dacitas, Chosica, Lima Metropolitana, Lima, 15468, Perú, (Ruta4507nueva era 23-10-23)</t>
  </si>
  <si>
    <t>Avenida Unión, Chaclacayo, Lima Metropolitana, Lima, 15476, Perú</t>
  </si>
  <si>
    <t>Avenida Jaime Zubieta Calderon, Ate, Lima Metropolitana, Lima, 15483, Perú, (Ruta4507nueva era 23-10-23)</t>
  </si>
  <si>
    <t>Avenida Nicolás Ayllón, 2032, Chaclacayo, Lima Metropolitana, Lima, 15472, Perú, (Ruta4507nueva era 23-10-23)</t>
  </si>
  <si>
    <t>Avenida Nicolás Ayllón, 2226, Chaclacayo, Lima Metropolitana, Lima, 15472, Perú, (Ruta4507nueva era 23-10-23)</t>
  </si>
  <si>
    <t>Chosica, Lima Metropolitana, Lima, 15468, Perú, (Ruta4507nueva era 23-10-23)</t>
  </si>
  <si>
    <t>Avenida Lima Sur, 765, Chosica, Lima Metropolitana, Lima, 15468, Perú</t>
  </si>
  <si>
    <t>Avenida Lima Sur, 465, Chosica, Lima Metropolitana, Lima, 15468, Perú, (Ruta4507nueva era 23-10-23)</t>
  </si>
  <si>
    <t>Avenida Lima Norte, 180, Chosica, Lima Metropolitana, Lima, 15468, Perú, (Ruta4507nueva era 23-10-23)</t>
  </si>
  <si>
    <t>Avenida Lima Norte, 474, Chosica, Lima Metropolitana, Lima, 15468, Perú, (Ruta4507nueva era 23-10-23)</t>
  </si>
  <si>
    <t>Jirón Tacna, Chosica, Lima Metropolitana, Lima, 15468, Perú</t>
  </si>
  <si>
    <t>Ate, Lima Metropolitana, Lima, 15487, Perú, (Ruta4507nueva era 23-10-23)</t>
  </si>
  <si>
    <t>Avenida Bernardino Rivadavia, Ate, Lima Metropolitana, Lima, 15498, Perú, (RUTA DESVIO TEM.  4507)</t>
  </si>
  <si>
    <t>Avenida Huancaray, Santa Anita, Lima Metropolitana, Lima, 15009, Perú, (RUTA DESVIO TEM.  4507)</t>
  </si>
  <si>
    <t>Avenida Huancaray, Santa Anita, Lima Metropolitana, Lima, 15009, Perú</t>
  </si>
  <si>
    <t>Avenida Francisco Bolognesi, Santa Anita, Lima Metropolitana, Lima, 15008, Perú</t>
  </si>
  <si>
    <t>Avenida Minería, Santa Anita, Lima Metropolitana, Lima, 15008, Perú</t>
  </si>
  <si>
    <t>Avenida Los Cipreses, Santa Anita, Lima Metropolitana, Lima, 15008, Perú, (RUTA DESVIO TEM.  4507)</t>
  </si>
  <si>
    <t>Avenida Minería, Santa Anita, Lima Metropolitana, Lima, 15008, Perú, (RUTA DESVIO TEM.  4507)</t>
  </si>
  <si>
    <t>Calle Santa Inés, Ate, Lima Metropolitana, Lima, 15008, Perú, (Ruta4507nueva era 23-10-23, RUTA DESVIO TEM.  4507)</t>
  </si>
  <si>
    <t>Avenida Minería, Santa Anita, Lima Metropolitana, Lima, 15008, Perú, (Ruta4507nueva era 23-10-23, RUTA DESVIO TEM.  4507)</t>
  </si>
  <si>
    <t>Vía de Evitamiento, El Agustino, Lima Metropolitana, Lima, 15008, Perú, (Ruta4507nueva era 23-10-23)</t>
  </si>
  <si>
    <t>Vía de Evitamiento, Ate, Lima Metropolitana, Lima, 15008, Perú</t>
  </si>
  <si>
    <t>Avenida Nicolás de Ayllón, Ate, Lima Metropolitana, Lima, 15008, Perú</t>
  </si>
  <si>
    <t>Avenida Los Cipreses, Santa Anita, Lima Metropolitana, Lima, 15002, Perú, (RUTA DESVIO TEM.  4507)</t>
  </si>
  <si>
    <t>Avenida Los Eucaliptos, Santa Anita, Lima Metropolitana, Lima, 15008, Perú, (RUTA DESVIO TEM.  4507)</t>
  </si>
  <si>
    <t>Avenida Los Ruiseñores, Santa Anita, Lima Metropolitana, Lima, 15008, Perú, (RUTA DESVIO TEM.  4507)</t>
  </si>
  <si>
    <t>Prolongación Javier Prado Este, Ate, Lima Metropolitana, Lima, 15498, Perú</t>
  </si>
  <si>
    <t>Avenida Nicolás de Ayllón, Ate, Lima Metropolitana, Lima, 15498, Perú</t>
  </si>
  <si>
    <t>Avenida Nicolás de Ayllón, Ate, Lima Metropolitana, Lima, 15487, Perú</t>
  </si>
  <si>
    <t>Carretera Central, Lurigancho, Lima Metropolitana, Lima, 15483, Perú, (Ruta4507nueva era 23-10-23)</t>
  </si>
  <si>
    <t>Avenida Gloria Grande, Ate, Lima Metropolitana, Lima, 15483, Perú</t>
  </si>
  <si>
    <t>Pasaje Gould, Lima, Lima Metropolitana, Lima, 15082, Perú, (PARADERO DESTINO ASCOPE)</t>
  </si>
  <si>
    <t>Jirón Los Próceres, Santa Eulalia, Huarochirí, Lima, 15468, Perú</t>
  </si>
  <si>
    <t>Avenida Almirante Miguel Grau, 243, Lima, Lima Metropolitana, Lima, 15001, Perú, (Ruta4507nueva era 23-10-23)</t>
  </si>
  <si>
    <t>Avenida Almirante Miguel Grau, 351, La Victoria, Lima Metropolitana, Lima, 15001, Perú, (Ruta4507nueva era 23-10-23)</t>
  </si>
  <si>
    <t>Vía Expresa Almirante Miguel Grau, La Victoria, Lima Metropolitana, Lima, 15001, Perú, (Ruta4507nueva era 23-10-23)</t>
  </si>
  <si>
    <t>Calle Digoberto Ojeda, Ricardo Palma, Huarochirí, Lima, 15468, Perú</t>
  </si>
  <si>
    <t>Pasaje Gould, Lima, Lima Metropolitana, Lima, 15082, Perú</t>
  </si>
  <si>
    <t>Jirón Sánchez Pinillos, Breña, Lima Metropolitana, Lima, 15082, Perú, (Ruta4507nueva era 23-10-23)</t>
  </si>
  <si>
    <t>Avenida Palomar Sur, Santa Eulalia, Huarochirí, Lima, 15468, Perú</t>
  </si>
  <si>
    <t>Carretera Central, Ate, Lima Metropolitana, Lima, 15483, Perú</t>
  </si>
  <si>
    <t>Calle Nova, Ate, Lima Metropolitana, Lima, 15498, Perú</t>
  </si>
  <si>
    <t>Calle Beta, 234, Ate, Lima Metropolitana, Lima, 15498, Perú</t>
  </si>
  <si>
    <t>Vista Alegre, Ate, Lima Metropolitana, Lima, 15498, Perú</t>
  </si>
  <si>
    <t>Víctor Raúl Haya de la Torre, Ate, Lima Metropolitana, Lima, 15498, Perú</t>
  </si>
  <si>
    <t>Avenida Principal, Lurigancho, Lima Metropolitana, Lima, 15464, Perú</t>
  </si>
  <si>
    <t>Avenida Almirante Miguel Grau, La Victoria, Lima Metropolitana, Lima, 15001, Perú, (Ruta4507nueva era 23-10-23)</t>
  </si>
  <si>
    <t>Jirón Sánchez Pinillos, Lima, Lima Metropolitana, Lima, 15082, Perú</t>
  </si>
  <si>
    <t>Avenida Nicolás Ayllón, Chaclacayo, Lima Metropolitana, Lima, 15472, Perú</t>
  </si>
  <si>
    <t>Avenida Jaime Zubieta Calderón, Ate, Lima Metropolitana, Lima, 15483, Perú</t>
  </si>
  <si>
    <t>Avenida Jaime Zubieta Calderon, Ate, Lima Metropolitana, Lima, 15483, Perú</t>
  </si>
  <si>
    <t>Avenida Las Retamas, Chaclacayo, Lima Metropolitana, Lima, 15474, Perú</t>
  </si>
  <si>
    <t>Avenida José Gálvez, La Victoria, Lima Metropolitana, Lima, 15001, Perú</t>
  </si>
  <si>
    <t>Ricardo Palma, Huarochirí, Lima, 15468, Perú, (Exceso de Velocidad)</t>
  </si>
  <si>
    <t>Avenida Alfonso Ugarte, Lima, Lima Metropolitana, Lima, 15082, Perú, (Ruta4507nueva era 23-10-23)</t>
  </si>
  <si>
    <t>Avenida Lima Norte, Santa Eulalia, Huarochirí, Lima, 15468, Perú, (Ruta4507nueva era 23-10-23)</t>
  </si>
  <si>
    <t>Calle Abraham Valdelomar, 108, Ricardo Palma, Huarochirí, Lima, 15468, Perú</t>
  </si>
  <si>
    <t>Avenida La Encalada, Santa Anita, Lima Metropolitana, Lima, 15007, Perú</t>
  </si>
  <si>
    <t>Avenida Los Virreyes, Santa Anita, Lima Metropolitana, Lima, 15498, Perú</t>
  </si>
  <si>
    <t>Calle 35, Santa Anita, Lima Metropolitana, Lima, 15009, Perú</t>
  </si>
  <si>
    <t>Avenida Santa Ana, 701, Santa Anita, Lima Metropolitana, Lima, 15009, Perú</t>
  </si>
  <si>
    <t>Avenida Santa Ana, Santa Anita, Lima Metropolitana, Lima, 15009, Perú</t>
  </si>
  <si>
    <t>Calle 30, Santa Anita, Lima Metropolitana, Lima, 15007, Perú</t>
  </si>
  <si>
    <t>Calle Alhelíes, Chaclacayo, Lima Metropolitana, Lima, 15476, Perú</t>
  </si>
  <si>
    <t>Avenida Nicolás Ayllón, Km. 24, Chaclacayo, Lima Metropolitana, Lima, 15472, Perú, (Ruta4507nueva era 23-10-23)</t>
  </si>
  <si>
    <t>Chaclacayo, Lima Metropolitana, Lima, 15472, Perú</t>
  </si>
  <si>
    <t>Pasaje 9 de Setiembre, Ate, Lima Metropolitana, Lima, 15008, Perú, (Ruta4507nueva era 23-10-23)</t>
  </si>
  <si>
    <t>Simón Bolívar, Ricardo Palma, Huarochirí, Lima, 15468, Perú, (CURVA RICARDO PALMA, Ruta4507nueva era 23-10-23)</t>
  </si>
  <si>
    <t>Jirón Los Próceres, Santa Eulalia, Huarochirí, Lima, 15468, Perú, (Ruta4507nueva era 23-10-23)</t>
  </si>
  <si>
    <t>Avenida Lima Norte, 599, Chosica, Lima Metropolitana, Lima, 15468, Perú, (Ruta4507nueva era 23-10-23)</t>
  </si>
  <si>
    <t>Jirón Trujillo Norte, Chosica, Lima Metropolitana, Lima, 15468, Perú, (Ruta4507nueva era 23-10-23)</t>
  </si>
  <si>
    <t>Jirón Trujillo Sur, 496, Chosica, Lima Metropolitana, Lima, 15468, Perú, (Ruta4507nueva era 23-10-23)</t>
  </si>
  <si>
    <t>Jirón Trujillo Sur, Chosica, Lima Metropolitana, Lima, 15468, Perú</t>
  </si>
  <si>
    <t>Avenida Lima Sur, 930-970, Chosica, Lima Metropolitana, Lima, 15468, Perú, (Ruta4507nueva era 23-10-23)</t>
  </si>
  <si>
    <t>Lurigancho, Lima Metropolitana, Lima, 15472, Perú, (Ruta4507nueva era 23-10-23)</t>
  </si>
  <si>
    <t>Carretera Central, Frnt G3, Lurigancho, Lima Metropolitana, Lima, 15472, Perú, (Ruta4507nueva era 23-10-23)</t>
  </si>
  <si>
    <t>Carretera Central, Chaclacayo, Lima Metropolitana, Lima, 15472, Perú, (Ruta4507nueva era 23-10-23)</t>
  </si>
  <si>
    <t>Avenida Nicolás Ayllón, 2274, Chaclacayo, Lima Metropolitana, Lima, 15472, Perú, (Ruta4507nueva era 23-10-23)</t>
  </si>
  <si>
    <t>Avenida Unión, Chaclacayo, Lima Metropolitana, Lima, 15476, Perú, (Ruta4507nueva era 23-10-23)</t>
  </si>
  <si>
    <t>Carretera Central, Km. 17.5, Chaclacayo, Lima Metropolitana, Lima, 15474, Perú, (Ruta4507nueva era 23-10-23)</t>
  </si>
  <si>
    <t>Ate, Lima Metropolitana, Lima, 15474, Perú, (Ruta4507nueva era 23-10-23)</t>
  </si>
  <si>
    <t>Avenida Nicolás de Ayllón, 816-818, Ate, Lima Metropolitana, Lima, 15487, Perú, (Ruta4507nueva era 23-10-23)</t>
  </si>
  <si>
    <t>Avenida Central, Ate, Lima Metropolitana, Lima, 15498, Perú, (Ruta4507nueva era 23-10-23, RUTA DESVIO TEM.  4507)</t>
  </si>
  <si>
    <t>Avenida Central, Ate, Lima Metropolitana, Lima, 15498, Perú, (RUTA DESVIO TEM.  4507)</t>
  </si>
  <si>
    <t>Avenida Central, 217, Ate, Lima Metropolitana, Lima, 15498, Perú, (RUTA DESVIO TEM.  4507)</t>
  </si>
  <si>
    <t>Avenida Santa María, Ate, Lima Metropolitana, Lima, 15498, Perú, (Ruta4507nueva era 23-10-23)</t>
  </si>
  <si>
    <t>Victor Raul Haya de la Torre, Ate, Lima Metropolitana, Lima, 15498, Perú, (Ruta4507nueva era 23-10-23)</t>
  </si>
  <si>
    <t>Las Alondras, 237, Santa Anita, Lima Metropolitana, Lima, 15008, Perú, (Ruta4507nueva era 23-10-23)</t>
  </si>
  <si>
    <t>Avenida Santa Rosa, 178, Ate, Lima Metropolitana, Lima, 15002, Perú</t>
  </si>
  <si>
    <t>Avenida Santa Rosa, Ate, Lima Metropolitana, Lima, 15002, Perú</t>
  </si>
  <si>
    <t>Avenida Santa María, 235, Ate, Lima Metropolitana, Lima, 15022, Perú</t>
  </si>
  <si>
    <t>Avenida De Las Torres, 225, San Luis, Lima Metropolitana, Lima, 15022, Perú</t>
  </si>
  <si>
    <t>Avenida Nicolás Ayllón, Ate, Lima Metropolitana, Lima, 15019, Perú, (Ruta4507nueva era 23-10-23)</t>
  </si>
  <si>
    <t>Avenida Andrés Avelino Cáceres, Ate, Lima Metropolitana, Lima, 15019, Perú</t>
  </si>
  <si>
    <t>Avenida Andrés Avelino Cáceres, 324, Ate, Lima Metropolitana, Lima, 15019, Perú</t>
  </si>
  <si>
    <t>Avenida 26 de Julio, Ate, Lima Metropolitana, Lima, 15019, Perú</t>
  </si>
  <si>
    <t>Calle Ollanta, Ate, Lima Metropolitana, Lima, 15019, Perú</t>
  </si>
  <si>
    <t>Avenida Nicolás de Ayllón, Lima, Lima Metropolitana, Lima, 15004, Perú, (Ruta4507nueva era 23-10-23)</t>
  </si>
  <si>
    <t>Avenida Nicolás Ayllón, Lima, Lima Metropolitana, Lima, 15004, Perú, (Ruta4507nueva era 23-10-23)</t>
  </si>
  <si>
    <t>Calle El Pino, El Agustino, Lima Metropolitana, Lima, 15004, Perú</t>
  </si>
  <si>
    <t>Calle Andrés Avelino Cáceres, El Agustino, Lima Metropolitana, Lima, 15004, Perú</t>
  </si>
  <si>
    <t>Jirón Junín, El Agustino, Lima Metropolitana, Lima, 15011, Perú</t>
  </si>
  <si>
    <t>Avenida Almirante Miguel Grau, 1804, Lima, Lima Metropolitana, Lima, 15011, Perú</t>
  </si>
  <si>
    <t>Avenida Almirante Miguel Grau, Lima, Lima Metropolitana, Lima, 15003, Perú</t>
  </si>
  <si>
    <t>Avenida Almirante Miguel Grau, 354, Lima, Lima Metropolitana, Lima, 15001, Perú, (Ruta4507nueva era 23-10-23)</t>
  </si>
  <si>
    <t>Avenida Iquitos, Lima, Lima Metropolitana, Lima, 15001, Perú, (Ruta4507nueva era 23-10-23)</t>
  </si>
  <si>
    <t>Avenida Almirante Miguel Grau, 369, Lima, Lima Metropolitana, Lima, 15001, Perú, (Ruta4507nueva era 23-10-23)</t>
  </si>
  <si>
    <t>Avenida 28 de Julio, 970, Jesús María, Lima Metropolitana, Lima, 15083, Perú</t>
  </si>
  <si>
    <t>Avenida 28 de Julio, 1056, Jesús María, Lima Metropolitana, Lima, 15083, Perú</t>
  </si>
  <si>
    <t>Avenida Paseo de la República, Lima, Lima Metropolitana, Lima, 15083, Perú</t>
  </si>
  <si>
    <t>Avenida Paseo de la República, La Victoria, Lima Metropolitana, Lima, 15083, Perú</t>
  </si>
  <si>
    <t>Vía Expresa Luis Fernán Bedoya Reyes, 400, La Victoria, Lima Metropolitana, Lima, 15083, Perú</t>
  </si>
  <si>
    <t>Avenida Paseo de la República, 449, La Victoria, Lima Metropolitana, Lima, 15083, Perú</t>
  </si>
  <si>
    <t>Avenida Lima Norte, Santa Eulalia, Huarochirí, Lima, 15468, Perú</t>
  </si>
  <si>
    <t>Avenida San Martín, Santa Eulalia, Huarochirí, Lima, 15468, Perú</t>
  </si>
  <si>
    <t>Prolongación Avenida San Pablo, Lima, Lima Metropolitana, Lima, 15011, Perú</t>
  </si>
  <si>
    <t>Jirón Cornelio Borda, Lima, Lima Metropolitana, Lima, 15082, Perú</t>
  </si>
  <si>
    <t>Jirón Arequipa, 214;218, Chosica, Lima Metropolitana, Lima, 15468, Perú</t>
  </si>
  <si>
    <t>Calle 28 de Julio, Chosica, Lima Metropolitana, Lima, 15468, Perú</t>
  </si>
  <si>
    <t>Jirón Arequipa, Chosica, Lima Metropolitana, Lima, 15468, Perú</t>
  </si>
  <si>
    <t>Calle 20 de Enero, Santa Eulalia, Huarochirí, Lima, 15468, Perú</t>
  </si>
  <si>
    <t>Calle Cesar Vallejo, Ricardo Palma, Huarochirí, Lima, 15468, Perú</t>
  </si>
  <si>
    <t>Ate, Lima Metropolitana, Lima, 15483, Perú, (Ruta4507nueva era 23-10-23)</t>
  </si>
  <si>
    <t>Avenida Micaela Bastidas, 561, Santa Eulalia, Huarochirí, Lima, 15468, Perú</t>
  </si>
  <si>
    <t>22 de Julio, Ate, Lima Metropolitana, Lima, 15498, Perú</t>
  </si>
  <si>
    <t>Calle 33, Santa Anita, Lima Metropolitana, Lima, 15009, Perú</t>
  </si>
  <si>
    <t>Avenida Huarochiri, Santa Anita, Lima Metropolitana, Lima, 15009, Perú</t>
  </si>
  <si>
    <t>112 km/h</t>
  </si>
  <si>
    <t>Jirón Huarochirí, 643, Lima, Lima Metropolitana, Lima, 15082, Perú, (Ruta4507nueva era 23-10-23)</t>
  </si>
  <si>
    <t>Avenida Cajamarquilla, Ate, Lima Metropolitana, Lima, 15487, Perú, (Ruta4507nueva era 23-10-23)</t>
  </si>
  <si>
    <t>Avenida 9 de Diciembre, 150, Lima, Lima Metropolitana, Lima, 15083, Perú, (Ruta4507nueva era 23-10-23)</t>
  </si>
  <si>
    <t>94 km/h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</si>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</sst>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605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482</v>
      </c>
      <c r="B8" s="3">
        <v>45716.246331018519</v>
      </c>
      <c r="C8" t="s">
        <v>18</v>
      </c>
      <c r="D8" s="3">
        <v>45716.943113425921</v>
      </c>
      <c r="E8" t="s">
        <v>18</v>
      </c>
      <c r="F8" s="4">
        <v>254.387</v>
      </c>
      <c r="G8" s="4">
        <v>517034.70500000002</v>
      </c>
      <c r="H8" s="4">
        <v>517289.092</v>
      </c>
      <c r="I8" s="5">
        <f>14858 / 86400</f>
        <v>0.17196759259259259</v>
      </c>
      <c r="J8" t="s">
        <v>19</v>
      </c>
      <c r="K8" t="s">
        <v>20</v>
      </c>
      <c r="L8" s="5">
        <f>50089 / 86400</f>
        <v>0.57973379629629629</v>
      </c>
      <c r="M8" s="5">
        <f>36309 / 86400</f>
        <v>0.42024305555555558</v>
      </c>
    </row>
    <row r="9" spans="1:13" x14ac:dyDescent="0.25">
      <c r="A9" t="s">
        <v>483</v>
      </c>
      <c r="B9" s="3">
        <v>45716.087731481486</v>
      </c>
      <c r="C9" t="s">
        <v>21</v>
      </c>
      <c r="D9" s="3">
        <v>45716.901342592595</v>
      </c>
      <c r="E9" t="s">
        <v>21</v>
      </c>
      <c r="F9" s="4">
        <v>0</v>
      </c>
      <c r="G9" s="4">
        <v>20850.677</v>
      </c>
      <c r="H9" s="4">
        <v>20850.677</v>
      </c>
      <c r="I9" s="5">
        <f>57662 / 86400</f>
        <v>0.66738425925925926</v>
      </c>
      <c r="J9" t="s">
        <v>22</v>
      </c>
      <c r="K9" t="s">
        <v>22</v>
      </c>
      <c r="L9" s="5">
        <f>57740 / 86400</f>
        <v>0.66828703703703707</v>
      </c>
      <c r="M9" s="5">
        <f>28656 / 86400</f>
        <v>0.33166666666666667</v>
      </c>
    </row>
    <row r="10" spans="1:13" x14ac:dyDescent="0.25">
      <c r="A10" t="s">
        <v>484</v>
      </c>
      <c r="B10" s="3">
        <v>45716.811828703707</v>
      </c>
      <c r="C10" t="s">
        <v>23</v>
      </c>
      <c r="D10" s="3">
        <v>45716.818275462967</v>
      </c>
      <c r="E10" t="s">
        <v>24</v>
      </c>
      <c r="F10" s="4">
        <v>3.3000000000000002E-2</v>
      </c>
      <c r="G10" s="4">
        <v>330937.462</v>
      </c>
      <c r="H10" s="4">
        <v>330937.495</v>
      </c>
      <c r="I10" s="5">
        <f>166 / 86400</f>
        <v>1.9212962962962964E-3</v>
      </c>
      <c r="J10" t="s">
        <v>25</v>
      </c>
      <c r="K10" t="s">
        <v>22</v>
      </c>
      <c r="L10" s="5">
        <f>249 / 86400</f>
        <v>2.8819444444444444E-3</v>
      </c>
      <c r="M10" s="5">
        <f>86150 / 86400</f>
        <v>0.99710648148148151</v>
      </c>
    </row>
    <row r="11" spans="1:13" x14ac:dyDescent="0.25">
      <c r="A11" t="s">
        <v>485</v>
      </c>
      <c r="B11" s="3">
        <v>45716.290347222224</v>
      </c>
      <c r="C11" t="s">
        <v>26</v>
      </c>
      <c r="D11" s="3">
        <v>45716.932708333334</v>
      </c>
      <c r="E11" t="s">
        <v>26</v>
      </c>
      <c r="F11" s="4">
        <v>127.621</v>
      </c>
      <c r="G11" s="4">
        <v>22514.322</v>
      </c>
      <c r="H11" s="4">
        <v>22641.942999999999</v>
      </c>
      <c r="I11" s="5">
        <f>16373 / 86400</f>
        <v>0.1895023148148148</v>
      </c>
      <c r="J11" t="s">
        <v>27</v>
      </c>
      <c r="K11" t="s">
        <v>28</v>
      </c>
      <c r="L11" s="5">
        <f>38496 / 86400</f>
        <v>0.44555555555555554</v>
      </c>
      <c r="M11" s="5">
        <f>47896 / 86400</f>
        <v>0.55435185185185187</v>
      </c>
    </row>
    <row r="12" spans="1:13" x14ac:dyDescent="0.25">
      <c r="A12" t="s">
        <v>486</v>
      </c>
      <c r="B12" s="3">
        <v>45716.250335648147</v>
      </c>
      <c r="C12" t="s">
        <v>29</v>
      </c>
      <c r="D12" s="3">
        <v>45716.920474537037</v>
      </c>
      <c r="E12" t="s">
        <v>29</v>
      </c>
      <c r="F12" s="4">
        <v>208.75299999999999</v>
      </c>
      <c r="G12" s="4">
        <v>516217.51500000001</v>
      </c>
      <c r="H12" s="4">
        <v>516426.26799999998</v>
      </c>
      <c r="I12" s="5">
        <f>15517 / 86400</f>
        <v>0.17959490740740741</v>
      </c>
      <c r="J12" t="s">
        <v>30</v>
      </c>
      <c r="K12" t="s">
        <v>31</v>
      </c>
      <c r="L12" s="5">
        <f>46976 / 86400</f>
        <v>0.54370370370370369</v>
      </c>
      <c r="M12" s="5">
        <f>39414 / 86400</f>
        <v>0.45618055555555553</v>
      </c>
    </row>
    <row r="13" spans="1:13" x14ac:dyDescent="0.25">
      <c r="A13" t="s">
        <v>487</v>
      </c>
      <c r="B13" s="3">
        <v>45716.286180555559</v>
      </c>
      <c r="C13" t="s">
        <v>26</v>
      </c>
      <c r="D13" s="3">
        <v>45716.888124999998</v>
      </c>
      <c r="E13" t="s">
        <v>26</v>
      </c>
      <c r="F13" s="4">
        <v>2.5129999999999999</v>
      </c>
      <c r="G13" s="4">
        <v>93385.593999999997</v>
      </c>
      <c r="H13" s="4">
        <v>93388.107000000004</v>
      </c>
      <c r="I13" s="5">
        <f>2252 / 86400</f>
        <v>2.6064814814814815E-2</v>
      </c>
      <c r="J13" t="s">
        <v>32</v>
      </c>
      <c r="K13" t="s">
        <v>33</v>
      </c>
      <c r="L13" s="5">
        <f>3506 / 86400</f>
        <v>4.0578703703703707E-2</v>
      </c>
      <c r="M13" s="5">
        <f>82887 / 86400</f>
        <v>0.95934027777777775</v>
      </c>
    </row>
    <row r="14" spans="1:13" x14ac:dyDescent="0.25">
      <c r="A14" t="s">
        <v>488</v>
      </c>
      <c r="B14" s="3">
        <v>45716.251134259262</v>
      </c>
      <c r="C14" t="s">
        <v>18</v>
      </c>
      <c r="D14" s="3">
        <v>45716.904340277775</v>
      </c>
      <c r="E14" t="s">
        <v>18</v>
      </c>
      <c r="F14" s="4">
        <v>215.03100000000001</v>
      </c>
      <c r="G14" s="4">
        <v>141236.12899999999</v>
      </c>
      <c r="H14" s="4">
        <v>141451.16</v>
      </c>
      <c r="I14" s="5">
        <f>18653 / 86400</f>
        <v>0.21589120370370371</v>
      </c>
      <c r="J14" t="s">
        <v>34</v>
      </c>
      <c r="K14" t="s">
        <v>35</v>
      </c>
      <c r="L14" s="5">
        <f>50421 / 86400</f>
        <v>0.58357638888888885</v>
      </c>
      <c r="M14" s="5">
        <f>35973 / 86400</f>
        <v>0.41635416666666669</v>
      </c>
    </row>
    <row r="15" spans="1:13" x14ac:dyDescent="0.25">
      <c r="A15" t="s">
        <v>489</v>
      </c>
      <c r="B15" s="3">
        <v>45716</v>
      </c>
      <c r="C15" t="s">
        <v>36</v>
      </c>
      <c r="D15" s="3">
        <v>45716.994745370372</v>
      </c>
      <c r="E15" t="s">
        <v>26</v>
      </c>
      <c r="F15" s="4">
        <v>324.10649537682531</v>
      </c>
      <c r="G15" s="4">
        <v>351331.26277248247</v>
      </c>
      <c r="H15" s="4">
        <v>351673.78271219728</v>
      </c>
      <c r="I15" s="5">
        <f>0 / 86400</f>
        <v>0</v>
      </c>
      <c r="J15" t="s">
        <v>34</v>
      </c>
      <c r="K15" t="s">
        <v>37</v>
      </c>
      <c r="L15" s="5">
        <f>48924 / 86400</f>
        <v>0.56625000000000003</v>
      </c>
      <c r="M15" s="5">
        <f>37475 / 86400</f>
        <v>0.43373842592592593</v>
      </c>
    </row>
    <row r="16" spans="1:13" x14ac:dyDescent="0.25">
      <c r="A16" t="s">
        <v>490</v>
      </c>
      <c r="B16" s="3">
        <v>45716.169548611113</v>
      </c>
      <c r="C16" t="s">
        <v>38</v>
      </c>
      <c r="D16" s="3">
        <v>45716.739305555559</v>
      </c>
      <c r="E16" t="s">
        <v>38</v>
      </c>
      <c r="F16" s="4">
        <v>167.8</v>
      </c>
      <c r="G16" s="4">
        <v>486067.21500000003</v>
      </c>
      <c r="H16" s="4">
        <v>486235.01500000001</v>
      </c>
      <c r="I16" s="5">
        <f>14279 / 86400</f>
        <v>0.16526620370370371</v>
      </c>
      <c r="J16" t="s">
        <v>39</v>
      </c>
      <c r="K16" t="s">
        <v>35</v>
      </c>
      <c r="L16" s="5">
        <f>40469 / 86400</f>
        <v>0.46839120370370368</v>
      </c>
      <c r="M16" s="5">
        <f>45927 / 86400</f>
        <v>0.53156250000000005</v>
      </c>
    </row>
    <row r="17" spans="1:13" x14ac:dyDescent="0.25">
      <c r="A17" t="s">
        <v>491</v>
      </c>
      <c r="B17" s="3">
        <v>45716.128946759258</v>
      </c>
      <c r="C17" t="s">
        <v>40</v>
      </c>
      <c r="D17" s="3">
        <v>45716.869999999995</v>
      </c>
      <c r="E17" t="s">
        <v>41</v>
      </c>
      <c r="F17" s="4">
        <v>204.59700000000001</v>
      </c>
      <c r="G17" s="4">
        <v>510883.00900000002</v>
      </c>
      <c r="H17" s="4">
        <v>511087.60600000003</v>
      </c>
      <c r="I17" s="5">
        <f>16934 / 86400</f>
        <v>0.19599537037037038</v>
      </c>
      <c r="J17" t="s">
        <v>42</v>
      </c>
      <c r="K17" t="s">
        <v>31</v>
      </c>
      <c r="L17" s="5">
        <f>46761 / 86400</f>
        <v>0.54121527777777778</v>
      </c>
      <c r="M17" s="5">
        <f>39633 / 86400</f>
        <v>0.45871527777777776</v>
      </c>
    </row>
    <row r="18" spans="1:13" x14ac:dyDescent="0.25">
      <c r="A18" t="s">
        <v>492</v>
      </c>
      <c r="B18" s="3">
        <v>45716.237002314811</v>
      </c>
      <c r="C18" t="s">
        <v>43</v>
      </c>
      <c r="D18" s="3">
        <v>45716.896319444444</v>
      </c>
      <c r="E18" t="s">
        <v>43</v>
      </c>
      <c r="F18" s="4">
        <v>167.33500000000001</v>
      </c>
      <c r="G18" s="4">
        <v>409778.24599999998</v>
      </c>
      <c r="H18" s="4">
        <v>409945.58100000001</v>
      </c>
      <c r="I18" s="5">
        <f>19738 / 86400</f>
        <v>0.22844907407407408</v>
      </c>
      <c r="J18" t="s">
        <v>44</v>
      </c>
      <c r="K18" t="s">
        <v>28</v>
      </c>
      <c r="L18" s="5">
        <f>48391 / 86400</f>
        <v>0.56008101851851855</v>
      </c>
      <c r="M18" s="5">
        <f>38005 / 86400</f>
        <v>0.43987268518518519</v>
      </c>
    </row>
    <row r="19" spans="1:13" x14ac:dyDescent="0.25">
      <c r="A19" t="s">
        <v>493</v>
      </c>
      <c r="B19" s="3">
        <v>45716.27611111111</v>
      </c>
      <c r="C19" t="s">
        <v>45</v>
      </c>
      <c r="D19" s="3">
        <v>45716.698657407411</v>
      </c>
      <c r="E19" t="s">
        <v>46</v>
      </c>
      <c r="F19" s="4">
        <v>105.151</v>
      </c>
      <c r="G19" s="4">
        <v>439516.89299999998</v>
      </c>
      <c r="H19" s="4">
        <v>439622.04399999999</v>
      </c>
      <c r="I19" s="5">
        <f>8443 / 86400</f>
        <v>9.7719907407407408E-2</v>
      </c>
      <c r="J19" t="s">
        <v>47</v>
      </c>
      <c r="K19" t="s">
        <v>31</v>
      </c>
      <c r="L19" s="5">
        <f>24392 / 86400</f>
        <v>0.2823148148148148</v>
      </c>
      <c r="M19" s="5">
        <f>62004 / 86400</f>
        <v>0.71763888888888894</v>
      </c>
    </row>
    <row r="20" spans="1:13" x14ac:dyDescent="0.25">
      <c r="A20" t="s">
        <v>494</v>
      </c>
      <c r="B20" s="3">
        <v>45716.293587962966</v>
      </c>
      <c r="C20" t="s">
        <v>48</v>
      </c>
      <c r="D20" s="3">
        <v>45716.89267361111</v>
      </c>
      <c r="E20" t="s">
        <v>48</v>
      </c>
      <c r="F20" s="4">
        <v>197.20099999999999</v>
      </c>
      <c r="G20" s="4">
        <v>57245.17</v>
      </c>
      <c r="H20" s="4">
        <v>57442.370999999999</v>
      </c>
      <c r="I20" s="5">
        <f>16880 / 86400</f>
        <v>0.19537037037037036</v>
      </c>
      <c r="J20" t="s">
        <v>49</v>
      </c>
      <c r="K20" t="s">
        <v>35</v>
      </c>
      <c r="L20" s="5">
        <f>47579 / 86400</f>
        <v>0.55068287037037034</v>
      </c>
      <c r="M20" s="5">
        <f>38817 / 86400</f>
        <v>0.44927083333333334</v>
      </c>
    </row>
    <row r="21" spans="1:13" x14ac:dyDescent="0.25">
      <c r="A21" t="s">
        <v>495</v>
      </c>
      <c r="B21" s="3">
        <v>45716.199884259258</v>
      </c>
      <c r="C21" t="s">
        <v>50</v>
      </c>
      <c r="D21" s="3">
        <v>45716.833506944444</v>
      </c>
      <c r="E21" t="s">
        <v>50</v>
      </c>
      <c r="F21" s="4">
        <v>103.70200000000001</v>
      </c>
      <c r="G21" s="4">
        <v>217994.05799999999</v>
      </c>
      <c r="H21" s="4">
        <v>218097.76</v>
      </c>
      <c r="I21" s="5">
        <f>7685 / 86400</f>
        <v>8.8946759259259253E-2</v>
      </c>
      <c r="J21" t="s">
        <v>19</v>
      </c>
      <c r="K21" t="s">
        <v>20</v>
      </c>
      <c r="L21" s="5">
        <f>21016 / 86400</f>
        <v>0.24324074074074073</v>
      </c>
      <c r="M21" s="5">
        <f>65377 / 86400</f>
        <v>0.75667824074074075</v>
      </c>
    </row>
    <row r="22" spans="1:13" x14ac:dyDescent="0.25">
      <c r="A22" t="s">
        <v>496</v>
      </c>
      <c r="B22" s="3">
        <v>45716.277361111112</v>
      </c>
      <c r="C22" t="s">
        <v>51</v>
      </c>
      <c r="D22" s="3">
        <v>45716.86582175926</v>
      </c>
      <c r="E22" t="s">
        <v>51</v>
      </c>
      <c r="F22" s="4">
        <v>124.34399999994039</v>
      </c>
      <c r="G22" s="4">
        <v>527773.08700000006</v>
      </c>
      <c r="H22" s="4">
        <v>527897.43099999998</v>
      </c>
      <c r="I22" s="5">
        <f>9135 / 86400</f>
        <v>0.10572916666666667</v>
      </c>
      <c r="J22" t="s">
        <v>52</v>
      </c>
      <c r="K22" t="s">
        <v>31</v>
      </c>
      <c r="L22" s="5">
        <f>27721 / 86400</f>
        <v>0.3208449074074074</v>
      </c>
      <c r="M22" s="5">
        <f>58672 / 86400</f>
        <v>0.67907407407407405</v>
      </c>
    </row>
    <row r="23" spans="1:13" x14ac:dyDescent="0.25">
      <c r="A23" t="s">
        <v>497</v>
      </c>
      <c r="B23" s="3">
        <v>45716.244976851856</v>
      </c>
      <c r="C23" t="s">
        <v>53</v>
      </c>
      <c r="D23" s="3">
        <v>45716.878865740742</v>
      </c>
      <c r="E23" t="s">
        <v>53</v>
      </c>
      <c r="F23" s="4">
        <v>204.01599999999999</v>
      </c>
      <c r="G23" s="4">
        <v>347159.288</v>
      </c>
      <c r="H23" s="4">
        <v>347363.304</v>
      </c>
      <c r="I23" s="5">
        <f>17138 / 86400</f>
        <v>0.19835648148148149</v>
      </c>
      <c r="J23" t="s">
        <v>54</v>
      </c>
      <c r="K23" t="s">
        <v>35</v>
      </c>
      <c r="L23" s="5">
        <f>47775 / 86400</f>
        <v>0.55295138888888884</v>
      </c>
      <c r="M23" s="5">
        <f>38618 / 86400</f>
        <v>0.44696759259259261</v>
      </c>
    </row>
    <row r="24" spans="1:13" x14ac:dyDescent="0.25">
      <c r="A24" t="s">
        <v>498</v>
      </c>
      <c r="B24" s="3">
        <v>45716.245312500003</v>
      </c>
      <c r="C24" t="s">
        <v>55</v>
      </c>
      <c r="D24" s="3">
        <v>45716.827037037037</v>
      </c>
      <c r="E24" t="s">
        <v>55</v>
      </c>
      <c r="F24" s="4">
        <v>17.745000000000001</v>
      </c>
      <c r="G24" s="4">
        <v>427733.70899999997</v>
      </c>
      <c r="H24" s="4">
        <v>427751.45400000003</v>
      </c>
      <c r="I24" s="5">
        <f>5312 / 86400</f>
        <v>6.1481481481481484E-2</v>
      </c>
      <c r="J24" t="s">
        <v>56</v>
      </c>
      <c r="K24" t="s">
        <v>57</v>
      </c>
      <c r="L24" s="5">
        <f>9189 / 86400</f>
        <v>0.10635416666666667</v>
      </c>
      <c r="M24" s="5">
        <f>77201 / 86400</f>
        <v>0.89353009259259264</v>
      </c>
    </row>
    <row r="25" spans="1:13" x14ac:dyDescent="0.25">
      <c r="A25" t="s">
        <v>499</v>
      </c>
      <c r="B25" s="3">
        <v>45716.221458333333</v>
      </c>
      <c r="C25" t="s">
        <v>26</v>
      </c>
      <c r="D25" s="3">
        <v>45716.736527777779</v>
      </c>
      <c r="E25" t="s">
        <v>26</v>
      </c>
      <c r="F25" s="4">
        <v>11.648</v>
      </c>
      <c r="G25" s="4">
        <v>15209.822</v>
      </c>
      <c r="H25" s="4">
        <v>15221.47</v>
      </c>
      <c r="I25" s="5">
        <f>1720 / 86400</f>
        <v>1.9907407407407408E-2</v>
      </c>
      <c r="J25" t="s">
        <v>58</v>
      </c>
      <c r="K25" t="s">
        <v>59</v>
      </c>
      <c r="L25" s="5">
        <f>44501 / 86400</f>
        <v>0.51505787037037032</v>
      </c>
      <c r="M25" s="5">
        <f>41897 / 86400</f>
        <v>0.48491898148148149</v>
      </c>
    </row>
    <row r="26" spans="1:13" x14ac:dyDescent="0.25">
      <c r="A26" t="s">
        <v>500</v>
      </c>
      <c r="B26" s="3">
        <v>45716.142685185187</v>
      </c>
      <c r="C26" t="s">
        <v>60</v>
      </c>
      <c r="D26" s="3">
        <v>45716.871319444443</v>
      </c>
      <c r="E26" t="s">
        <v>60</v>
      </c>
      <c r="F26" s="4">
        <v>184.137</v>
      </c>
      <c r="G26" s="4">
        <v>140425.524</v>
      </c>
      <c r="H26" s="4">
        <v>140609.66099999999</v>
      </c>
      <c r="I26" s="5">
        <f>12255 / 86400</f>
        <v>0.14184027777777777</v>
      </c>
      <c r="J26" t="s">
        <v>61</v>
      </c>
      <c r="K26" t="s">
        <v>62</v>
      </c>
      <c r="L26" s="5">
        <f>38372 / 86400</f>
        <v>0.44412037037037039</v>
      </c>
      <c r="M26" s="5">
        <f>48014 / 86400</f>
        <v>0.55571759259259257</v>
      </c>
    </row>
    <row r="27" spans="1:13" x14ac:dyDescent="0.25">
      <c r="A27" t="s">
        <v>501</v>
      </c>
      <c r="B27" s="3">
        <v>45716.222662037035</v>
      </c>
      <c r="C27" t="s">
        <v>26</v>
      </c>
      <c r="D27" s="3">
        <v>45716.823692129634</v>
      </c>
      <c r="E27" t="s">
        <v>26</v>
      </c>
      <c r="F27" s="4">
        <v>166.27500000000001</v>
      </c>
      <c r="G27" s="4">
        <v>7177.8540000000003</v>
      </c>
      <c r="H27" s="4">
        <v>7344.1289999999999</v>
      </c>
      <c r="I27" s="5">
        <f>18403 / 86400</f>
        <v>0.21299768518518519</v>
      </c>
      <c r="J27" t="s">
        <v>63</v>
      </c>
      <c r="K27" t="s">
        <v>64</v>
      </c>
      <c r="L27" s="5">
        <f>47680 / 86400</f>
        <v>0.55185185185185182</v>
      </c>
      <c r="M27" s="5">
        <f>38716 / 86400</f>
        <v>0.44810185185185186</v>
      </c>
    </row>
    <row r="28" spans="1:13" x14ac:dyDescent="0.25">
      <c r="A28" t="s">
        <v>502</v>
      </c>
      <c r="B28" s="3">
        <v>45716.214675925927</v>
      </c>
      <c r="C28" t="s">
        <v>38</v>
      </c>
      <c r="D28" s="3">
        <v>45716.737349537041</v>
      </c>
      <c r="E28" t="s">
        <v>38</v>
      </c>
      <c r="F28" s="4">
        <v>167.65699999999998</v>
      </c>
      <c r="G28" s="4">
        <v>389124.93900000001</v>
      </c>
      <c r="H28" s="4">
        <v>389292.59600000002</v>
      </c>
      <c r="I28" s="5">
        <f>15379 / 86400</f>
        <v>0.17799768518518519</v>
      </c>
      <c r="J28" t="s">
        <v>65</v>
      </c>
      <c r="K28" t="s">
        <v>35</v>
      </c>
      <c r="L28" s="5">
        <f>41473 / 86400</f>
        <v>0.48001157407407408</v>
      </c>
      <c r="M28" s="5">
        <f>44921 / 86400</f>
        <v>0.51991898148148152</v>
      </c>
    </row>
    <row r="29" spans="1:13" x14ac:dyDescent="0.25">
      <c r="A29" t="s">
        <v>503</v>
      </c>
      <c r="B29" s="3">
        <v>45716.253680555557</v>
      </c>
      <c r="C29" t="s">
        <v>38</v>
      </c>
      <c r="D29" s="3">
        <v>45716.91269675926</v>
      </c>
      <c r="E29" t="s">
        <v>38</v>
      </c>
      <c r="F29" s="4">
        <v>223.946</v>
      </c>
      <c r="G29" s="4">
        <v>393105.87599999999</v>
      </c>
      <c r="H29" s="4">
        <v>393329.82199999999</v>
      </c>
      <c r="I29" s="5">
        <f>16753 / 86400</f>
        <v>0.19390046296296296</v>
      </c>
      <c r="J29" t="s">
        <v>66</v>
      </c>
      <c r="K29" t="s">
        <v>31</v>
      </c>
      <c r="L29" s="5">
        <f>49913 / 86400</f>
        <v>0.57769675925925923</v>
      </c>
      <c r="M29" s="5">
        <f>36481 / 86400</f>
        <v>0.42223379629629632</v>
      </c>
    </row>
    <row r="30" spans="1:13" x14ac:dyDescent="0.25">
      <c r="A30" t="s">
        <v>504</v>
      </c>
      <c r="B30" s="3">
        <v>45716.146620370375</v>
      </c>
      <c r="C30" t="s">
        <v>67</v>
      </c>
      <c r="D30" s="3">
        <v>45716.721435185187</v>
      </c>
      <c r="E30" t="s">
        <v>67</v>
      </c>
      <c r="F30" s="4">
        <v>211.7610000000596</v>
      </c>
      <c r="G30" s="4">
        <v>526541.1</v>
      </c>
      <c r="H30" s="4">
        <v>526752.86100000003</v>
      </c>
      <c r="I30" s="5">
        <f>12663 / 86400</f>
        <v>0.14656250000000001</v>
      </c>
      <c r="J30" t="s">
        <v>54</v>
      </c>
      <c r="K30" t="s">
        <v>20</v>
      </c>
      <c r="L30" s="5">
        <f>42865 / 86400</f>
        <v>0.49612268518518521</v>
      </c>
      <c r="M30" s="5">
        <f>43532 / 86400</f>
        <v>0.50384259259259256</v>
      </c>
    </row>
    <row r="31" spans="1:13" x14ac:dyDescent="0.25">
      <c r="A31" t="s">
        <v>505</v>
      </c>
      <c r="B31" s="3">
        <v>45716</v>
      </c>
      <c r="C31" t="s">
        <v>68</v>
      </c>
      <c r="D31" s="3">
        <v>45716.99998842593</v>
      </c>
      <c r="E31" t="s">
        <v>69</v>
      </c>
      <c r="F31" s="4">
        <v>197.04399999999998</v>
      </c>
      <c r="G31" s="4">
        <v>414028.603</v>
      </c>
      <c r="H31" s="4">
        <v>414225.647</v>
      </c>
      <c r="I31" s="5">
        <f>15241 / 86400</f>
        <v>0.17640046296296297</v>
      </c>
      <c r="J31" t="s">
        <v>70</v>
      </c>
      <c r="K31" t="s">
        <v>31</v>
      </c>
      <c r="L31" s="5">
        <f>45722 / 86400</f>
        <v>0.52918981481481486</v>
      </c>
      <c r="M31" s="5">
        <f>40674 / 86400</f>
        <v>0.47076388888888887</v>
      </c>
    </row>
    <row r="32" spans="1:13" x14ac:dyDescent="0.25">
      <c r="A32" t="s">
        <v>506</v>
      </c>
      <c r="B32" s="3">
        <v>45716.24700231482</v>
      </c>
      <c r="C32" t="s">
        <v>71</v>
      </c>
      <c r="D32" s="3">
        <v>45716.906041666662</v>
      </c>
      <c r="E32" t="s">
        <v>71</v>
      </c>
      <c r="F32" s="4">
        <v>202.56800000000001</v>
      </c>
      <c r="G32" s="4">
        <v>404862.22</v>
      </c>
      <c r="H32" s="4">
        <v>405064.788</v>
      </c>
      <c r="I32" s="5">
        <f>18579 / 86400</f>
        <v>0.21503472222222222</v>
      </c>
      <c r="J32" t="s">
        <v>65</v>
      </c>
      <c r="K32" t="s">
        <v>72</v>
      </c>
      <c r="L32" s="5">
        <f>51366 / 86400</f>
        <v>0.5945138888888889</v>
      </c>
      <c r="M32" s="5">
        <f>35027 / 86400</f>
        <v>0.40540509259259261</v>
      </c>
    </row>
    <row r="33" spans="1:13" x14ac:dyDescent="0.25">
      <c r="A33" t="s">
        <v>507</v>
      </c>
      <c r="B33" s="3">
        <v>45716.268414351856</v>
      </c>
      <c r="C33" t="s">
        <v>73</v>
      </c>
      <c r="D33" s="3">
        <v>45716.813425925924</v>
      </c>
      <c r="E33" t="s">
        <v>73</v>
      </c>
      <c r="F33" s="4">
        <v>177.125</v>
      </c>
      <c r="G33" s="4">
        <v>409018.60499999998</v>
      </c>
      <c r="H33" s="4">
        <v>409195.73</v>
      </c>
      <c r="I33" s="5">
        <f>11296 / 86400</f>
        <v>0.13074074074074074</v>
      </c>
      <c r="J33" t="s">
        <v>52</v>
      </c>
      <c r="K33" t="s">
        <v>62</v>
      </c>
      <c r="L33" s="5">
        <f>36515 / 86400</f>
        <v>0.4226273148148148</v>
      </c>
      <c r="M33" s="5">
        <f>49878 / 86400</f>
        <v>0.57729166666666665</v>
      </c>
    </row>
    <row r="34" spans="1:13" x14ac:dyDescent="0.25">
      <c r="A34" t="s">
        <v>508</v>
      </c>
      <c r="B34" s="3">
        <v>45716.298032407409</v>
      </c>
      <c r="C34" t="s">
        <v>74</v>
      </c>
      <c r="D34" s="3">
        <v>45716.68304398148</v>
      </c>
      <c r="E34" t="s">
        <v>74</v>
      </c>
      <c r="F34" s="4">
        <v>96.37700000000001</v>
      </c>
      <c r="G34" s="4">
        <v>349318.359</v>
      </c>
      <c r="H34" s="4">
        <v>349414.73599999998</v>
      </c>
      <c r="I34" s="5">
        <f>7715 / 86400</f>
        <v>8.9293981481481488E-2</v>
      </c>
      <c r="J34" t="s">
        <v>75</v>
      </c>
      <c r="K34" t="s">
        <v>35</v>
      </c>
      <c r="L34" s="5">
        <f>22403 / 86400</f>
        <v>0.25929398148148147</v>
      </c>
      <c r="M34" s="5">
        <f>63992 / 86400</f>
        <v>0.74064814814814817</v>
      </c>
    </row>
    <row r="35" spans="1:13" x14ac:dyDescent="0.25">
      <c r="A35" t="s">
        <v>509</v>
      </c>
      <c r="B35" s="3">
        <v>45716.171875</v>
      </c>
      <c r="C35" t="s">
        <v>76</v>
      </c>
      <c r="D35" s="3">
        <v>45716.99998842593</v>
      </c>
      <c r="E35" t="s">
        <v>77</v>
      </c>
      <c r="F35" s="4">
        <v>312.51</v>
      </c>
      <c r="G35" s="4">
        <v>43594.593999999997</v>
      </c>
      <c r="H35" s="4">
        <v>43907.103999999999</v>
      </c>
      <c r="I35" s="5">
        <f>21485 / 86400</f>
        <v>0.24866898148148148</v>
      </c>
      <c r="J35" t="s">
        <v>78</v>
      </c>
      <c r="K35" t="s">
        <v>62</v>
      </c>
      <c r="L35" s="5">
        <f>65218 / 86400</f>
        <v>0.75483796296296302</v>
      </c>
      <c r="M35" s="5">
        <f>21178 / 86400</f>
        <v>0.24511574074074075</v>
      </c>
    </row>
    <row r="36" spans="1:13" x14ac:dyDescent="0.25">
      <c r="A36" t="s">
        <v>510</v>
      </c>
      <c r="B36" s="3">
        <v>45716.003229166672</v>
      </c>
      <c r="C36" t="s">
        <v>79</v>
      </c>
      <c r="D36" s="3">
        <v>45716.99998842593</v>
      </c>
      <c r="E36" t="s">
        <v>80</v>
      </c>
      <c r="F36" s="4">
        <v>247.10499999999999</v>
      </c>
      <c r="G36" s="4">
        <v>532.16899999999998</v>
      </c>
      <c r="H36" s="4">
        <v>779.274</v>
      </c>
      <c r="I36" s="5">
        <f>16114 / 86400</f>
        <v>0.18650462962962963</v>
      </c>
      <c r="J36" t="s">
        <v>81</v>
      </c>
      <c r="K36" t="s">
        <v>20</v>
      </c>
      <c r="L36" s="5">
        <f>49751 / 86400</f>
        <v>0.57582175925925927</v>
      </c>
      <c r="M36" s="5">
        <f>36645 / 86400</f>
        <v>0.42413194444444446</v>
      </c>
    </row>
    <row r="37" spans="1:13" x14ac:dyDescent="0.25">
      <c r="A37" t="s">
        <v>511</v>
      </c>
      <c r="B37" s="3">
        <v>45716.189317129625</v>
      </c>
      <c r="C37" t="s">
        <v>79</v>
      </c>
      <c r="D37" s="3">
        <v>45716.99998842593</v>
      </c>
      <c r="E37" t="s">
        <v>82</v>
      </c>
      <c r="F37" s="4">
        <v>269.596</v>
      </c>
      <c r="G37" s="4">
        <v>532009.24100000004</v>
      </c>
      <c r="H37" s="4">
        <v>532278.83700000006</v>
      </c>
      <c r="I37" s="5">
        <f>19548 / 86400</f>
        <v>0.22625000000000001</v>
      </c>
      <c r="J37" t="s">
        <v>83</v>
      </c>
      <c r="K37" t="s">
        <v>20</v>
      </c>
      <c r="L37" s="5">
        <f>55254 / 86400</f>
        <v>0.63951388888888894</v>
      </c>
      <c r="M37" s="5">
        <f>31136 / 86400</f>
        <v>0.3603703703703704</v>
      </c>
    </row>
    <row r="38" spans="1:13" x14ac:dyDescent="0.25">
      <c r="A38" t="s">
        <v>512</v>
      </c>
      <c r="B38" s="3">
        <v>45716.305625000001</v>
      </c>
      <c r="C38" t="s">
        <v>38</v>
      </c>
      <c r="D38" s="3">
        <v>45716.811041666668</v>
      </c>
      <c r="E38" t="s">
        <v>38</v>
      </c>
      <c r="F38" s="4">
        <v>204.285</v>
      </c>
      <c r="G38" s="4">
        <v>570497.82499999995</v>
      </c>
      <c r="H38" s="4">
        <v>570702.11</v>
      </c>
      <c r="I38" s="5">
        <f>12546 / 86400</f>
        <v>0.14520833333333333</v>
      </c>
      <c r="J38" t="s">
        <v>84</v>
      </c>
      <c r="K38" t="s">
        <v>85</v>
      </c>
      <c r="L38" s="5">
        <f>39686 / 86400</f>
        <v>0.45932870370370371</v>
      </c>
      <c r="M38" s="5">
        <f>46708 / 86400</f>
        <v>0.54060185185185183</v>
      </c>
    </row>
    <row r="39" spans="1:13" x14ac:dyDescent="0.25">
      <c r="A39" t="s">
        <v>513</v>
      </c>
      <c r="B39" s="3">
        <v>45716.251018518524</v>
      </c>
      <c r="C39" t="s">
        <v>86</v>
      </c>
      <c r="D39" s="3">
        <v>45716.968344907407</v>
      </c>
      <c r="E39" t="s">
        <v>86</v>
      </c>
      <c r="F39" s="4">
        <v>211.232</v>
      </c>
      <c r="G39" s="4">
        <v>437461.93400000001</v>
      </c>
      <c r="H39" s="4">
        <v>437673.16600000003</v>
      </c>
      <c r="I39" s="5">
        <f>15276 / 86400</f>
        <v>0.17680555555555555</v>
      </c>
      <c r="J39" t="s">
        <v>87</v>
      </c>
      <c r="K39" t="s">
        <v>31</v>
      </c>
      <c r="L39" s="5">
        <f>47893 / 86400</f>
        <v>0.55431712962962965</v>
      </c>
      <c r="M39" s="5">
        <f>38498 / 86400</f>
        <v>0.44557870370370373</v>
      </c>
    </row>
    <row r="40" spans="1:13" x14ac:dyDescent="0.25">
      <c r="A40" t="s">
        <v>514</v>
      </c>
      <c r="B40" s="3">
        <v>45716.216203703705</v>
      </c>
      <c r="C40" t="s">
        <v>88</v>
      </c>
      <c r="D40" s="3">
        <v>45716.862696759257</v>
      </c>
      <c r="E40" t="s">
        <v>50</v>
      </c>
      <c r="F40" s="4">
        <v>174.41200000000001</v>
      </c>
      <c r="G40" s="4">
        <v>518475.95299999998</v>
      </c>
      <c r="H40" s="4">
        <v>518655.67599999998</v>
      </c>
      <c r="I40" s="5">
        <f>16378 / 86400</f>
        <v>0.18956018518518519</v>
      </c>
      <c r="J40" t="s">
        <v>30</v>
      </c>
      <c r="K40" t="s">
        <v>64</v>
      </c>
      <c r="L40" s="5">
        <f>46584 / 86400</f>
        <v>0.53916666666666668</v>
      </c>
      <c r="M40" s="5">
        <f>39811 / 86400</f>
        <v>0.46077546296296296</v>
      </c>
    </row>
    <row r="41" spans="1:13" x14ac:dyDescent="0.25">
      <c r="A41" t="s">
        <v>515</v>
      </c>
      <c r="B41" s="3">
        <v>45716.23101851852</v>
      </c>
      <c r="C41" t="s">
        <v>89</v>
      </c>
      <c r="D41" s="3">
        <v>45716.841400462959</v>
      </c>
      <c r="E41" t="s">
        <v>90</v>
      </c>
      <c r="F41" s="4">
        <v>200.02799999999999</v>
      </c>
      <c r="G41" s="4">
        <v>507704.87599999999</v>
      </c>
      <c r="H41" s="4">
        <v>507904.90399999998</v>
      </c>
      <c r="I41" s="5">
        <f>23211 / 86400</f>
        <v>0.26864583333333331</v>
      </c>
      <c r="J41" t="s">
        <v>91</v>
      </c>
      <c r="K41" t="s">
        <v>72</v>
      </c>
      <c r="L41" s="5">
        <f>52737 / 86400</f>
        <v>0.61038194444444449</v>
      </c>
      <c r="M41" s="5">
        <f>33662 / 86400</f>
        <v>0.38960648148148147</v>
      </c>
    </row>
    <row r="42" spans="1:13" x14ac:dyDescent="0.25">
      <c r="A42" t="s">
        <v>516</v>
      </c>
      <c r="B42" s="3">
        <v>45716.209791666668</v>
      </c>
      <c r="C42" t="s">
        <v>92</v>
      </c>
      <c r="D42" s="3">
        <v>45716.777939814812</v>
      </c>
      <c r="E42" t="s">
        <v>92</v>
      </c>
      <c r="F42" s="4">
        <v>211.87799999999999</v>
      </c>
      <c r="G42" s="4">
        <v>413069.54499999998</v>
      </c>
      <c r="H42" s="4">
        <v>413281.42300000001</v>
      </c>
      <c r="I42" s="5">
        <f>14335 / 86400</f>
        <v>0.16591435185185185</v>
      </c>
      <c r="J42" t="s">
        <v>93</v>
      </c>
      <c r="K42" t="s">
        <v>62</v>
      </c>
      <c r="L42" s="5">
        <f>44649 / 86400</f>
        <v>0.51677083333333329</v>
      </c>
      <c r="M42" s="5">
        <f>41744 / 86400</f>
        <v>0.48314814814814816</v>
      </c>
    </row>
    <row r="43" spans="1:13" x14ac:dyDescent="0.25">
      <c r="A43" t="s">
        <v>517</v>
      </c>
      <c r="B43" s="3">
        <v>45716.148842592593</v>
      </c>
      <c r="C43" t="s">
        <v>26</v>
      </c>
      <c r="D43" s="3">
        <v>45716.801724537036</v>
      </c>
      <c r="E43" t="s">
        <v>26</v>
      </c>
      <c r="F43" s="4">
        <v>207.52</v>
      </c>
      <c r="G43" s="4">
        <v>444162.16899999999</v>
      </c>
      <c r="H43" s="4">
        <v>444369.68900000001</v>
      </c>
      <c r="I43" s="5">
        <f>12235 / 86400</f>
        <v>0.1416087962962963</v>
      </c>
      <c r="J43" t="s">
        <v>75</v>
      </c>
      <c r="K43" t="s">
        <v>62</v>
      </c>
      <c r="L43" s="5">
        <f>42851 / 86400</f>
        <v>0.49596064814814816</v>
      </c>
      <c r="M43" s="5">
        <f>43545 / 86400</f>
        <v>0.50399305555555551</v>
      </c>
    </row>
    <row r="44" spans="1:13" x14ac:dyDescent="0.25">
      <c r="A44" t="s">
        <v>518</v>
      </c>
      <c r="B44" s="3">
        <v>45716.251516203702</v>
      </c>
      <c r="C44" t="s">
        <v>94</v>
      </c>
      <c r="D44" s="3">
        <v>45716.875173611115</v>
      </c>
      <c r="E44" t="s">
        <v>94</v>
      </c>
      <c r="F44" s="4">
        <v>195.66400000000002</v>
      </c>
      <c r="G44" s="4">
        <v>476344.41600000003</v>
      </c>
      <c r="H44" s="4">
        <v>476540.08</v>
      </c>
      <c r="I44" s="5">
        <f>17813 / 86400</f>
        <v>0.20616898148148149</v>
      </c>
      <c r="J44" t="s">
        <v>91</v>
      </c>
      <c r="K44" t="s">
        <v>72</v>
      </c>
      <c r="L44" s="5">
        <f>48986 / 86400</f>
        <v>0.56696759259259255</v>
      </c>
      <c r="M44" s="5">
        <f>37410 / 86400</f>
        <v>0.43298611111111113</v>
      </c>
    </row>
    <row r="45" spans="1:13" x14ac:dyDescent="0.25">
      <c r="A45" t="s">
        <v>519</v>
      </c>
      <c r="B45" s="3">
        <v>45716.007013888884</v>
      </c>
      <c r="C45" t="s">
        <v>89</v>
      </c>
      <c r="D45" s="3">
        <v>45716.99998842593</v>
      </c>
      <c r="E45" t="s">
        <v>95</v>
      </c>
      <c r="F45" s="4">
        <v>160.1</v>
      </c>
      <c r="G45" s="4">
        <v>416792.82699999999</v>
      </c>
      <c r="H45" s="4">
        <v>416952.92700000003</v>
      </c>
      <c r="I45" s="5">
        <f>11049 / 86400</f>
        <v>0.12788194444444445</v>
      </c>
      <c r="J45" t="s">
        <v>47</v>
      </c>
      <c r="K45" t="s">
        <v>20</v>
      </c>
      <c r="L45" s="5">
        <f>32042 / 86400</f>
        <v>0.37085648148148148</v>
      </c>
      <c r="M45" s="5">
        <f>54349 / 86400</f>
        <v>0.62903935185185189</v>
      </c>
    </row>
    <row r="46" spans="1:13" x14ac:dyDescent="0.25">
      <c r="A46" t="s">
        <v>520</v>
      </c>
      <c r="B46" s="3">
        <v>45716</v>
      </c>
      <c r="C46" t="s">
        <v>96</v>
      </c>
      <c r="D46" s="3">
        <v>45716.996944444443</v>
      </c>
      <c r="E46" t="s">
        <v>24</v>
      </c>
      <c r="F46" s="4">
        <v>302.411</v>
      </c>
      <c r="G46" s="4">
        <v>331843.59299999999</v>
      </c>
      <c r="H46" s="4">
        <v>332146.00400000002</v>
      </c>
      <c r="I46" s="5">
        <f>21194 / 86400</f>
        <v>0.24530092592592592</v>
      </c>
      <c r="J46" t="s">
        <v>47</v>
      </c>
      <c r="K46" t="s">
        <v>62</v>
      </c>
      <c r="L46" s="5">
        <f>63924 / 86400</f>
        <v>0.73986111111111108</v>
      </c>
      <c r="M46" s="5">
        <f>22471 / 86400</f>
        <v>0.2600810185185185</v>
      </c>
    </row>
    <row r="47" spans="1:13" x14ac:dyDescent="0.25">
      <c r="A47" t="s">
        <v>521</v>
      </c>
      <c r="B47" s="3">
        <v>45716.394814814819</v>
      </c>
      <c r="C47" t="s">
        <v>26</v>
      </c>
      <c r="D47" s="3">
        <v>45716.433749999997</v>
      </c>
      <c r="E47" t="s">
        <v>26</v>
      </c>
      <c r="F47" s="4">
        <v>7.8360000000000003</v>
      </c>
      <c r="G47" s="4">
        <v>362244.38299999997</v>
      </c>
      <c r="H47" s="4">
        <v>362252.21899999998</v>
      </c>
      <c r="I47" s="5">
        <f>620 / 86400</f>
        <v>7.1759259259259259E-3</v>
      </c>
      <c r="J47" t="s">
        <v>97</v>
      </c>
      <c r="K47" t="s">
        <v>64</v>
      </c>
      <c r="L47" s="5">
        <f>2182 / 86400</f>
        <v>2.525462962962963E-2</v>
      </c>
      <c r="M47" s="5">
        <f>84216 / 86400</f>
        <v>0.97472222222222227</v>
      </c>
    </row>
    <row r="48" spans="1:13" x14ac:dyDescent="0.25">
      <c r="A48" t="s">
        <v>522</v>
      </c>
      <c r="B48" s="3">
        <v>45716.279050925921</v>
      </c>
      <c r="C48" t="s">
        <v>98</v>
      </c>
      <c r="D48" s="3">
        <v>45716.888541666667</v>
      </c>
      <c r="E48" t="s">
        <v>98</v>
      </c>
      <c r="F48" s="4">
        <v>180.41200000000001</v>
      </c>
      <c r="G48" s="4">
        <v>83082.3</v>
      </c>
      <c r="H48" s="4">
        <v>83262.712</v>
      </c>
      <c r="I48" s="5">
        <f>15036 / 86400</f>
        <v>0.17402777777777778</v>
      </c>
      <c r="J48" t="s">
        <v>78</v>
      </c>
      <c r="K48" t="s">
        <v>31</v>
      </c>
      <c r="L48" s="5">
        <f>40316 / 86400</f>
        <v>0.46662037037037035</v>
      </c>
      <c r="M48" s="5">
        <f>46081 / 86400</f>
        <v>0.53334490740740736</v>
      </c>
    </row>
    <row r="49" spans="1:13" x14ac:dyDescent="0.25">
      <c r="A49" t="s">
        <v>523</v>
      </c>
      <c r="B49" s="3">
        <v>45716.205104166671</v>
      </c>
      <c r="C49" t="s">
        <v>46</v>
      </c>
      <c r="D49" s="3">
        <v>45716.99998842593</v>
      </c>
      <c r="E49" t="s">
        <v>21</v>
      </c>
      <c r="F49" s="4">
        <v>217.31200000000001</v>
      </c>
      <c r="G49" s="4">
        <v>472581.05499999999</v>
      </c>
      <c r="H49" s="4">
        <v>472798.36700000003</v>
      </c>
      <c r="I49" s="5">
        <f>21216 / 86400</f>
        <v>0.24555555555555555</v>
      </c>
      <c r="J49" t="s">
        <v>52</v>
      </c>
      <c r="K49" t="s">
        <v>35</v>
      </c>
      <c r="L49" s="5">
        <f>52495 / 86400</f>
        <v>0.60758101851851853</v>
      </c>
      <c r="M49" s="5">
        <f>33897 / 86400</f>
        <v>0.39232638888888888</v>
      </c>
    </row>
    <row r="50" spans="1:13" x14ac:dyDescent="0.25">
      <c r="A50" t="s">
        <v>524</v>
      </c>
      <c r="B50" s="3">
        <v>45716.233935185184</v>
      </c>
      <c r="C50" t="s">
        <v>99</v>
      </c>
      <c r="D50" s="3">
        <v>45716.964212962965</v>
      </c>
      <c r="E50" t="s">
        <v>99</v>
      </c>
      <c r="F50" s="4">
        <v>0</v>
      </c>
      <c r="G50" s="4">
        <v>428213.33600000001</v>
      </c>
      <c r="H50" s="4">
        <v>428213.33600000001</v>
      </c>
      <c r="I50" s="5">
        <f>45760 / 86400</f>
        <v>0.52962962962962967</v>
      </c>
      <c r="J50" t="s">
        <v>22</v>
      </c>
      <c r="K50" t="s">
        <v>22</v>
      </c>
      <c r="L50" s="5">
        <f>45894 / 86400</f>
        <v>0.53118055555555554</v>
      </c>
      <c r="M50" s="5">
        <f>40500 / 86400</f>
        <v>0.46875</v>
      </c>
    </row>
    <row r="51" spans="1:13" x14ac:dyDescent="0.25">
      <c r="A51" t="s">
        <v>525</v>
      </c>
      <c r="B51" s="3">
        <v>45716.250162037039</v>
      </c>
      <c r="C51" t="s">
        <v>26</v>
      </c>
      <c r="D51" s="3">
        <v>45716.918541666666</v>
      </c>
      <c r="E51" t="s">
        <v>26</v>
      </c>
      <c r="F51" s="4">
        <v>158.23599999999999</v>
      </c>
      <c r="G51" s="4">
        <v>578100.24300000002</v>
      </c>
      <c r="H51" s="4">
        <v>578258.47900000005</v>
      </c>
      <c r="I51" s="5">
        <f>25531 / 86400</f>
        <v>0.29549768518518521</v>
      </c>
      <c r="J51" t="s">
        <v>63</v>
      </c>
      <c r="K51" t="s">
        <v>100</v>
      </c>
      <c r="L51" s="5">
        <f>51751 / 86400</f>
        <v>0.59896990740740741</v>
      </c>
      <c r="M51" s="5">
        <f>34643 / 86400</f>
        <v>0.40096064814814814</v>
      </c>
    </row>
    <row r="52" spans="1:13" x14ac:dyDescent="0.25">
      <c r="A52" t="s">
        <v>526</v>
      </c>
      <c r="B52" s="3">
        <v>45716.238310185188</v>
      </c>
      <c r="C52" t="s">
        <v>101</v>
      </c>
      <c r="D52" s="3">
        <v>45716.900509259256</v>
      </c>
      <c r="E52" t="s">
        <v>101</v>
      </c>
      <c r="F52" s="4">
        <v>188.03500000000003</v>
      </c>
      <c r="G52" s="4">
        <v>418798.429</v>
      </c>
      <c r="H52" s="4">
        <v>418986.46399999998</v>
      </c>
      <c r="I52" s="5">
        <f>16066 / 86400</f>
        <v>0.18594907407407407</v>
      </c>
      <c r="J52" t="s">
        <v>87</v>
      </c>
      <c r="K52" t="s">
        <v>35</v>
      </c>
      <c r="L52" s="5">
        <f>43945 / 86400</f>
        <v>0.50862268518518516</v>
      </c>
      <c r="M52" s="5">
        <f>42448 / 86400</f>
        <v>0.49129629629629629</v>
      </c>
    </row>
    <row r="53" spans="1:13" x14ac:dyDescent="0.25">
      <c r="A53" t="s">
        <v>527</v>
      </c>
      <c r="B53" s="3">
        <v>45716.296296296292</v>
      </c>
      <c r="C53" t="s">
        <v>102</v>
      </c>
      <c r="D53" s="3">
        <v>45716.604201388887</v>
      </c>
      <c r="E53" t="s">
        <v>103</v>
      </c>
      <c r="F53" s="4">
        <v>39.876999999999995</v>
      </c>
      <c r="G53" s="4">
        <v>402321.21500000003</v>
      </c>
      <c r="H53" s="4">
        <v>402361.092</v>
      </c>
      <c r="I53" s="5">
        <f>2319 / 86400</f>
        <v>2.6840277777777779E-2</v>
      </c>
      <c r="J53" t="s">
        <v>104</v>
      </c>
      <c r="K53" t="s">
        <v>62</v>
      </c>
      <c r="L53" s="5">
        <f>8211 / 86400</f>
        <v>9.5034722222222229E-2</v>
      </c>
      <c r="M53" s="5">
        <f>78184 / 86400</f>
        <v>0.90490740740740738</v>
      </c>
    </row>
    <row r="54" spans="1:13" x14ac:dyDescent="0.25">
      <c r="A54" t="s">
        <v>528</v>
      </c>
      <c r="B54" s="3">
        <v>45716.197719907403</v>
      </c>
      <c r="C54" t="s">
        <v>26</v>
      </c>
      <c r="D54" s="3">
        <v>45716.78738425926</v>
      </c>
      <c r="E54" t="s">
        <v>26</v>
      </c>
      <c r="F54" s="4">
        <v>166.179</v>
      </c>
      <c r="G54" s="4">
        <v>384391.23100000003</v>
      </c>
      <c r="H54" s="4">
        <v>384557.41</v>
      </c>
      <c r="I54" s="5">
        <f>12771 / 86400</f>
        <v>0.14781250000000001</v>
      </c>
      <c r="J54" t="s">
        <v>91</v>
      </c>
      <c r="K54" t="s">
        <v>31</v>
      </c>
      <c r="L54" s="5">
        <f>37575 / 86400</f>
        <v>0.43489583333333331</v>
      </c>
      <c r="M54" s="5">
        <f>48819 / 86400</f>
        <v>0.56503472222222217</v>
      </c>
    </row>
    <row r="55" spans="1:13" x14ac:dyDescent="0.25">
      <c r="A55" t="s">
        <v>529</v>
      </c>
      <c r="B55" s="3">
        <v>45716.312303240746</v>
      </c>
      <c r="C55" t="s">
        <v>105</v>
      </c>
      <c r="D55" s="3">
        <v>45716.870775462958</v>
      </c>
      <c r="E55" t="s">
        <v>105</v>
      </c>
      <c r="F55" s="4">
        <v>188.53700000000001</v>
      </c>
      <c r="G55" s="4">
        <v>548579.10800000001</v>
      </c>
      <c r="H55" s="4">
        <v>548767.64500000002</v>
      </c>
      <c r="I55" s="5">
        <f>14723 / 86400</f>
        <v>0.17040509259259259</v>
      </c>
      <c r="J55" t="s">
        <v>58</v>
      </c>
      <c r="K55" t="s">
        <v>31</v>
      </c>
      <c r="L55" s="5">
        <f>43517 / 86400</f>
        <v>0.50366898148148154</v>
      </c>
      <c r="M55" s="5">
        <f>42879 / 86400</f>
        <v>0.4962847222222222</v>
      </c>
    </row>
    <row r="56" spans="1:13" x14ac:dyDescent="0.25">
      <c r="A56" t="s">
        <v>530</v>
      </c>
      <c r="B56" s="3">
        <v>45716.004259259258</v>
      </c>
      <c r="C56" t="s">
        <v>106</v>
      </c>
      <c r="D56" s="3">
        <v>45716.99998842593</v>
      </c>
      <c r="E56" t="s">
        <v>96</v>
      </c>
      <c r="F56" s="4">
        <v>348.483</v>
      </c>
      <c r="G56" s="4">
        <v>107707.897</v>
      </c>
      <c r="H56" s="4">
        <v>108056.38</v>
      </c>
      <c r="I56" s="5">
        <f>20762 / 86400</f>
        <v>0.24030092592592592</v>
      </c>
      <c r="J56" t="s">
        <v>107</v>
      </c>
      <c r="K56" t="s">
        <v>108</v>
      </c>
      <c r="L56" s="5">
        <f>62816 / 86400</f>
        <v>0.72703703703703704</v>
      </c>
      <c r="M56" s="5">
        <f>23583 / 86400</f>
        <v>0.27295138888888887</v>
      </c>
    </row>
    <row r="57" spans="1:13" x14ac:dyDescent="0.25">
      <c r="A57" t="s">
        <v>531</v>
      </c>
      <c r="B57" s="3">
        <v>45716.67350694444</v>
      </c>
      <c r="C57" t="s">
        <v>109</v>
      </c>
      <c r="D57" s="3">
        <v>45716.713553240741</v>
      </c>
      <c r="E57" t="s">
        <v>24</v>
      </c>
      <c r="F57" s="4">
        <v>9.3190000000000008</v>
      </c>
      <c r="G57" s="4">
        <v>54580.798000000003</v>
      </c>
      <c r="H57" s="4">
        <v>54590.116999999998</v>
      </c>
      <c r="I57" s="5">
        <f>598 / 86400</f>
        <v>6.9212962962962961E-3</v>
      </c>
      <c r="J57" t="s">
        <v>110</v>
      </c>
      <c r="K57" t="s">
        <v>35</v>
      </c>
      <c r="L57" s="5">
        <f>2311 / 86400</f>
        <v>2.6747685185185187E-2</v>
      </c>
      <c r="M57" s="5">
        <f>84088 / 86400</f>
        <v>0.97324074074074074</v>
      </c>
    </row>
    <row r="58" spans="1:13" x14ac:dyDescent="0.25">
      <c r="A58" t="s">
        <v>532</v>
      </c>
      <c r="B58" s="3">
        <v>45716.207094907411</v>
      </c>
      <c r="C58" t="s">
        <v>111</v>
      </c>
      <c r="D58" s="3">
        <v>45716.806574074071</v>
      </c>
      <c r="E58" t="s">
        <v>112</v>
      </c>
      <c r="F58" s="4">
        <v>172.536</v>
      </c>
      <c r="G58" s="4">
        <v>48113.285000000003</v>
      </c>
      <c r="H58" s="4">
        <v>48285.821000000004</v>
      </c>
      <c r="I58" s="5">
        <f>12496 / 86400</f>
        <v>0.14462962962962964</v>
      </c>
      <c r="J58" t="s">
        <v>47</v>
      </c>
      <c r="K58" t="s">
        <v>62</v>
      </c>
      <c r="L58" s="5">
        <f>35972 / 86400</f>
        <v>0.4163425925925926</v>
      </c>
      <c r="M58" s="5">
        <f>50427 / 86400</f>
        <v>0.58364583333333331</v>
      </c>
    </row>
    <row r="59" spans="1:13" x14ac:dyDescent="0.25">
      <c r="A59" t="s">
        <v>533</v>
      </c>
      <c r="B59" s="3">
        <v>45716.158194444448</v>
      </c>
      <c r="C59" t="s">
        <v>113</v>
      </c>
      <c r="D59" s="3">
        <v>45716.901134259257</v>
      </c>
      <c r="E59" t="s">
        <v>113</v>
      </c>
      <c r="F59" s="4">
        <v>287.666</v>
      </c>
      <c r="G59" s="4">
        <v>81791.759000000005</v>
      </c>
      <c r="H59" s="4">
        <v>82079.425000000003</v>
      </c>
      <c r="I59" s="5">
        <f>18848 / 86400</f>
        <v>0.21814814814814815</v>
      </c>
      <c r="J59" t="s">
        <v>81</v>
      </c>
      <c r="K59" t="s">
        <v>20</v>
      </c>
      <c r="L59" s="5">
        <f>57810 / 86400</f>
        <v>0.66909722222222223</v>
      </c>
      <c r="M59" s="5">
        <f>28589 / 86400</f>
        <v>0.33089120370370373</v>
      </c>
    </row>
    <row r="60" spans="1:13" x14ac:dyDescent="0.25">
      <c r="A60" t="s">
        <v>534</v>
      </c>
      <c r="B60" s="3">
        <v>45716.242129629631</v>
      </c>
      <c r="C60" t="s">
        <v>114</v>
      </c>
      <c r="D60" s="3">
        <v>45716.99998842593</v>
      </c>
      <c r="E60" t="s">
        <v>115</v>
      </c>
      <c r="F60" s="4">
        <v>292.81499999999994</v>
      </c>
      <c r="G60" s="4">
        <v>44331.14</v>
      </c>
      <c r="H60" s="4">
        <v>44623.955000000002</v>
      </c>
      <c r="I60" s="5">
        <f>19677 / 86400</f>
        <v>0.22774305555555555</v>
      </c>
      <c r="J60" t="s">
        <v>61</v>
      </c>
      <c r="K60" t="s">
        <v>20</v>
      </c>
      <c r="L60" s="5">
        <f>58450 / 86400</f>
        <v>0.67650462962962965</v>
      </c>
      <c r="M60" s="5">
        <f>27949 / 86400</f>
        <v>0.32348379629629631</v>
      </c>
    </row>
    <row r="61" spans="1:13" x14ac:dyDescent="0.25">
      <c r="A61" t="s">
        <v>535</v>
      </c>
      <c r="B61" s="3">
        <v>45716.360115740739</v>
      </c>
      <c r="C61" t="s">
        <v>116</v>
      </c>
      <c r="D61" s="3">
        <v>45716.80195601852</v>
      </c>
      <c r="E61" t="s">
        <v>116</v>
      </c>
      <c r="F61" s="4">
        <v>85.346000000000004</v>
      </c>
      <c r="G61" s="4">
        <v>194107.19500000001</v>
      </c>
      <c r="H61" s="4">
        <v>194192.541</v>
      </c>
      <c r="I61" s="5">
        <f>5891 / 86400</f>
        <v>6.8182870370370366E-2</v>
      </c>
      <c r="J61" t="s">
        <v>84</v>
      </c>
      <c r="K61" t="s">
        <v>31</v>
      </c>
      <c r="L61" s="5">
        <f>19227 / 86400</f>
        <v>0.22253472222222223</v>
      </c>
      <c r="M61" s="5">
        <f>67163 / 86400</f>
        <v>0.77734953703703702</v>
      </c>
    </row>
    <row r="62" spans="1:13" x14ac:dyDescent="0.25">
      <c r="A62" t="s">
        <v>536</v>
      </c>
      <c r="B62" s="3">
        <v>45716</v>
      </c>
      <c r="C62" t="s">
        <v>21</v>
      </c>
      <c r="D62" s="3">
        <v>45716.792349537034</v>
      </c>
      <c r="E62" t="s">
        <v>98</v>
      </c>
      <c r="F62" s="4">
        <v>207.72200000005961</v>
      </c>
      <c r="G62" s="4">
        <v>526245.08299999998</v>
      </c>
      <c r="H62" s="4">
        <v>526452.80500000005</v>
      </c>
      <c r="I62" s="5">
        <f>16780 / 86400</f>
        <v>0.19421296296296298</v>
      </c>
      <c r="J62" t="s">
        <v>117</v>
      </c>
      <c r="K62" t="s">
        <v>31</v>
      </c>
      <c r="L62" s="5">
        <f>46655 / 86400</f>
        <v>0.53998842592592589</v>
      </c>
      <c r="M62" s="5">
        <f>39743 / 86400</f>
        <v>0.45998842592592593</v>
      </c>
    </row>
    <row r="63" spans="1:13" x14ac:dyDescent="0.25">
      <c r="A63" t="s">
        <v>537</v>
      </c>
      <c r="B63" s="3">
        <v>45716.137037037042</v>
      </c>
      <c r="C63" t="s">
        <v>118</v>
      </c>
      <c r="D63" s="3">
        <v>45716.747650462959</v>
      </c>
      <c r="E63" t="s">
        <v>118</v>
      </c>
      <c r="F63" s="4">
        <v>208.21</v>
      </c>
      <c r="G63" s="4">
        <v>25721.962</v>
      </c>
      <c r="H63" s="4">
        <v>25930.171999999999</v>
      </c>
      <c r="I63" s="5">
        <f>11734 / 86400</f>
        <v>0.13581018518518517</v>
      </c>
      <c r="J63" t="s">
        <v>63</v>
      </c>
      <c r="K63" t="s">
        <v>85</v>
      </c>
      <c r="L63" s="5">
        <f>39848 / 86400</f>
        <v>0.46120370370370373</v>
      </c>
      <c r="M63" s="5">
        <f>46549 / 86400</f>
        <v>0.5387615740740741</v>
      </c>
    </row>
    <row r="64" spans="1:13" x14ac:dyDescent="0.25">
      <c r="A64" t="s">
        <v>538</v>
      </c>
      <c r="B64" s="3">
        <v>45716.213530092587</v>
      </c>
      <c r="C64" t="s">
        <v>38</v>
      </c>
      <c r="D64" s="3">
        <v>45716.791909722218</v>
      </c>
      <c r="E64" t="s">
        <v>38</v>
      </c>
      <c r="F64" s="4">
        <v>188.42900000000745</v>
      </c>
      <c r="G64" s="4">
        <v>66864.944000000003</v>
      </c>
      <c r="H64" s="4">
        <v>67053.373000000007</v>
      </c>
      <c r="I64" s="5">
        <f>13571 / 86400</f>
        <v>0.15707175925925926</v>
      </c>
      <c r="J64" t="s">
        <v>91</v>
      </c>
      <c r="K64" t="s">
        <v>62</v>
      </c>
      <c r="L64" s="5">
        <f>40070 / 86400</f>
        <v>0.46377314814814813</v>
      </c>
      <c r="M64" s="5">
        <f>46322 / 86400</f>
        <v>0.53613425925925928</v>
      </c>
    </row>
    <row r="65" spans="1:13" x14ac:dyDescent="0.25">
      <c r="A65" t="s">
        <v>539</v>
      </c>
      <c r="B65" s="3">
        <v>45716.736111111109</v>
      </c>
      <c r="C65" t="s">
        <v>119</v>
      </c>
      <c r="D65" s="3">
        <v>45716.896666666667</v>
      </c>
      <c r="E65" t="s">
        <v>90</v>
      </c>
      <c r="F65" s="4">
        <v>54.649000000000001</v>
      </c>
      <c r="G65" s="4">
        <v>11855.905000000001</v>
      </c>
      <c r="H65" s="4">
        <v>11910.554</v>
      </c>
      <c r="I65" s="5">
        <f>5244 / 86400</f>
        <v>6.0694444444444447E-2</v>
      </c>
      <c r="J65" t="s">
        <v>19</v>
      </c>
      <c r="K65" t="s">
        <v>35</v>
      </c>
      <c r="L65" s="5">
        <f>13318 / 86400</f>
        <v>0.15414351851851851</v>
      </c>
      <c r="M65" s="5">
        <f>73081 / 86400</f>
        <v>0.84584490740740736</v>
      </c>
    </row>
    <row r="66" spans="1:13" x14ac:dyDescent="0.25">
      <c r="A66" t="s">
        <v>540</v>
      </c>
      <c r="B66" s="3">
        <v>45716.269155092596</v>
      </c>
      <c r="C66" t="s">
        <v>73</v>
      </c>
      <c r="D66" s="3">
        <v>45716.739710648151</v>
      </c>
      <c r="E66" t="s">
        <v>73</v>
      </c>
      <c r="F66" s="4">
        <v>136.60599999999999</v>
      </c>
      <c r="G66" s="4">
        <v>6499.665</v>
      </c>
      <c r="H66" s="4">
        <v>6636.2709999999997</v>
      </c>
      <c r="I66" s="5">
        <f>16417 / 86400</f>
        <v>0.19001157407407407</v>
      </c>
      <c r="J66" t="s">
        <v>44</v>
      </c>
      <c r="K66" t="s">
        <v>64</v>
      </c>
      <c r="L66" s="5">
        <f>37252 / 86400</f>
        <v>0.43115740740740743</v>
      </c>
      <c r="M66" s="5">
        <f>49143 / 86400</f>
        <v>0.56878472222222221</v>
      </c>
    </row>
    <row r="67" spans="1:13" x14ac:dyDescent="0.25">
      <c r="A67" t="s">
        <v>541</v>
      </c>
      <c r="B67" s="3">
        <v>45716.246793981481</v>
      </c>
      <c r="C67" t="s">
        <v>26</v>
      </c>
      <c r="D67" s="3">
        <v>45716.995995370366</v>
      </c>
      <c r="E67" t="s">
        <v>120</v>
      </c>
      <c r="F67" s="4">
        <v>262.24900000000002</v>
      </c>
      <c r="G67" s="4">
        <v>410639.755</v>
      </c>
      <c r="H67" s="4">
        <v>410902.00400000002</v>
      </c>
      <c r="I67" s="5">
        <f>17164 / 86400</f>
        <v>0.19865740740740739</v>
      </c>
      <c r="J67" t="s">
        <v>54</v>
      </c>
      <c r="K67" t="s">
        <v>20</v>
      </c>
      <c r="L67" s="5">
        <f>52183 / 86400</f>
        <v>0.60396990740740741</v>
      </c>
      <c r="M67" s="5">
        <f>34213 / 86400</f>
        <v>0.39598379629629632</v>
      </c>
    </row>
    <row r="68" spans="1:13" x14ac:dyDescent="0.25">
      <c r="A68" t="s">
        <v>542</v>
      </c>
      <c r="B68" s="3">
        <v>45716</v>
      </c>
      <c r="C68" t="s">
        <v>121</v>
      </c>
      <c r="D68" s="3">
        <v>45716.99998842593</v>
      </c>
      <c r="E68" t="s">
        <v>69</v>
      </c>
      <c r="F68" s="4">
        <v>299.61799999999999</v>
      </c>
      <c r="G68" s="4">
        <v>553596.58299999998</v>
      </c>
      <c r="H68" s="4">
        <v>553896.201</v>
      </c>
      <c r="I68" s="5">
        <f>20198 / 86400</f>
        <v>0.23377314814814815</v>
      </c>
      <c r="J68" t="s">
        <v>75</v>
      </c>
      <c r="K68" t="s">
        <v>62</v>
      </c>
      <c r="L68" s="5">
        <f>62441 / 86400</f>
        <v>0.72269675925925925</v>
      </c>
      <c r="M68" s="5">
        <f>23955 / 86400</f>
        <v>0.27725694444444443</v>
      </c>
    </row>
    <row r="69" spans="1:13" x14ac:dyDescent="0.25">
      <c r="A69" t="s">
        <v>543</v>
      </c>
      <c r="B69" s="3">
        <v>45716.237569444449</v>
      </c>
      <c r="C69" t="s">
        <v>122</v>
      </c>
      <c r="D69" s="3">
        <v>45716.99998842593</v>
      </c>
      <c r="E69" t="s">
        <v>123</v>
      </c>
      <c r="F69" s="4">
        <v>1500.2249999999999</v>
      </c>
      <c r="G69" s="4">
        <v>7205</v>
      </c>
      <c r="H69" s="4">
        <v>8705.2250000000004</v>
      </c>
      <c r="I69" s="5">
        <f>19876 / 86400</f>
        <v>0.2300462962962963</v>
      </c>
      <c r="J69" t="s">
        <v>83</v>
      </c>
      <c r="K69" t="s">
        <v>34</v>
      </c>
      <c r="L69" s="5">
        <f>61494 / 86400</f>
        <v>0.71173611111111112</v>
      </c>
      <c r="M69" s="5">
        <f>24904 / 86400</f>
        <v>0.28824074074074074</v>
      </c>
    </row>
    <row r="70" spans="1:13" x14ac:dyDescent="0.25">
      <c r="A70" t="s">
        <v>544</v>
      </c>
      <c r="B70" s="3">
        <v>45716</v>
      </c>
      <c r="C70" t="s">
        <v>123</v>
      </c>
      <c r="D70" s="3">
        <v>45716.99998842593</v>
      </c>
      <c r="E70" t="s">
        <v>106</v>
      </c>
      <c r="F70" s="4">
        <v>312.09100000000001</v>
      </c>
      <c r="G70" s="4">
        <v>63627.389000000003</v>
      </c>
      <c r="H70" s="4">
        <v>63939.481</v>
      </c>
      <c r="I70" s="5">
        <f>23115 / 86400</f>
        <v>0.26753472222222224</v>
      </c>
      <c r="J70" t="s">
        <v>78</v>
      </c>
      <c r="K70" t="s">
        <v>62</v>
      </c>
      <c r="L70" s="5">
        <f>67602 / 86400</f>
        <v>0.78243055555555552</v>
      </c>
      <c r="M70" s="5">
        <f>18787 / 86400</f>
        <v>0.21744212962962964</v>
      </c>
    </row>
    <row r="71" spans="1:13" x14ac:dyDescent="0.25">
      <c r="A71" t="s">
        <v>545</v>
      </c>
      <c r="B71" s="3">
        <v>45716.004282407404</v>
      </c>
      <c r="C71" t="s">
        <v>105</v>
      </c>
      <c r="D71" s="3">
        <v>45716.99998842593</v>
      </c>
      <c r="E71" t="s">
        <v>124</v>
      </c>
      <c r="F71" s="4">
        <v>349.40300000000002</v>
      </c>
      <c r="G71" s="4">
        <v>67392.494999999995</v>
      </c>
      <c r="H71" s="4">
        <v>67741.898000000001</v>
      </c>
      <c r="I71" s="5">
        <f>21823 / 86400</f>
        <v>0.2525810185185185</v>
      </c>
      <c r="J71" t="s">
        <v>83</v>
      </c>
      <c r="K71" t="s">
        <v>85</v>
      </c>
      <c r="L71" s="5">
        <f>67681 / 86400</f>
        <v>0.78334490740740736</v>
      </c>
      <c r="M71" s="5">
        <f>18717 / 86400</f>
        <v>0.21663194444444445</v>
      </c>
    </row>
    <row r="72" spans="1:13" x14ac:dyDescent="0.25">
      <c r="A72" t="s">
        <v>546</v>
      </c>
      <c r="B72" s="3">
        <v>45716.297997685186</v>
      </c>
      <c r="C72" t="s">
        <v>46</v>
      </c>
      <c r="D72" s="3">
        <v>45716.845312500001</v>
      </c>
      <c r="E72" t="s">
        <v>46</v>
      </c>
      <c r="F72" s="4">
        <v>92.415000000000006</v>
      </c>
      <c r="G72" s="4">
        <v>294521.12300000002</v>
      </c>
      <c r="H72" s="4">
        <v>294613.538</v>
      </c>
      <c r="I72" s="5">
        <f>33619 / 86400</f>
        <v>0.3891087962962963</v>
      </c>
      <c r="J72" t="s">
        <v>49</v>
      </c>
      <c r="K72" t="s">
        <v>57</v>
      </c>
      <c r="L72" s="5">
        <f>47288 / 86400</f>
        <v>0.54731481481481481</v>
      </c>
      <c r="M72" s="5">
        <f>39111 / 86400</f>
        <v>0.4526736111111111</v>
      </c>
    </row>
    <row r="73" spans="1:13" x14ac:dyDescent="0.25">
      <c r="A73" s="6" t="s">
        <v>125</v>
      </c>
      <c r="B73" s="6" t="s">
        <v>126</v>
      </c>
      <c r="C73" s="6" t="s">
        <v>126</v>
      </c>
      <c r="D73" s="6" t="s">
        <v>126</v>
      </c>
      <c r="E73" s="6" t="s">
        <v>126</v>
      </c>
      <c r="F73" s="7">
        <v>12713.820495376893</v>
      </c>
      <c r="G73" s="6" t="s">
        <v>126</v>
      </c>
      <c r="H73" s="6" t="s">
        <v>126</v>
      </c>
      <c r="I73" s="8">
        <f>1004068 / 86400</f>
        <v>11.621157407407408</v>
      </c>
      <c r="J73" s="6" t="s">
        <v>126</v>
      </c>
      <c r="K73" s="6" t="s">
        <v>126</v>
      </c>
      <c r="L73" s="8">
        <f>2718383 / 86400</f>
        <v>31.462766203703705</v>
      </c>
      <c r="M73" s="8">
        <f>2897294 / 86400</f>
        <v>33.533495370370368</v>
      </c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s="9" customFormat="1" x14ac:dyDescent="0.25">
      <c r="A75" s="14" t="s">
        <v>127</v>
      </c>
      <c r="B75" s="14"/>
      <c r="C75" s="14"/>
      <c r="D75" s="14"/>
      <c r="E75" s="14"/>
      <c r="F75" s="14"/>
      <c r="G75" s="14"/>
      <c r="H75" s="14"/>
      <c r="I75" s="14"/>
      <c r="J75" s="14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3" s="10" customFormat="1" ht="20.100000000000001" customHeight="1" x14ac:dyDescent="0.35">
      <c r="A78" s="15" t="s">
        <v>482</v>
      </c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3" ht="30" x14ac:dyDescent="0.25">
      <c r="A80" s="2" t="s">
        <v>6</v>
      </c>
      <c r="B80" s="2" t="s">
        <v>7</v>
      </c>
      <c r="C80" s="2" t="s">
        <v>8</v>
      </c>
      <c r="D80" s="2" t="s">
        <v>9</v>
      </c>
      <c r="E80" s="2" t="s">
        <v>10</v>
      </c>
      <c r="F80" s="2" t="s">
        <v>11</v>
      </c>
      <c r="G80" s="2" t="s">
        <v>12</v>
      </c>
      <c r="H80" s="2" t="s">
        <v>13</v>
      </c>
      <c r="I80" s="2" t="s">
        <v>14</v>
      </c>
      <c r="J80" s="2" t="s">
        <v>15</v>
      </c>
      <c r="K80" s="2" t="s">
        <v>16</v>
      </c>
      <c r="L80" s="2" t="s">
        <v>17</v>
      </c>
    </row>
    <row r="81" spans="1:12" x14ac:dyDescent="0.25">
      <c r="A81" s="3">
        <v>45716.246331018519</v>
      </c>
      <c r="B81" t="s">
        <v>18</v>
      </c>
      <c r="C81" s="3">
        <v>45716.337835648148</v>
      </c>
      <c r="D81" t="s">
        <v>128</v>
      </c>
      <c r="E81" s="4">
        <v>48.241</v>
      </c>
      <c r="F81" s="4">
        <v>517034.70500000002</v>
      </c>
      <c r="G81" s="4">
        <v>517082.946</v>
      </c>
      <c r="H81" s="5">
        <f>2119 / 86400</f>
        <v>2.4525462962962964E-2</v>
      </c>
      <c r="I81" t="s">
        <v>129</v>
      </c>
      <c r="J81" t="s">
        <v>130</v>
      </c>
      <c r="K81" s="5">
        <f>7906 / 86400</f>
        <v>9.150462962962963E-2</v>
      </c>
      <c r="L81" s="5">
        <f>21863 / 86400</f>
        <v>0.25304398148148149</v>
      </c>
    </row>
    <row r="82" spans="1:12" x14ac:dyDescent="0.25">
      <c r="A82" s="3">
        <v>45716.344548611116</v>
      </c>
      <c r="B82" t="s">
        <v>128</v>
      </c>
      <c r="C82" s="3">
        <v>45716.346307870372</v>
      </c>
      <c r="D82" t="s">
        <v>131</v>
      </c>
      <c r="E82" s="4">
        <v>0.39800000000000002</v>
      </c>
      <c r="F82" s="4">
        <v>517082.946</v>
      </c>
      <c r="G82" s="4">
        <v>517083.34399999998</v>
      </c>
      <c r="H82" s="5">
        <f>39 / 86400</f>
        <v>4.5138888888888887E-4</v>
      </c>
      <c r="I82" t="s">
        <v>130</v>
      </c>
      <c r="J82" t="s">
        <v>132</v>
      </c>
      <c r="K82" s="5">
        <f>152 / 86400</f>
        <v>1.7592592592592592E-3</v>
      </c>
      <c r="L82" s="5">
        <f>1219 / 86400</f>
        <v>1.4108796296296296E-2</v>
      </c>
    </row>
    <row r="83" spans="1:12" x14ac:dyDescent="0.25">
      <c r="A83" s="3">
        <v>45716.360416666663</v>
      </c>
      <c r="B83" t="s">
        <v>131</v>
      </c>
      <c r="C83" s="3">
        <v>45716.360451388886</v>
      </c>
      <c r="D83" t="s">
        <v>131</v>
      </c>
      <c r="E83" s="4">
        <v>0</v>
      </c>
      <c r="F83" s="4">
        <v>517083.34399999998</v>
      </c>
      <c r="G83" s="4">
        <v>517083.34399999998</v>
      </c>
      <c r="H83" s="5">
        <f>0 / 86400</f>
        <v>0</v>
      </c>
      <c r="I83" t="s">
        <v>22</v>
      </c>
      <c r="J83" t="s">
        <v>22</v>
      </c>
      <c r="K83" s="5">
        <f>3 / 86400</f>
        <v>3.4722222222222222E-5</v>
      </c>
      <c r="L83" s="5">
        <f>33 / 86400</f>
        <v>3.8194444444444446E-4</v>
      </c>
    </row>
    <row r="84" spans="1:12" x14ac:dyDescent="0.25">
      <c r="A84" s="3">
        <v>45716.360833333332</v>
      </c>
      <c r="B84" t="s">
        <v>131</v>
      </c>
      <c r="C84" s="3">
        <v>45716.570243055554</v>
      </c>
      <c r="D84" t="s">
        <v>133</v>
      </c>
      <c r="E84" s="4">
        <v>72.191999999999993</v>
      </c>
      <c r="F84" s="4">
        <v>517083.34399999998</v>
      </c>
      <c r="G84" s="4">
        <v>517155.53600000002</v>
      </c>
      <c r="H84" s="5">
        <f>6401 / 86400</f>
        <v>7.408564814814815E-2</v>
      </c>
      <c r="I84" t="s">
        <v>84</v>
      </c>
      <c r="J84" t="s">
        <v>72</v>
      </c>
      <c r="K84" s="5">
        <f>18093 / 86400</f>
        <v>0.20940972222222223</v>
      </c>
      <c r="L84" s="5">
        <f>6054 / 86400</f>
        <v>7.0069444444444448E-2</v>
      </c>
    </row>
    <row r="85" spans="1:12" x14ac:dyDescent="0.25">
      <c r="A85" s="3">
        <v>45716.6403125</v>
      </c>
      <c r="B85" t="s">
        <v>133</v>
      </c>
      <c r="C85" s="3">
        <v>45716.856192129635</v>
      </c>
      <c r="D85" t="s">
        <v>134</v>
      </c>
      <c r="E85" s="4">
        <v>96.171000000000006</v>
      </c>
      <c r="F85" s="4">
        <v>517155.53600000002</v>
      </c>
      <c r="G85" s="4">
        <v>517251.70699999999</v>
      </c>
      <c r="H85" s="5">
        <f>5339 / 86400</f>
        <v>6.1793981481481484E-2</v>
      </c>
      <c r="I85" t="s">
        <v>19</v>
      </c>
      <c r="J85" t="s">
        <v>85</v>
      </c>
      <c r="K85" s="5">
        <f>18652 / 86400</f>
        <v>0.21587962962962962</v>
      </c>
      <c r="L85" s="5">
        <f>968 / 86400</f>
        <v>1.1203703703703704E-2</v>
      </c>
    </row>
    <row r="86" spans="1:12" x14ac:dyDescent="0.25">
      <c r="A86" s="3">
        <v>45716.867395833338</v>
      </c>
      <c r="B86" t="s">
        <v>134</v>
      </c>
      <c r="C86" s="3">
        <v>45716.868136574078</v>
      </c>
      <c r="D86" t="s">
        <v>135</v>
      </c>
      <c r="E86" s="4">
        <v>0.13</v>
      </c>
      <c r="F86" s="4">
        <v>517251.70699999999</v>
      </c>
      <c r="G86" s="4">
        <v>517251.837</v>
      </c>
      <c r="H86" s="5">
        <f>0 / 86400</f>
        <v>0</v>
      </c>
      <c r="I86" t="s">
        <v>100</v>
      </c>
      <c r="J86" t="s">
        <v>57</v>
      </c>
      <c r="K86" s="5">
        <f>64 / 86400</f>
        <v>7.407407407407407E-4</v>
      </c>
      <c r="L86" s="5">
        <f>440 / 86400</f>
        <v>5.092592592592593E-3</v>
      </c>
    </row>
    <row r="87" spans="1:12" x14ac:dyDescent="0.25">
      <c r="A87" s="3">
        <v>45716.873229166667</v>
      </c>
      <c r="B87" t="s">
        <v>135</v>
      </c>
      <c r="C87" s="3">
        <v>45716.87400462963</v>
      </c>
      <c r="D87" t="s">
        <v>136</v>
      </c>
      <c r="E87" s="4">
        <v>0.222</v>
      </c>
      <c r="F87" s="4">
        <v>517251.837</v>
      </c>
      <c r="G87" s="4">
        <v>517252.05900000001</v>
      </c>
      <c r="H87" s="5">
        <f>0 / 86400</f>
        <v>0</v>
      </c>
      <c r="I87" t="s">
        <v>108</v>
      </c>
      <c r="J87" t="s">
        <v>28</v>
      </c>
      <c r="K87" s="5">
        <f>67 / 86400</f>
        <v>7.7546296296296293E-4</v>
      </c>
      <c r="L87" s="5">
        <f>361 / 86400</f>
        <v>4.178240740740741E-3</v>
      </c>
    </row>
    <row r="88" spans="1:12" x14ac:dyDescent="0.25">
      <c r="A88" s="3">
        <v>45716.878182870365</v>
      </c>
      <c r="B88" t="s">
        <v>136</v>
      </c>
      <c r="C88" s="3">
        <v>45716.87835648148</v>
      </c>
      <c r="D88" t="s">
        <v>134</v>
      </c>
      <c r="E88" s="4">
        <v>1.2999999999999999E-2</v>
      </c>
      <c r="F88" s="4">
        <v>517252.05900000001</v>
      </c>
      <c r="G88" s="4">
        <v>517252.07199999999</v>
      </c>
      <c r="H88" s="5">
        <f>0 / 86400</f>
        <v>0</v>
      </c>
      <c r="I88" t="s">
        <v>137</v>
      </c>
      <c r="J88" t="s">
        <v>33</v>
      </c>
      <c r="K88" s="5">
        <f>14 / 86400</f>
        <v>1.6203703703703703E-4</v>
      </c>
      <c r="L88" s="5">
        <f>141 / 86400</f>
        <v>1.6319444444444445E-3</v>
      </c>
    </row>
    <row r="89" spans="1:12" x14ac:dyDescent="0.25">
      <c r="A89" s="3">
        <v>45716.879988425921</v>
      </c>
      <c r="B89" t="s">
        <v>134</v>
      </c>
      <c r="C89" s="3">
        <v>45716.93549768519</v>
      </c>
      <c r="D89" t="s">
        <v>138</v>
      </c>
      <c r="E89" s="4">
        <v>36.530999999999999</v>
      </c>
      <c r="F89" s="4">
        <v>517252.07199999999</v>
      </c>
      <c r="G89" s="4">
        <v>517288.603</v>
      </c>
      <c r="H89" s="5">
        <f>760 / 86400</f>
        <v>8.7962962962962968E-3</v>
      </c>
      <c r="I89" t="s">
        <v>139</v>
      </c>
      <c r="J89" t="s">
        <v>140</v>
      </c>
      <c r="K89" s="5">
        <f>4796 / 86400</f>
        <v>5.5509259259259258E-2</v>
      </c>
      <c r="L89" s="5">
        <f>316 / 86400</f>
        <v>3.6574074074074074E-3</v>
      </c>
    </row>
    <row r="90" spans="1:12" x14ac:dyDescent="0.25">
      <c r="A90" s="3">
        <v>45716.939155092594</v>
      </c>
      <c r="B90" t="s">
        <v>141</v>
      </c>
      <c r="C90" s="3">
        <v>45716.943113425921</v>
      </c>
      <c r="D90" t="s">
        <v>18</v>
      </c>
      <c r="E90" s="4">
        <v>0.48899999999999999</v>
      </c>
      <c r="F90" s="4">
        <v>517288.603</v>
      </c>
      <c r="G90" s="4">
        <v>517289.092</v>
      </c>
      <c r="H90" s="5">
        <f>200 / 86400</f>
        <v>2.3148148148148147E-3</v>
      </c>
      <c r="I90" t="s">
        <v>142</v>
      </c>
      <c r="J90" t="s">
        <v>25</v>
      </c>
      <c r="K90" s="5">
        <f>342 / 86400</f>
        <v>3.9583333333333337E-3</v>
      </c>
      <c r="L90" s="5">
        <f>4914 / 86400</f>
        <v>5.6875000000000002E-2</v>
      </c>
    </row>
    <row r="91" spans="1:1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s="10" customFormat="1" ht="20.100000000000001" customHeight="1" x14ac:dyDescent="0.35">
      <c r="A93" s="15" t="s">
        <v>483</v>
      </c>
      <c r="B93" s="15"/>
      <c r="C93" s="15"/>
      <c r="D93" s="15"/>
      <c r="E93" s="15"/>
      <c r="F93" s="15"/>
      <c r="G93" s="15"/>
      <c r="H93" s="15"/>
      <c r="I93" s="15"/>
      <c r="J93" s="15"/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ht="30" x14ac:dyDescent="0.25">
      <c r="A95" s="2" t="s">
        <v>6</v>
      </c>
      <c r="B95" s="2" t="s">
        <v>7</v>
      </c>
      <c r="C95" s="2" t="s">
        <v>8</v>
      </c>
      <c r="D95" s="2" t="s">
        <v>9</v>
      </c>
      <c r="E95" s="2" t="s">
        <v>10</v>
      </c>
      <c r="F95" s="2" t="s">
        <v>11</v>
      </c>
      <c r="G95" s="2" t="s">
        <v>12</v>
      </c>
      <c r="H95" s="2" t="s">
        <v>13</v>
      </c>
      <c r="I95" s="2" t="s">
        <v>14</v>
      </c>
      <c r="J95" s="2" t="s">
        <v>15</v>
      </c>
      <c r="K95" s="2" t="s">
        <v>16</v>
      </c>
      <c r="L95" s="2" t="s">
        <v>17</v>
      </c>
    </row>
    <row r="96" spans="1:12" x14ac:dyDescent="0.25">
      <c r="A96" s="3">
        <v>45716.087731481486</v>
      </c>
      <c r="B96" t="s">
        <v>21</v>
      </c>
      <c r="C96" s="3">
        <v>45716.273310185185</v>
      </c>
      <c r="D96" t="s">
        <v>21</v>
      </c>
      <c r="E96" s="4">
        <v>0</v>
      </c>
      <c r="F96" s="4">
        <v>20850.677</v>
      </c>
      <c r="G96" s="4">
        <v>20850.677</v>
      </c>
      <c r="H96" s="5">
        <f>16019 / 86400</f>
        <v>0.18540509259259258</v>
      </c>
      <c r="I96" t="s">
        <v>22</v>
      </c>
      <c r="J96" t="s">
        <v>22</v>
      </c>
      <c r="K96" s="5">
        <f>16034 / 86400</f>
        <v>0.18557870370370369</v>
      </c>
      <c r="L96" s="5">
        <f>8600 / 86400</f>
        <v>9.9537037037037035E-2</v>
      </c>
    </row>
    <row r="97" spans="1:12" x14ac:dyDescent="0.25">
      <c r="A97" s="3">
        <v>45716.285115740742</v>
      </c>
      <c r="B97" t="s">
        <v>21</v>
      </c>
      <c r="C97" s="3">
        <v>45716.578368055554</v>
      </c>
      <c r="D97" t="s">
        <v>21</v>
      </c>
      <c r="E97" s="4">
        <v>0</v>
      </c>
      <c r="F97" s="4">
        <v>20850.677</v>
      </c>
      <c r="G97" s="4">
        <v>20850.677</v>
      </c>
      <c r="H97" s="5">
        <f>25329 / 86400</f>
        <v>0.2931597222222222</v>
      </c>
      <c r="I97" t="s">
        <v>22</v>
      </c>
      <c r="J97" t="s">
        <v>22</v>
      </c>
      <c r="K97" s="5">
        <f>25337 / 86400</f>
        <v>0.29325231481481484</v>
      </c>
      <c r="L97" s="5">
        <f>165 / 86400</f>
        <v>1.9097222222222222E-3</v>
      </c>
    </row>
    <row r="98" spans="1:12" x14ac:dyDescent="0.25">
      <c r="A98" s="3">
        <v>45716.580277777779</v>
      </c>
      <c r="B98" t="s">
        <v>21</v>
      </c>
      <c r="C98" s="3">
        <v>45716.581087962964</v>
      </c>
      <c r="D98" t="s">
        <v>21</v>
      </c>
      <c r="E98" s="4">
        <v>0</v>
      </c>
      <c r="F98" s="4">
        <v>20850.677</v>
      </c>
      <c r="G98" s="4">
        <v>20850.677</v>
      </c>
      <c r="H98" s="5">
        <f>59 / 86400</f>
        <v>6.8287037037037036E-4</v>
      </c>
      <c r="I98" t="s">
        <v>22</v>
      </c>
      <c r="J98" t="s">
        <v>22</v>
      </c>
      <c r="K98" s="5">
        <f>70 / 86400</f>
        <v>8.1018518518518516E-4</v>
      </c>
      <c r="L98" s="5">
        <f>398 / 86400</f>
        <v>4.6064814814814814E-3</v>
      </c>
    </row>
    <row r="99" spans="1:12" x14ac:dyDescent="0.25">
      <c r="A99" s="3">
        <v>45716.585694444446</v>
      </c>
      <c r="B99" t="s">
        <v>21</v>
      </c>
      <c r="C99" s="3">
        <v>45716.589837962965</v>
      </c>
      <c r="D99" t="s">
        <v>21</v>
      </c>
      <c r="E99" s="4">
        <v>0</v>
      </c>
      <c r="F99" s="4">
        <v>20850.677</v>
      </c>
      <c r="G99" s="4">
        <v>20850.677</v>
      </c>
      <c r="H99" s="5">
        <f>339 / 86400</f>
        <v>3.9236111111111112E-3</v>
      </c>
      <c r="I99" t="s">
        <v>22</v>
      </c>
      <c r="J99" t="s">
        <v>22</v>
      </c>
      <c r="K99" s="5">
        <f>357 / 86400</f>
        <v>4.1319444444444442E-3</v>
      </c>
      <c r="L99" s="5">
        <f>5095 / 86400</f>
        <v>5.8969907407407408E-2</v>
      </c>
    </row>
    <row r="100" spans="1:12" x14ac:dyDescent="0.25">
      <c r="A100" s="3">
        <v>45716.64880787037</v>
      </c>
      <c r="B100" t="s">
        <v>21</v>
      </c>
      <c r="C100" s="3">
        <v>45716.652060185181</v>
      </c>
      <c r="D100" t="s">
        <v>21</v>
      </c>
      <c r="E100" s="4">
        <v>0</v>
      </c>
      <c r="F100" s="4">
        <v>20850.677</v>
      </c>
      <c r="G100" s="4">
        <v>20850.677</v>
      </c>
      <c r="H100" s="5">
        <f>279 / 86400</f>
        <v>3.2291666666666666E-3</v>
      </c>
      <c r="I100" t="s">
        <v>22</v>
      </c>
      <c r="J100" t="s">
        <v>22</v>
      </c>
      <c r="K100" s="5">
        <f>281 / 86400</f>
        <v>3.2523148148148147E-3</v>
      </c>
      <c r="L100" s="5">
        <f>1382 / 86400</f>
        <v>1.5995370370370372E-2</v>
      </c>
    </row>
    <row r="101" spans="1:12" x14ac:dyDescent="0.25">
      <c r="A101" s="3">
        <v>45716.66805555555</v>
      </c>
      <c r="B101" t="s">
        <v>21</v>
      </c>
      <c r="C101" s="3">
        <v>45716.685902777783</v>
      </c>
      <c r="D101" t="s">
        <v>21</v>
      </c>
      <c r="E101" s="4">
        <v>0</v>
      </c>
      <c r="F101" s="4">
        <v>20850.677</v>
      </c>
      <c r="G101" s="4">
        <v>20850.677</v>
      </c>
      <c r="H101" s="5">
        <f>1540 / 86400</f>
        <v>1.7824074074074076E-2</v>
      </c>
      <c r="I101" t="s">
        <v>22</v>
      </c>
      <c r="J101" t="s">
        <v>22</v>
      </c>
      <c r="K101" s="5">
        <f>1542 / 86400</f>
        <v>1.7847222222222223E-2</v>
      </c>
      <c r="L101" s="5">
        <f>141 / 86400</f>
        <v>1.6319444444444445E-3</v>
      </c>
    </row>
    <row r="102" spans="1:12" x14ac:dyDescent="0.25">
      <c r="A102" s="3">
        <v>45716.687534722223</v>
      </c>
      <c r="B102" t="s">
        <v>21</v>
      </c>
      <c r="C102" s="3">
        <v>45716.688935185186</v>
      </c>
      <c r="D102" t="s">
        <v>21</v>
      </c>
      <c r="E102" s="4">
        <v>0</v>
      </c>
      <c r="F102" s="4">
        <v>20850.677</v>
      </c>
      <c r="G102" s="4">
        <v>20850.677</v>
      </c>
      <c r="H102" s="5">
        <f>119 / 86400</f>
        <v>1.3773148148148147E-3</v>
      </c>
      <c r="I102" t="s">
        <v>22</v>
      </c>
      <c r="J102" t="s">
        <v>22</v>
      </c>
      <c r="K102" s="5">
        <f>121 / 86400</f>
        <v>1.4004629629629629E-3</v>
      </c>
      <c r="L102" s="5">
        <f>4172 / 86400</f>
        <v>4.8287037037037038E-2</v>
      </c>
    </row>
    <row r="103" spans="1:12" x14ac:dyDescent="0.25">
      <c r="A103" s="3">
        <v>45716.737222222218</v>
      </c>
      <c r="B103" t="s">
        <v>21</v>
      </c>
      <c r="C103" s="3">
        <v>45716.897303240738</v>
      </c>
      <c r="D103" t="s">
        <v>21</v>
      </c>
      <c r="E103" s="4">
        <v>0</v>
      </c>
      <c r="F103" s="4">
        <v>20850.677</v>
      </c>
      <c r="G103" s="4">
        <v>20850.677</v>
      </c>
      <c r="H103" s="5">
        <f>13819 / 86400</f>
        <v>0.15994212962962964</v>
      </c>
      <c r="I103" t="s">
        <v>22</v>
      </c>
      <c r="J103" t="s">
        <v>22</v>
      </c>
      <c r="K103" s="5">
        <f>13830 / 86400</f>
        <v>0.16006944444444443</v>
      </c>
      <c r="L103" s="5">
        <f>180 / 86400</f>
        <v>2.0833333333333333E-3</v>
      </c>
    </row>
    <row r="104" spans="1:12" x14ac:dyDescent="0.25">
      <c r="A104" s="3">
        <v>45716.899386574078</v>
      </c>
      <c r="B104" t="s">
        <v>21</v>
      </c>
      <c r="C104" s="3">
        <v>45716.901342592595</v>
      </c>
      <c r="D104" t="s">
        <v>21</v>
      </c>
      <c r="E104" s="4">
        <v>0</v>
      </c>
      <c r="F104" s="4">
        <v>20850.677</v>
      </c>
      <c r="G104" s="4">
        <v>20850.677</v>
      </c>
      <c r="H104" s="5">
        <f>159 / 86400</f>
        <v>1.8402777777777777E-3</v>
      </c>
      <c r="I104" t="s">
        <v>22</v>
      </c>
      <c r="J104" t="s">
        <v>22</v>
      </c>
      <c r="K104" s="5">
        <f>168 / 86400</f>
        <v>1.9444444444444444E-3</v>
      </c>
      <c r="L104" s="5">
        <f>8523 / 86400</f>
        <v>9.8645833333333335E-2</v>
      </c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2" s="10" customFormat="1" ht="20.100000000000001" customHeight="1" x14ac:dyDescent="0.35">
      <c r="A107" s="15" t="s">
        <v>484</v>
      </c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2" ht="30" x14ac:dyDescent="0.25">
      <c r="A109" s="2" t="s">
        <v>6</v>
      </c>
      <c r="B109" s="2" t="s">
        <v>7</v>
      </c>
      <c r="C109" s="2" t="s">
        <v>8</v>
      </c>
      <c r="D109" s="2" t="s">
        <v>9</v>
      </c>
      <c r="E109" s="2" t="s">
        <v>10</v>
      </c>
      <c r="F109" s="2" t="s">
        <v>11</v>
      </c>
      <c r="G109" s="2" t="s">
        <v>12</v>
      </c>
      <c r="H109" s="2" t="s">
        <v>13</v>
      </c>
      <c r="I109" s="2" t="s">
        <v>14</v>
      </c>
      <c r="J109" s="2" t="s">
        <v>15</v>
      </c>
      <c r="K109" s="2" t="s">
        <v>16</v>
      </c>
      <c r="L109" s="2" t="s">
        <v>17</v>
      </c>
    </row>
    <row r="110" spans="1:12" x14ac:dyDescent="0.25">
      <c r="A110" s="3">
        <v>45716.811828703707</v>
      </c>
      <c r="B110" t="s">
        <v>23</v>
      </c>
      <c r="C110" s="3">
        <v>45716.8128125</v>
      </c>
      <c r="D110" t="s">
        <v>23</v>
      </c>
      <c r="E110" s="4">
        <v>2.4E-2</v>
      </c>
      <c r="F110" s="4">
        <v>330937.462</v>
      </c>
      <c r="G110" s="4">
        <v>330937.48599999998</v>
      </c>
      <c r="H110" s="5">
        <f>60 / 86400</f>
        <v>6.9444444444444447E-4</v>
      </c>
      <c r="I110" t="s">
        <v>25</v>
      </c>
      <c r="J110" t="s">
        <v>59</v>
      </c>
      <c r="K110" s="5">
        <f>85 / 86400</f>
        <v>9.837962962962962E-4</v>
      </c>
      <c r="L110" s="5">
        <f>70149 / 86400</f>
        <v>0.81190972222222224</v>
      </c>
    </row>
    <row r="111" spans="1:12" x14ac:dyDescent="0.25">
      <c r="A111" s="3">
        <v>45716.812893518523</v>
      </c>
      <c r="B111" t="s">
        <v>23</v>
      </c>
      <c r="C111" s="3">
        <v>45716.813298611116</v>
      </c>
      <c r="D111" t="s">
        <v>23</v>
      </c>
      <c r="E111" s="4">
        <v>0</v>
      </c>
      <c r="F111" s="4">
        <v>330937.48599999998</v>
      </c>
      <c r="G111" s="4">
        <v>330937.48599999998</v>
      </c>
      <c r="H111" s="5">
        <f>27 / 86400</f>
        <v>3.1250000000000001E-4</v>
      </c>
      <c r="I111" t="s">
        <v>22</v>
      </c>
      <c r="J111" t="s">
        <v>22</v>
      </c>
      <c r="K111" s="5">
        <f>35 / 86400</f>
        <v>4.0509259259259258E-4</v>
      </c>
      <c r="L111" s="5">
        <f>301 / 86400</f>
        <v>3.4837962962962965E-3</v>
      </c>
    </row>
    <row r="112" spans="1:12" x14ac:dyDescent="0.25">
      <c r="A112" s="3">
        <v>45716.816782407404</v>
      </c>
      <c r="B112" t="s">
        <v>24</v>
      </c>
      <c r="C112" s="3">
        <v>45716.818275462967</v>
      </c>
      <c r="D112" t="s">
        <v>24</v>
      </c>
      <c r="E112" s="4">
        <v>8.9999999999999993E-3</v>
      </c>
      <c r="F112" s="4">
        <v>330937.48599999998</v>
      </c>
      <c r="G112" s="4">
        <v>330937.495</v>
      </c>
      <c r="H112" s="5">
        <f>79 / 86400</f>
        <v>9.1435185185185185E-4</v>
      </c>
      <c r="I112" t="s">
        <v>59</v>
      </c>
      <c r="J112" t="s">
        <v>22</v>
      </c>
      <c r="K112" s="5">
        <f>129 / 86400</f>
        <v>1.4930555555555556E-3</v>
      </c>
      <c r="L112" s="5">
        <f>15700 / 86400</f>
        <v>0.18171296296296297</v>
      </c>
    </row>
    <row r="113" spans="1:1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2" s="10" customFormat="1" ht="20.100000000000001" customHeight="1" x14ac:dyDescent="0.35">
      <c r="A115" s="15" t="s">
        <v>485</v>
      </c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2" ht="30" x14ac:dyDescent="0.25">
      <c r="A117" s="2" t="s">
        <v>6</v>
      </c>
      <c r="B117" s="2" t="s">
        <v>7</v>
      </c>
      <c r="C117" s="2" t="s">
        <v>8</v>
      </c>
      <c r="D117" s="2" t="s">
        <v>9</v>
      </c>
      <c r="E117" s="2" t="s">
        <v>10</v>
      </c>
      <c r="F117" s="2" t="s">
        <v>11</v>
      </c>
      <c r="G117" s="2" t="s">
        <v>12</v>
      </c>
      <c r="H117" s="2" t="s">
        <v>13</v>
      </c>
      <c r="I117" s="2" t="s">
        <v>14</v>
      </c>
      <c r="J117" s="2" t="s">
        <v>15</v>
      </c>
      <c r="K117" s="2" t="s">
        <v>16</v>
      </c>
      <c r="L117" s="2" t="s">
        <v>17</v>
      </c>
    </row>
    <row r="118" spans="1:12" x14ac:dyDescent="0.25">
      <c r="A118" s="3">
        <v>45716.290347222224</v>
      </c>
      <c r="B118" t="s">
        <v>26</v>
      </c>
      <c r="C118" s="3">
        <v>45716.353749999995</v>
      </c>
      <c r="D118" t="s">
        <v>134</v>
      </c>
      <c r="E118" s="4">
        <v>28.114000000000001</v>
      </c>
      <c r="F118" s="4">
        <v>22514.322</v>
      </c>
      <c r="G118" s="4">
        <v>22542.436000000002</v>
      </c>
      <c r="H118" s="5">
        <f>1498 / 86400</f>
        <v>1.7337962962962961E-2</v>
      </c>
      <c r="I118" t="s">
        <v>143</v>
      </c>
      <c r="J118" t="s">
        <v>20</v>
      </c>
      <c r="K118" s="5">
        <f>5478 / 86400</f>
        <v>6.340277777777778E-2</v>
      </c>
      <c r="L118" s="5">
        <f>26209 / 86400</f>
        <v>0.30334490740740738</v>
      </c>
    </row>
    <row r="119" spans="1:12" x14ac:dyDescent="0.25">
      <c r="A119" s="3">
        <v>45716.366747685184</v>
      </c>
      <c r="B119" t="s">
        <v>88</v>
      </c>
      <c r="C119" s="3">
        <v>45716.369652777779</v>
      </c>
      <c r="D119" t="s">
        <v>144</v>
      </c>
      <c r="E119" s="4">
        <v>0.59799999999999998</v>
      </c>
      <c r="F119" s="4">
        <v>22542.436000000002</v>
      </c>
      <c r="G119" s="4">
        <v>22543.034</v>
      </c>
      <c r="H119" s="5">
        <f>99 / 86400</f>
        <v>1.1458333333333333E-3</v>
      </c>
      <c r="I119" t="s">
        <v>145</v>
      </c>
      <c r="J119" t="s">
        <v>132</v>
      </c>
      <c r="K119" s="5">
        <f>250 / 86400</f>
        <v>2.8935185185185184E-3</v>
      </c>
      <c r="L119" s="5">
        <f>216 / 86400</f>
        <v>2.5000000000000001E-3</v>
      </c>
    </row>
    <row r="120" spans="1:12" x14ac:dyDescent="0.25">
      <c r="A120" s="3">
        <v>45716.372152777782</v>
      </c>
      <c r="B120" t="s">
        <v>144</v>
      </c>
      <c r="C120" s="3">
        <v>45716.372361111113</v>
      </c>
      <c r="D120" t="s">
        <v>146</v>
      </c>
      <c r="E120" s="4">
        <v>2.1000000000000001E-2</v>
      </c>
      <c r="F120" s="4">
        <v>22543.034</v>
      </c>
      <c r="G120" s="4">
        <v>22543.055</v>
      </c>
      <c r="H120" s="5">
        <f>0 / 86400</f>
        <v>0</v>
      </c>
      <c r="I120" t="s">
        <v>22</v>
      </c>
      <c r="J120" t="s">
        <v>147</v>
      </c>
      <c r="K120" s="5">
        <f>17 / 86400</f>
        <v>1.9675925925925926E-4</v>
      </c>
      <c r="L120" s="5">
        <f>364 / 86400</f>
        <v>4.2129629629629626E-3</v>
      </c>
    </row>
    <row r="121" spans="1:12" x14ac:dyDescent="0.25">
      <c r="A121" s="3">
        <v>45716.376574074078</v>
      </c>
      <c r="B121" t="s">
        <v>146</v>
      </c>
      <c r="C121" s="3">
        <v>45716.434432870374</v>
      </c>
      <c r="D121" t="s">
        <v>148</v>
      </c>
      <c r="E121" s="4">
        <v>25.337</v>
      </c>
      <c r="F121" s="4">
        <v>22543.055</v>
      </c>
      <c r="G121" s="4">
        <v>22568.392</v>
      </c>
      <c r="H121" s="5">
        <f>1579 / 86400</f>
        <v>1.8275462962962962E-2</v>
      </c>
      <c r="I121" t="s">
        <v>27</v>
      </c>
      <c r="J121" t="s">
        <v>20</v>
      </c>
      <c r="K121" s="5">
        <f>4998 / 86400</f>
        <v>5.7847222222222223E-2</v>
      </c>
      <c r="L121" s="5">
        <f>37 / 86400</f>
        <v>4.2824074074074075E-4</v>
      </c>
    </row>
    <row r="122" spans="1:12" x14ac:dyDescent="0.25">
      <c r="A122" s="3">
        <v>45716.434861111113</v>
      </c>
      <c r="B122" t="s">
        <v>148</v>
      </c>
      <c r="C122" s="3">
        <v>45716.436747685184</v>
      </c>
      <c r="D122" t="s">
        <v>26</v>
      </c>
      <c r="E122" s="4">
        <v>0.72</v>
      </c>
      <c r="F122" s="4">
        <v>22568.392</v>
      </c>
      <c r="G122" s="4">
        <v>22569.112000000001</v>
      </c>
      <c r="H122" s="5">
        <f>39 / 86400</f>
        <v>4.5138888888888887E-4</v>
      </c>
      <c r="I122" t="s">
        <v>149</v>
      </c>
      <c r="J122" t="s">
        <v>31</v>
      </c>
      <c r="K122" s="5">
        <f>163 / 86400</f>
        <v>1.8865740740740742E-3</v>
      </c>
      <c r="L122" s="5">
        <f>1904 / 86400</f>
        <v>2.2037037037037036E-2</v>
      </c>
    </row>
    <row r="123" spans="1:12" x14ac:dyDescent="0.25">
      <c r="A123" s="3">
        <v>45716.458784722221</v>
      </c>
      <c r="B123" t="s">
        <v>26</v>
      </c>
      <c r="C123" s="3">
        <v>45716.463229166664</v>
      </c>
      <c r="D123" t="s">
        <v>26</v>
      </c>
      <c r="E123" s="4">
        <v>1.1259999999999999</v>
      </c>
      <c r="F123" s="4">
        <v>22569.112000000001</v>
      </c>
      <c r="G123" s="4">
        <v>22570.238000000001</v>
      </c>
      <c r="H123" s="5">
        <f>60 / 86400</f>
        <v>6.9444444444444447E-4</v>
      </c>
      <c r="I123" t="s">
        <v>20</v>
      </c>
      <c r="J123" t="s">
        <v>100</v>
      </c>
      <c r="K123" s="5">
        <f>383 / 86400</f>
        <v>4.43287037037037E-3</v>
      </c>
      <c r="L123" s="5">
        <f>11689 / 86400</f>
        <v>0.13528935185185184</v>
      </c>
    </row>
    <row r="124" spans="1:12" x14ac:dyDescent="0.25">
      <c r="A124" s="3">
        <v>45716.59851851852</v>
      </c>
      <c r="B124" t="s">
        <v>26</v>
      </c>
      <c r="C124" s="3">
        <v>45716.765138888892</v>
      </c>
      <c r="D124" t="s">
        <v>150</v>
      </c>
      <c r="E124" s="4">
        <v>37.241</v>
      </c>
      <c r="F124" s="4">
        <v>22570.238000000001</v>
      </c>
      <c r="G124" s="4">
        <v>22607.478999999999</v>
      </c>
      <c r="H124" s="5">
        <f>7859 / 86400</f>
        <v>9.0960648148148152E-2</v>
      </c>
      <c r="I124" t="s">
        <v>66</v>
      </c>
      <c r="J124" t="s">
        <v>132</v>
      </c>
      <c r="K124" s="5">
        <f>14395 / 86400</f>
        <v>0.1666087962962963</v>
      </c>
      <c r="L124" s="5">
        <f>502 / 86400</f>
        <v>5.8101851851851856E-3</v>
      </c>
    </row>
    <row r="125" spans="1:12" x14ac:dyDescent="0.25">
      <c r="A125" s="3">
        <v>45716.770949074074</v>
      </c>
      <c r="B125" t="s">
        <v>150</v>
      </c>
      <c r="C125" s="3">
        <v>45716.911886574075</v>
      </c>
      <c r="D125" t="s">
        <v>26</v>
      </c>
      <c r="E125" s="4">
        <v>32.780999999999999</v>
      </c>
      <c r="F125" s="4">
        <v>22607.478999999999</v>
      </c>
      <c r="G125" s="4">
        <v>22640.26</v>
      </c>
      <c r="H125" s="5">
        <f>5139 / 86400</f>
        <v>5.9479166666666666E-2</v>
      </c>
      <c r="I125" t="s">
        <v>56</v>
      </c>
      <c r="J125" t="s">
        <v>151</v>
      </c>
      <c r="K125" s="5">
        <f>12176 / 86400</f>
        <v>0.14092592592592593</v>
      </c>
      <c r="L125" s="5">
        <f>1162 / 86400</f>
        <v>1.3449074074074073E-2</v>
      </c>
    </row>
    <row r="126" spans="1:12" x14ac:dyDescent="0.25">
      <c r="A126" s="3">
        <v>45716.925335648149</v>
      </c>
      <c r="B126" t="s">
        <v>26</v>
      </c>
      <c r="C126" s="3">
        <v>45716.932708333334</v>
      </c>
      <c r="D126" t="s">
        <v>26</v>
      </c>
      <c r="E126" s="4">
        <v>1.6830000000000001</v>
      </c>
      <c r="F126" s="4">
        <v>22640.26</v>
      </c>
      <c r="G126" s="4">
        <v>22641.942999999999</v>
      </c>
      <c r="H126" s="5">
        <f>100 / 86400</f>
        <v>1.1574074074074073E-3</v>
      </c>
      <c r="I126" t="s">
        <v>85</v>
      </c>
      <c r="J126" t="s">
        <v>151</v>
      </c>
      <c r="K126" s="5">
        <f>636 / 86400</f>
        <v>7.3611111111111108E-3</v>
      </c>
      <c r="L126" s="5">
        <f>5813 / 86400</f>
        <v>6.7280092592592586E-2</v>
      </c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2" s="10" customFormat="1" ht="20.100000000000001" customHeight="1" x14ac:dyDescent="0.35">
      <c r="A129" s="15" t="s">
        <v>486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ht="30" x14ac:dyDescent="0.25">
      <c r="A131" s="2" t="s">
        <v>6</v>
      </c>
      <c r="B131" s="2" t="s">
        <v>7</v>
      </c>
      <c r="C131" s="2" t="s">
        <v>8</v>
      </c>
      <c r="D131" s="2" t="s">
        <v>9</v>
      </c>
      <c r="E131" s="2" t="s">
        <v>10</v>
      </c>
      <c r="F131" s="2" t="s">
        <v>11</v>
      </c>
      <c r="G131" s="2" t="s">
        <v>12</v>
      </c>
      <c r="H131" s="2" t="s">
        <v>13</v>
      </c>
      <c r="I131" s="2" t="s">
        <v>14</v>
      </c>
      <c r="J131" s="2" t="s">
        <v>15</v>
      </c>
      <c r="K131" s="2" t="s">
        <v>16</v>
      </c>
      <c r="L131" s="2" t="s">
        <v>17</v>
      </c>
    </row>
    <row r="132" spans="1:12" x14ac:dyDescent="0.25">
      <c r="A132" s="3">
        <v>45716.250335648147</v>
      </c>
      <c r="B132" t="s">
        <v>29</v>
      </c>
      <c r="C132" s="3">
        <v>45716.312951388885</v>
      </c>
      <c r="D132" t="s">
        <v>152</v>
      </c>
      <c r="E132" s="4">
        <v>33.874000000000002</v>
      </c>
      <c r="F132" s="4">
        <v>516217.51500000001</v>
      </c>
      <c r="G132" s="4">
        <v>516251.38900000002</v>
      </c>
      <c r="H132" s="5">
        <f>1339 / 86400</f>
        <v>1.5497685185185186E-2</v>
      </c>
      <c r="I132" t="s">
        <v>129</v>
      </c>
      <c r="J132" t="s">
        <v>153</v>
      </c>
      <c r="K132" s="5">
        <f>5409 / 86400</f>
        <v>6.2604166666666669E-2</v>
      </c>
      <c r="L132" s="5">
        <f>25333 / 86400</f>
        <v>0.29320601851851852</v>
      </c>
    </row>
    <row r="133" spans="1:12" x14ac:dyDescent="0.25">
      <c r="A133" s="3">
        <v>45716.355821759258</v>
      </c>
      <c r="B133" t="s">
        <v>152</v>
      </c>
      <c r="C133" s="3">
        <v>45716.359178240746</v>
      </c>
      <c r="D133" t="s">
        <v>131</v>
      </c>
      <c r="E133" s="4">
        <v>0.95699999999999996</v>
      </c>
      <c r="F133" s="4">
        <v>516251.38900000002</v>
      </c>
      <c r="G133" s="4">
        <v>516252.34600000002</v>
      </c>
      <c r="H133" s="5">
        <f>0 / 86400</f>
        <v>0</v>
      </c>
      <c r="I133" t="s">
        <v>32</v>
      </c>
      <c r="J133" t="s">
        <v>28</v>
      </c>
      <c r="K133" s="5">
        <f>289 / 86400</f>
        <v>3.3449074074074076E-3</v>
      </c>
      <c r="L133" s="5">
        <f>1272 / 86400</f>
        <v>1.4722222222222222E-2</v>
      </c>
    </row>
    <row r="134" spans="1:12" x14ac:dyDescent="0.25">
      <c r="A134" s="3">
        <v>45716.373900462961</v>
      </c>
      <c r="B134" t="s">
        <v>131</v>
      </c>
      <c r="C134" s="3">
        <v>45716.511620370366</v>
      </c>
      <c r="D134" t="s">
        <v>154</v>
      </c>
      <c r="E134" s="4">
        <v>51.323999999999998</v>
      </c>
      <c r="F134" s="4">
        <v>516252.34600000002</v>
      </c>
      <c r="G134" s="4">
        <v>516303.67</v>
      </c>
      <c r="H134" s="5">
        <f>4240 / 86400</f>
        <v>4.9074074074074076E-2</v>
      </c>
      <c r="I134" t="s">
        <v>155</v>
      </c>
      <c r="J134" t="s">
        <v>31</v>
      </c>
      <c r="K134" s="5">
        <f>11898 / 86400</f>
        <v>0.13770833333333332</v>
      </c>
      <c r="L134" s="5">
        <f>631 / 86400</f>
        <v>7.3032407407407404E-3</v>
      </c>
    </row>
    <row r="135" spans="1:12" x14ac:dyDescent="0.25">
      <c r="A135" s="3">
        <v>45716.518923611111</v>
      </c>
      <c r="B135" t="s">
        <v>154</v>
      </c>
      <c r="C135" s="3">
        <v>45716.663668981477</v>
      </c>
      <c r="D135" t="s">
        <v>119</v>
      </c>
      <c r="E135" s="4">
        <v>50.357999999999997</v>
      </c>
      <c r="F135" s="4">
        <v>516303.67</v>
      </c>
      <c r="G135" s="4">
        <v>516354.02799999999</v>
      </c>
      <c r="H135" s="5">
        <f>4400 / 86400</f>
        <v>5.0925925925925923E-2</v>
      </c>
      <c r="I135" t="s">
        <v>129</v>
      </c>
      <c r="J135" t="s">
        <v>72</v>
      </c>
      <c r="K135" s="5">
        <f>12505 / 86400</f>
        <v>0.14473379629629629</v>
      </c>
      <c r="L135" s="5">
        <f>3185 / 86400</f>
        <v>3.6863425925925924E-2</v>
      </c>
    </row>
    <row r="136" spans="1:12" x14ac:dyDescent="0.25">
      <c r="A136" s="3">
        <v>45716.700532407413</v>
      </c>
      <c r="B136" t="s">
        <v>119</v>
      </c>
      <c r="C136" s="3">
        <v>45716.703518518523</v>
      </c>
      <c r="D136" t="s">
        <v>136</v>
      </c>
      <c r="E136" s="4">
        <v>0.72799999999999998</v>
      </c>
      <c r="F136" s="4">
        <v>516354.02799999999</v>
      </c>
      <c r="G136" s="4">
        <v>516354.75599999999</v>
      </c>
      <c r="H136" s="5">
        <f>39 / 86400</f>
        <v>4.5138888888888887E-4</v>
      </c>
      <c r="I136" t="s">
        <v>32</v>
      </c>
      <c r="J136" t="s">
        <v>151</v>
      </c>
      <c r="K136" s="5">
        <f>257 / 86400</f>
        <v>2.9745370370370373E-3</v>
      </c>
      <c r="L136" s="5">
        <f>320 / 86400</f>
        <v>3.7037037037037038E-3</v>
      </c>
    </row>
    <row r="137" spans="1:12" x14ac:dyDescent="0.25">
      <c r="A137" s="3">
        <v>45716.70722222222</v>
      </c>
      <c r="B137" t="s">
        <v>136</v>
      </c>
      <c r="C137" s="3">
        <v>45716.708067129628</v>
      </c>
      <c r="D137" t="s">
        <v>136</v>
      </c>
      <c r="E137" s="4">
        <v>4.8000000000000001E-2</v>
      </c>
      <c r="F137" s="4">
        <v>516354.75599999999</v>
      </c>
      <c r="G137" s="4">
        <v>516354.804</v>
      </c>
      <c r="H137" s="5">
        <f>0 / 86400</f>
        <v>0</v>
      </c>
      <c r="I137" t="s">
        <v>137</v>
      </c>
      <c r="J137" t="s">
        <v>156</v>
      </c>
      <c r="K137" s="5">
        <f>73 / 86400</f>
        <v>8.4490740740740739E-4</v>
      </c>
      <c r="L137" s="5">
        <f>950 / 86400</f>
        <v>1.0995370370370371E-2</v>
      </c>
    </row>
    <row r="138" spans="1:12" x14ac:dyDescent="0.25">
      <c r="A138" s="3">
        <v>45716.7190625</v>
      </c>
      <c r="B138" t="s">
        <v>136</v>
      </c>
      <c r="C138" s="3">
        <v>45716.830185185187</v>
      </c>
      <c r="D138" t="s">
        <v>157</v>
      </c>
      <c r="E138" s="4">
        <v>41.476999999999997</v>
      </c>
      <c r="F138" s="4">
        <v>516354.804</v>
      </c>
      <c r="G138" s="4">
        <v>516396.28100000002</v>
      </c>
      <c r="H138" s="5">
        <f>3340 / 86400</f>
        <v>3.8657407407407404E-2</v>
      </c>
      <c r="I138" t="s">
        <v>30</v>
      </c>
      <c r="J138" t="s">
        <v>31</v>
      </c>
      <c r="K138" s="5">
        <f>9600 / 86400</f>
        <v>0.1111111111111111</v>
      </c>
      <c r="L138" s="5">
        <f>281 / 86400</f>
        <v>3.2523148148148147E-3</v>
      </c>
    </row>
    <row r="139" spans="1:12" x14ac:dyDescent="0.25">
      <c r="A139" s="3">
        <v>45716.833437499998</v>
      </c>
      <c r="B139" t="s">
        <v>157</v>
      </c>
      <c r="C139" s="3">
        <v>45716.896770833337</v>
      </c>
      <c r="D139" t="s">
        <v>158</v>
      </c>
      <c r="E139" s="4">
        <v>23.541</v>
      </c>
      <c r="F139" s="4">
        <v>516396.28100000002</v>
      </c>
      <c r="G139" s="4">
        <v>516419.82199999999</v>
      </c>
      <c r="H139" s="5">
        <f>1601 / 86400</f>
        <v>1.8530092592592591E-2</v>
      </c>
      <c r="I139" t="s">
        <v>159</v>
      </c>
      <c r="J139" t="s">
        <v>35</v>
      </c>
      <c r="K139" s="5">
        <f>5471 / 86400</f>
        <v>6.3321759259259258E-2</v>
      </c>
      <c r="L139" s="5">
        <f>176 / 86400</f>
        <v>2.0370370370370369E-3</v>
      </c>
    </row>
    <row r="140" spans="1:12" x14ac:dyDescent="0.25">
      <c r="A140" s="3">
        <v>45716.89880787037</v>
      </c>
      <c r="B140" t="s">
        <v>158</v>
      </c>
      <c r="C140" s="3">
        <v>45716.900914351849</v>
      </c>
      <c r="D140" t="s">
        <v>158</v>
      </c>
      <c r="E140" s="4">
        <v>3.7999999999999999E-2</v>
      </c>
      <c r="F140" s="4">
        <v>516419.82199999999</v>
      </c>
      <c r="G140" s="4">
        <v>516419.86</v>
      </c>
      <c r="H140" s="5">
        <f>139 / 86400</f>
        <v>1.6087962962962963E-3</v>
      </c>
      <c r="I140" t="s">
        <v>57</v>
      </c>
      <c r="J140" t="s">
        <v>59</v>
      </c>
      <c r="K140" s="5">
        <f>181 / 86400</f>
        <v>2.0949074074074073E-3</v>
      </c>
      <c r="L140" s="5">
        <f>274 / 86400</f>
        <v>3.1712962962962962E-3</v>
      </c>
    </row>
    <row r="141" spans="1:12" x14ac:dyDescent="0.25">
      <c r="A141" s="3">
        <v>45716.904085648144</v>
      </c>
      <c r="B141" t="s">
        <v>158</v>
      </c>
      <c r="C141" s="3">
        <v>45716.917245370365</v>
      </c>
      <c r="D141" t="s">
        <v>29</v>
      </c>
      <c r="E141" s="4">
        <v>6.3949999999999996</v>
      </c>
      <c r="F141" s="4">
        <v>516419.86</v>
      </c>
      <c r="G141" s="4">
        <v>516426.255</v>
      </c>
      <c r="H141" s="5">
        <f>299 / 86400</f>
        <v>3.460648148148148E-3</v>
      </c>
      <c r="I141" t="s">
        <v>160</v>
      </c>
      <c r="J141" t="s">
        <v>108</v>
      </c>
      <c r="K141" s="5">
        <f>1137 / 86400</f>
        <v>1.3159722222222222E-2</v>
      </c>
      <c r="L141" s="5">
        <f>122 / 86400</f>
        <v>1.4120370370370369E-3</v>
      </c>
    </row>
    <row r="142" spans="1:12" x14ac:dyDescent="0.25">
      <c r="A142" s="3">
        <v>45716.918657407412</v>
      </c>
      <c r="B142" t="s">
        <v>29</v>
      </c>
      <c r="C142" s="3">
        <v>45716.920474537037</v>
      </c>
      <c r="D142" t="s">
        <v>29</v>
      </c>
      <c r="E142" s="4">
        <v>1.2999999999999999E-2</v>
      </c>
      <c r="F142" s="4">
        <v>516426.255</v>
      </c>
      <c r="G142" s="4">
        <v>516426.26799999998</v>
      </c>
      <c r="H142" s="5">
        <f>120 / 86400</f>
        <v>1.3888888888888889E-3</v>
      </c>
      <c r="I142" t="s">
        <v>156</v>
      </c>
      <c r="J142" t="s">
        <v>22</v>
      </c>
      <c r="K142" s="5">
        <f>156 / 86400</f>
        <v>1.8055555555555555E-3</v>
      </c>
      <c r="L142" s="5">
        <f>6870 / 86400</f>
        <v>7.9513888888888884E-2</v>
      </c>
    </row>
    <row r="143" spans="1:1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s="10" customFormat="1" ht="20.100000000000001" customHeight="1" x14ac:dyDescent="0.35">
      <c r="A145" s="15" t="s">
        <v>487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1:12" ht="30" x14ac:dyDescent="0.25">
      <c r="A147" s="2" t="s">
        <v>6</v>
      </c>
      <c r="B147" s="2" t="s">
        <v>7</v>
      </c>
      <c r="C147" s="2" t="s">
        <v>8</v>
      </c>
      <c r="D147" s="2" t="s">
        <v>9</v>
      </c>
      <c r="E147" s="2" t="s">
        <v>10</v>
      </c>
      <c r="F147" s="2" t="s">
        <v>11</v>
      </c>
      <c r="G147" s="2" t="s">
        <v>12</v>
      </c>
      <c r="H147" s="2" t="s">
        <v>13</v>
      </c>
      <c r="I147" s="2" t="s">
        <v>14</v>
      </c>
      <c r="J147" s="2" t="s">
        <v>15</v>
      </c>
      <c r="K147" s="2" t="s">
        <v>16</v>
      </c>
      <c r="L147" s="2" t="s">
        <v>17</v>
      </c>
    </row>
    <row r="148" spans="1:12" x14ac:dyDescent="0.25">
      <c r="A148" s="3">
        <v>45716.286180555559</v>
      </c>
      <c r="B148" t="s">
        <v>26</v>
      </c>
      <c r="C148" s="3">
        <v>45716.289988425924</v>
      </c>
      <c r="D148" t="s">
        <v>26</v>
      </c>
      <c r="E148" s="4">
        <v>7.0999999999999994E-2</v>
      </c>
      <c r="F148" s="4">
        <v>93385.593999999997</v>
      </c>
      <c r="G148" s="4">
        <v>93385.664999999994</v>
      </c>
      <c r="H148" s="5">
        <f>199 / 86400</f>
        <v>2.3032407407407407E-3</v>
      </c>
      <c r="I148" t="s">
        <v>147</v>
      </c>
      <c r="J148" t="s">
        <v>59</v>
      </c>
      <c r="K148" s="5">
        <f>328 / 86400</f>
        <v>3.7962962962962963E-3</v>
      </c>
      <c r="L148" s="5">
        <f>24833 / 86400</f>
        <v>0.28741898148148148</v>
      </c>
    </row>
    <row r="149" spans="1:12" x14ac:dyDescent="0.25">
      <c r="A149" s="3">
        <v>45716.291226851856</v>
      </c>
      <c r="B149" t="s">
        <v>26</v>
      </c>
      <c r="C149" s="3">
        <v>45716.291539351849</v>
      </c>
      <c r="D149" t="s">
        <v>26</v>
      </c>
      <c r="E149" s="4">
        <v>2E-3</v>
      </c>
      <c r="F149" s="4">
        <v>93385.664999999994</v>
      </c>
      <c r="G149" s="4">
        <v>93385.667000000001</v>
      </c>
      <c r="H149" s="5">
        <f>19 / 86400</f>
        <v>2.199074074074074E-4</v>
      </c>
      <c r="I149" t="s">
        <v>22</v>
      </c>
      <c r="J149" t="s">
        <v>22</v>
      </c>
      <c r="K149" s="5">
        <f>26 / 86400</f>
        <v>3.0092592592592595E-4</v>
      </c>
      <c r="L149" s="5">
        <f>23873 / 86400</f>
        <v>0.27630787037037036</v>
      </c>
    </row>
    <row r="150" spans="1:12" x14ac:dyDescent="0.25">
      <c r="A150" s="3">
        <v>45716.567847222221</v>
      </c>
      <c r="B150" t="s">
        <v>26</v>
      </c>
      <c r="C150" s="3">
        <v>45716.570486111115</v>
      </c>
      <c r="D150" t="s">
        <v>26</v>
      </c>
      <c r="E150" s="4">
        <v>8.4000000000000005E-2</v>
      </c>
      <c r="F150" s="4">
        <v>93385.667000000001</v>
      </c>
      <c r="G150" s="4">
        <v>93385.751000000004</v>
      </c>
      <c r="H150" s="5">
        <f>120 / 86400</f>
        <v>1.3888888888888889E-3</v>
      </c>
      <c r="I150" t="s">
        <v>57</v>
      </c>
      <c r="J150" t="s">
        <v>59</v>
      </c>
      <c r="K150" s="5">
        <f>228 / 86400</f>
        <v>2.638888888888889E-3</v>
      </c>
      <c r="L150" s="5">
        <f>8684 / 86400</f>
        <v>0.10050925925925926</v>
      </c>
    </row>
    <row r="151" spans="1:12" x14ac:dyDescent="0.25">
      <c r="A151" s="3">
        <v>45716.670995370368</v>
      </c>
      <c r="B151" t="s">
        <v>26</v>
      </c>
      <c r="C151" s="3">
        <v>45716.673171296294</v>
      </c>
      <c r="D151" t="s">
        <v>26</v>
      </c>
      <c r="E151" s="4">
        <v>0</v>
      </c>
      <c r="F151" s="4">
        <v>93385.751000000004</v>
      </c>
      <c r="G151" s="4">
        <v>93385.751000000004</v>
      </c>
      <c r="H151" s="5">
        <f>179 / 86400</f>
        <v>2.0717592592592593E-3</v>
      </c>
      <c r="I151" t="s">
        <v>22</v>
      </c>
      <c r="J151" t="s">
        <v>22</v>
      </c>
      <c r="K151" s="5">
        <f>187 / 86400</f>
        <v>2.1643518518518518E-3</v>
      </c>
      <c r="L151" s="5">
        <f>3143 / 86400</f>
        <v>3.6377314814814814E-2</v>
      </c>
    </row>
    <row r="152" spans="1:12" x14ac:dyDescent="0.25">
      <c r="A152" s="3">
        <v>45716.709548611107</v>
      </c>
      <c r="B152" t="s">
        <v>26</v>
      </c>
      <c r="C152" s="3">
        <v>45716.709594907406</v>
      </c>
      <c r="D152" t="s">
        <v>26</v>
      </c>
      <c r="E152" s="4">
        <v>0</v>
      </c>
      <c r="F152" s="4">
        <v>93385.751000000004</v>
      </c>
      <c r="G152" s="4">
        <v>93385.751000000004</v>
      </c>
      <c r="H152" s="5">
        <f>0 / 86400</f>
        <v>0</v>
      </c>
      <c r="I152" t="s">
        <v>22</v>
      </c>
      <c r="J152" t="s">
        <v>22</v>
      </c>
      <c r="K152" s="5">
        <f>4 / 86400</f>
        <v>4.6296296296296294E-5</v>
      </c>
      <c r="L152" s="5">
        <f>20 / 86400</f>
        <v>2.3148148148148149E-4</v>
      </c>
    </row>
    <row r="153" spans="1:12" x14ac:dyDescent="0.25">
      <c r="A153" s="3">
        <v>45716.709826388891</v>
      </c>
      <c r="B153" t="s">
        <v>26</v>
      </c>
      <c r="C153" s="3">
        <v>45716.719780092593</v>
      </c>
      <c r="D153" t="s">
        <v>26</v>
      </c>
      <c r="E153" s="4">
        <v>0</v>
      </c>
      <c r="F153" s="4">
        <v>93385.751000000004</v>
      </c>
      <c r="G153" s="4">
        <v>93385.751000000004</v>
      </c>
      <c r="H153" s="5">
        <f>839 / 86400</f>
        <v>9.7106481481481488E-3</v>
      </c>
      <c r="I153" t="s">
        <v>22</v>
      </c>
      <c r="J153" t="s">
        <v>22</v>
      </c>
      <c r="K153" s="5">
        <f>860 / 86400</f>
        <v>9.9537037037037042E-3</v>
      </c>
      <c r="L153" s="5">
        <f>443 / 86400</f>
        <v>5.1273148148148146E-3</v>
      </c>
    </row>
    <row r="154" spans="1:12" x14ac:dyDescent="0.25">
      <c r="A154" s="3">
        <v>45716.724907407406</v>
      </c>
      <c r="B154" t="s">
        <v>26</v>
      </c>
      <c r="C154" s="3">
        <v>45716.726747685185</v>
      </c>
      <c r="D154" t="s">
        <v>26</v>
      </c>
      <c r="E154" s="4">
        <v>0</v>
      </c>
      <c r="F154" s="4">
        <v>93385.751000000004</v>
      </c>
      <c r="G154" s="4">
        <v>93385.751000000004</v>
      </c>
      <c r="H154" s="5">
        <f>139 / 86400</f>
        <v>1.6087962962962963E-3</v>
      </c>
      <c r="I154" t="s">
        <v>22</v>
      </c>
      <c r="J154" t="s">
        <v>22</v>
      </c>
      <c r="K154" s="5">
        <f>158 / 86400</f>
        <v>1.8287037037037037E-3</v>
      </c>
      <c r="L154" s="5">
        <f>1830 / 86400</f>
        <v>2.1180555555555557E-2</v>
      </c>
    </row>
    <row r="155" spans="1:12" x14ac:dyDescent="0.25">
      <c r="A155" s="3">
        <v>45716.747928240744</v>
      </c>
      <c r="B155" t="s">
        <v>26</v>
      </c>
      <c r="C155" s="3">
        <v>45716.748749999999</v>
      </c>
      <c r="D155" t="s">
        <v>26</v>
      </c>
      <c r="E155" s="4">
        <v>0</v>
      </c>
      <c r="F155" s="4">
        <v>93385.751000000004</v>
      </c>
      <c r="G155" s="4">
        <v>93385.751000000004</v>
      </c>
      <c r="H155" s="5">
        <f>59 / 86400</f>
        <v>6.8287037037037036E-4</v>
      </c>
      <c r="I155" t="s">
        <v>22</v>
      </c>
      <c r="J155" t="s">
        <v>22</v>
      </c>
      <c r="K155" s="5">
        <f>71 / 86400</f>
        <v>8.2175925925925927E-4</v>
      </c>
      <c r="L155" s="5">
        <f>524 / 86400</f>
        <v>6.0648148148148145E-3</v>
      </c>
    </row>
    <row r="156" spans="1:12" x14ac:dyDescent="0.25">
      <c r="A156" s="3">
        <v>45716.75481481482</v>
      </c>
      <c r="B156" t="s">
        <v>26</v>
      </c>
      <c r="C156" s="3">
        <v>45716.754849537036</v>
      </c>
      <c r="D156" t="s">
        <v>26</v>
      </c>
      <c r="E156" s="4">
        <v>0</v>
      </c>
      <c r="F156" s="4">
        <v>93385.751000000004</v>
      </c>
      <c r="G156" s="4">
        <v>93385.751000000004</v>
      </c>
      <c r="H156" s="5">
        <f>0 / 86400</f>
        <v>0</v>
      </c>
      <c r="I156" t="s">
        <v>22</v>
      </c>
      <c r="J156" t="s">
        <v>22</v>
      </c>
      <c r="K156" s="5">
        <f>3 / 86400</f>
        <v>3.4722222222222222E-5</v>
      </c>
      <c r="L156" s="5">
        <f>1141 / 86400</f>
        <v>1.3206018518518518E-2</v>
      </c>
    </row>
    <row r="157" spans="1:12" x14ac:dyDescent="0.25">
      <c r="A157" s="3">
        <v>45716.768055555556</v>
      </c>
      <c r="B157" t="s">
        <v>26</v>
      </c>
      <c r="C157" s="3">
        <v>45716.770983796298</v>
      </c>
      <c r="D157" t="s">
        <v>26</v>
      </c>
      <c r="E157" s="4">
        <v>0.11600000000000001</v>
      </c>
      <c r="F157" s="4">
        <v>93385.751000000004</v>
      </c>
      <c r="G157" s="4">
        <v>93385.866999999998</v>
      </c>
      <c r="H157" s="5">
        <f>120 / 86400</f>
        <v>1.3888888888888889E-3</v>
      </c>
      <c r="I157" t="s">
        <v>132</v>
      </c>
      <c r="J157" t="s">
        <v>156</v>
      </c>
      <c r="K157" s="5">
        <f>252 / 86400</f>
        <v>2.9166666666666668E-3</v>
      </c>
      <c r="L157" s="5">
        <f>7544 / 86400</f>
        <v>8.7314814814814817E-2</v>
      </c>
    </row>
    <row r="158" spans="1:12" x14ac:dyDescent="0.25">
      <c r="A158" s="3">
        <v>45716.858298611114</v>
      </c>
      <c r="B158" t="s">
        <v>26</v>
      </c>
      <c r="C158" s="3">
        <v>45716.860937500001</v>
      </c>
      <c r="D158" t="s">
        <v>148</v>
      </c>
      <c r="E158" s="4">
        <v>0.42199999999999999</v>
      </c>
      <c r="F158" s="4">
        <v>93385.866999999998</v>
      </c>
      <c r="G158" s="4">
        <v>93386.289000000004</v>
      </c>
      <c r="H158" s="5">
        <f>59 / 86400</f>
        <v>6.8287037037037036E-4</v>
      </c>
      <c r="I158" t="s">
        <v>20</v>
      </c>
      <c r="J158" t="s">
        <v>57</v>
      </c>
      <c r="K158" s="5">
        <f>228 / 86400</f>
        <v>2.638888888888889E-3</v>
      </c>
      <c r="L158" s="5">
        <f>512 / 86400</f>
        <v>5.9259259259259256E-3</v>
      </c>
    </row>
    <row r="159" spans="1:12" x14ac:dyDescent="0.25">
      <c r="A159" s="3">
        <v>45716.866863425923</v>
      </c>
      <c r="B159" t="s">
        <v>148</v>
      </c>
      <c r="C159" s="3">
        <v>45716.874791666662</v>
      </c>
      <c r="D159" t="s">
        <v>26</v>
      </c>
      <c r="E159" s="4">
        <v>1.387</v>
      </c>
      <c r="F159" s="4">
        <v>93386.289000000004</v>
      </c>
      <c r="G159" s="4">
        <v>93387.676000000007</v>
      </c>
      <c r="H159" s="5">
        <f>300 / 86400</f>
        <v>3.472222222222222E-3</v>
      </c>
      <c r="I159" t="s">
        <v>32</v>
      </c>
      <c r="J159" t="s">
        <v>57</v>
      </c>
      <c r="K159" s="5">
        <f>685 / 86400</f>
        <v>7.9282407407407409E-3</v>
      </c>
      <c r="L159" s="5">
        <f>675 / 86400</f>
        <v>7.8125E-3</v>
      </c>
    </row>
    <row r="160" spans="1:12" x14ac:dyDescent="0.25">
      <c r="A160" s="3">
        <v>45716.882604166662</v>
      </c>
      <c r="B160" t="s">
        <v>26</v>
      </c>
      <c r="C160" s="3">
        <v>45716.888124999998</v>
      </c>
      <c r="D160" t="s">
        <v>26</v>
      </c>
      <c r="E160" s="4">
        <v>0.43099999999999999</v>
      </c>
      <c r="F160" s="4">
        <v>93387.676000000007</v>
      </c>
      <c r="G160" s="4">
        <v>93388.107000000004</v>
      </c>
      <c r="H160" s="5">
        <f>219 / 86400</f>
        <v>2.5347222222222221E-3</v>
      </c>
      <c r="I160" t="s">
        <v>28</v>
      </c>
      <c r="J160" t="s">
        <v>33</v>
      </c>
      <c r="K160" s="5">
        <f>476 / 86400</f>
        <v>5.5092592592592589E-3</v>
      </c>
      <c r="L160" s="5">
        <f>9665 / 86400</f>
        <v>0.11186342592592592</v>
      </c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2" s="10" customFormat="1" ht="20.100000000000001" customHeight="1" x14ac:dyDescent="0.35">
      <c r="A163" s="15" t="s">
        <v>488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2" ht="30" x14ac:dyDescent="0.25">
      <c r="A165" s="2" t="s">
        <v>6</v>
      </c>
      <c r="B165" s="2" t="s">
        <v>7</v>
      </c>
      <c r="C165" s="2" t="s">
        <v>8</v>
      </c>
      <c r="D165" s="2" t="s">
        <v>9</v>
      </c>
      <c r="E165" s="2" t="s">
        <v>10</v>
      </c>
      <c r="F165" s="2" t="s">
        <v>11</v>
      </c>
      <c r="G165" s="2" t="s">
        <v>12</v>
      </c>
      <c r="H165" s="2" t="s">
        <v>13</v>
      </c>
      <c r="I165" s="2" t="s">
        <v>14</v>
      </c>
      <c r="J165" s="2" t="s">
        <v>15</v>
      </c>
      <c r="K165" s="2" t="s">
        <v>16</v>
      </c>
      <c r="L165" s="2" t="s">
        <v>17</v>
      </c>
    </row>
    <row r="166" spans="1:12" x14ac:dyDescent="0.25">
      <c r="A166" s="3">
        <v>45716.251134259262</v>
      </c>
      <c r="B166" t="s">
        <v>18</v>
      </c>
      <c r="C166" s="3">
        <v>45716.253541666665</v>
      </c>
      <c r="D166" t="s">
        <v>18</v>
      </c>
      <c r="E166" s="4">
        <v>0.02</v>
      </c>
      <c r="F166" s="4">
        <v>141236.12899999999</v>
      </c>
      <c r="G166" s="4">
        <v>141236.149</v>
      </c>
      <c r="H166" s="5">
        <f>159 / 86400</f>
        <v>1.8402777777777777E-3</v>
      </c>
      <c r="I166" t="s">
        <v>25</v>
      </c>
      <c r="J166" t="s">
        <v>22</v>
      </c>
      <c r="K166" s="5">
        <f>207 / 86400</f>
        <v>2.3958333333333331E-3</v>
      </c>
      <c r="L166" s="5">
        <f>22111 / 86400</f>
        <v>0.25591435185185185</v>
      </c>
    </row>
    <row r="167" spans="1:12" x14ac:dyDescent="0.25">
      <c r="A167" s="3">
        <v>45716.258321759262</v>
      </c>
      <c r="B167" t="s">
        <v>18</v>
      </c>
      <c r="C167" s="3">
        <v>45716.361168981486</v>
      </c>
      <c r="D167" t="s">
        <v>161</v>
      </c>
      <c r="E167" s="4">
        <v>50.146000000000001</v>
      </c>
      <c r="F167" s="4">
        <v>141236.149</v>
      </c>
      <c r="G167" s="4">
        <v>141286.29500000001</v>
      </c>
      <c r="H167" s="5">
        <f>2437 / 86400</f>
        <v>2.8206018518518519E-2</v>
      </c>
      <c r="I167" t="s">
        <v>27</v>
      </c>
      <c r="J167" t="s">
        <v>108</v>
      </c>
      <c r="K167" s="5">
        <f>8886 / 86400</f>
        <v>0.10284722222222223</v>
      </c>
      <c r="L167" s="5">
        <f>1579 / 86400</f>
        <v>1.8275462962962962E-2</v>
      </c>
    </row>
    <row r="168" spans="1:12" x14ac:dyDescent="0.25">
      <c r="A168" s="3">
        <v>45716.379444444443</v>
      </c>
      <c r="B168" t="s">
        <v>161</v>
      </c>
      <c r="C168" s="3">
        <v>45716.383981481486</v>
      </c>
      <c r="D168" t="s">
        <v>162</v>
      </c>
      <c r="E168" s="4">
        <v>0.95</v>
      </c>
      <c r="F168" s="4">
        <v>141286.29500000001</v>
      </c>
      <c r="G168" s="4">
        <v>141287.245</v>
      </c>
      <c r="H168" s="5">
        <f>199 / 86400</f>
        <v>2.3032407407407407E-3</v>
      </c>
      <c r="I168" t="s">
        <v>149</v>
      </c>
      <c r="J168" t="s">
        <v>132</v>
      </c>
      <c r="K168" s="5">
        <f>391 / 86400</f>
        <v>4.5254629629629629E-3</v>
      </c>
      <c r="L168" s="5">
        <f>1843 / 86400</f>
        <v>2.133101851851852E-2</v>
      </c>
    </row>
    <row r="169" spans="1:12" x14ac:dyDescent="0.25">
      <c r="A169" s="3">
        <v>45716.405312499999</v>
      </c>
      <c r="B169" t="s">
        <v>162</v>
      </c>
      <c r="C169" s="3">
        <v>45716.53334490741</v>
      </c>
      <c r="D169" t="s">
        <v>154</v>
      </c>
      <c r="E169" s="4">
        <v>50.378</v>
      </c>
      <c r="F169" s="4">
        <v>141287.245</v>
      </c>
      <c r="G169" s="4">
        <v>141337.62299999999</v>
      </c>
      <c r="H169" s="5">
        <f>3579 / 86400</f>
        <v>4.1423611111111112E-2</v>
      </c>
      <c r="I169" t="s">
        <v>54</v>
      </c>
      <c r="J169" t="s">
        <v>31</v>
      </c>
      <c r="K169" s="5">
        <f>11061 / 86400</f>
        <v>0.12802083333333333</v>
      </c>
      <c r="L169" s="5">
        <f>1348 / 86400</f>
        <v>1.5601851851851851E-2</v>
      </c>
    </row>
    <row r="170" spans="1:12" x14ac:dyDescent="0.25">
      <c r="A170" s="3">
        <v>45716.548946759256</v>
      </c>
      <c r="B170" t="s">
        <v>154</v>
      </c>
      <c r="C170" s="3">
        <v>45716.698460648149</v>
      </c>
      <c r="D170" t="s">
        <v>136</v>
      </c>
      <c r="E170" s="4">
        <v>51.024000000000001</v>
      </c>
      <c r="F170" s="4">
        <v>141337.62299999999</v>
      </c>
      <c r="G170" s="4">
        <v>141388.647</v>
      </c>
      <c r="H170" s="5">
        <f>5201 / 86400</f>
        <v>6.0196759259259262E-2</v>
      </c>
      <c r="I170" t="s">
        <v>58</v>
      </c>
      <c r="J170" t="s">
        <v>72</v>
      </c>
      <c r="K170" s="5">
        <f>12918 / 86400</f>
        <v>0.14951388888888889</v>
      </c>
      <c r="L170" s="5">
        <f>342 / 86400</f>
        <v>3.9583333333333337E-3</v>
      </c>
    </row>
    <row r="171" spans="1:12" x14ac:dyDescent="0.25">
      <c r="A171" s="3">
        <v>45716.702418981484</v>
      </c>
      <c r="B171" t="s">
        <v>136</v>
      </c>
      <c r="C171" s="3">
        <v>45716.88581018518</v>
      </c>
      <c r="D171" t="s">
        <v>163</v>
      </c>
      <c r="E171" s="4">
        <v>60.965000000000003</v>
      </c>
      <c r="F171" s="4">
        <v>141388.647</v>
      </c>
      <c r="G171" s="4">
        <v>141449.61199999999</v>
      </c>
      <c r="H171" s="5">
        <f>6419 / 86400</f>
        <v>7.4293981481481475E-2</v>
      </c>
      <c r="I171" t="s">
        <v>34</v>
      </c>
      <c r="J171" t="s">
        <v>72</v>
      </c>
      <c r="K171" s="5">
        <f>15845 / 86400</f>
        <v>0.18339120370370371</v>
      </c>
      <c r="L171" s="5">
        <f>211 / 86400</f>
        <v>2.4421296296296296E-3</v>
      </c>
    </row>
    <row r="172" spans="1:12" x14ac:dyDescent="0.25">
      <c r="A172" s="3">
        <v>45716.888252314813</v>
      </c>
      <c r="B172" t="s">
        <v>163</v>
      </c>
      <c r="C172" s="3">
        <v>45716.891898148147</v>
      </c>
      <c r="D172" t="s">
        <v>138</v>
      </c>
      <c r="E172" s="4">
        <v>0.98899999999999999</v>
      </c>
      <c r="F172" s="4">
        <v>141449.61199999999</v>
      </c>
      <c r="G172" s="4">
        <v>141450.601</v>
      </c>
      <c r="H172" s="5">
        <f>119 / 86400</f>
        <v>1.3773148148148147E-3</v>
      </c>
      <c r="I172" t="s">
        <v>164</v>
      </c>
      <c r="J172" t="s">
        <v>100</v>
      </c>
      <c r="K172" s="5">
        <f>314 / 86400</f>
        <v>3.6342592592592594E-3</v>
      </c>
      <c r="L172" s="5">
        <f>275 / 86400</f>
        <v>3.1828703703703702E-3</v>
      </c>
    </row>
    <row r="173" spans="1:12" x14ac:dyDescent="0.25">
      <c r="A173" s="3">
        <v>45716.89508101852</v>
      </c>
      <c r="B173" t="s">
        <v>138</v>
      </c>
      <c r="C173" s="3">
        <v>45716.904340277775</v>
      </c>
      <c r="D173" t="s">
        <v>18</v>
      </c>
      <c r="E173" s="4">
        <v>0.55900000000000005</v>
      </c>
      <c r="F173" s="4">
        <v>141450.601</v>
      </c>
      <c r="G173" s="4">
        <v>141451.16</v>
      </c>
      <c r="H173" s="5">
        <f>540 / 86400</f>
        <v>6.2500000000000003E-3</v>
      </c>
      <c r="I173" t="s">
        <v>32</v>
      </c>
      <c r="J173" t="s">
        <v>33</v>
      </c>
      <c r="K173" s="5">
        <f>799 / 86400</f>
        <v>9.2476851851851852E-3</v>
      </c>
      <c r="L173" s="5">
        <f>8264 / 86400</f>
        <v>9.5648148148148149E-2</v>
      </c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1:12" s="10" customFormat="1" ht="20.100000000000001" customHeight="1" x14ac:dyDescent="0.35">
      <c r="A176" s="15" t="s">
        <v>489</v>
      </c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1:12" ht="30" x14ac:dyDescent="0.25">
      <c r="A178" s="2" t="s">
        <v>6</v>
      </c>
      <c r="B178" s="2" t="s">
        <v>7</v>
      </c>
      <c r="C178" s="2" t="s">
        <v>8</v>
      </c>
      <c r="D178" s="2" t="s">
        <v>9</v>
      </c>
      <c r="E178" s="2" t="s">
        <v>10</v>
      </c>
      <c r="F178" s="2" t="s">
        <v>11</v>
      </c>
      <c r="G178" s="2" t="s">
        <v>12</v>
      </c>
      <c r="H178" s="2" t="s">
        <v>13</v>
      </c>
      <c r="I178" s="2" t="s">
        <v>14</v>
      </c>
      <c r="J178" s="2" t="s">
        <v>15</v>
      </c>
      <c r="K178" s="2" t="s">
        <v>16</v>
      </c>
      <c r="L178" s="2" t="s">
        <v>17</v>
      </c>
    </row>
    <row r="179" spans="1:12" x14ac:dyDescent="0.25">
      <c r="A179" s="3">
        <v>45716</v>
      </c>
      <c r="B179" t="s">
        <v>36</v>
      </c>
      <c r="C179" s="3">
        <v>45716.002500000002</v>
      </c>
      <c r="D179" t="s">
        <v>38</v>
      </c>
      <c r="E179" s="4">
        <v>2.515919193506241</v>
      </c>
      <c r="F179" s="4">
        <v>351331.26277248247</v>
      </c>
      <c r="G179" s="4">
        <v>351333.77869167598</v>
      </c>
      <c r="H179" s="5">
        <f t="shared" ref="H179:H242" si="0">0 / 86400</f>
        <v>0</v>
      </c>
      <c r="I179" t="s">
        <v>129</v>
      </c>
      <c r="J179" t="s">
        <v>165</v>
      </c>
      <c r="K179" s="5">
        <f>216 / 86400</f>
        <v>2.5000000000000001E-3</v>
      </c>
      <c r="L179" s="5">
        <f>20 / 86400</f>
        <v>2.3148148148148149E-4</v>
      </c>
    </row>
    <row r="180" spans="1:12" x14ac:dyDescent="0.25">
      <c r="A180" s="3">
        <v>45716.00273148148</v>
      </c>
      <c r="B180" t="s">
        <v>38</v>
      </c>
      <c r="C180" s="3">
        <v>45716.002962962964</v>
      </c>
      <c r="D180" t="s">
        <v>166</v>
      </c>
      <c r="E180" s="4">
        <v>0.24251294326782227</v>
      </c>
      <c r="F180" s="4">
        <v>351333.85024803883</v>
      </c>
      <c r="G180" s="4">
        <v>351334.09276098211</v>
      </c>
      <c r="H180" s="5">
        <f t="shared" si="0"/>
        <v>0</v>
      </c>
      <c r="I180" t="s">
        <v>167</v>
      </c>
      <c r="J180" t="s">
        <v>168</v>
      </c>
      <c r="K180" s="5">
        <f>20 / 86400</f>
        <v>2.3148148148148149E-4</v>
      </c>
      <c r="L180" s="5">
        <f>20 / 86400</f>
        <v>2.3148148148148149E-4</v>
      </c>
    </row>
    <row r="181" spans="1:12" x14ac:dyDescent="0.25">
      <c r="A181" s="3">
        <v>45716.003194444449</v>
      </c>
      <c r="B181" t="s">
        <v>166</v>
      </c>
      <c r="C181" s="3">
        <v>45716.005972222221</v>
      </c>
      <c r="D181" t="s">
        <v>169</v>
      </c>
      <c r="E181" s="4">
        <v>2.7964067794680596</v>
      </c>
      <c r="F181" s="4">
        <v>351334.30726615869</v>
      </c>
      <c r="G181" s="4">
        <v>351337.10367293819</v>
      </c>
      <c r="H181" s="5">
        <f t="shared" si="0"/>
        <v>0</v>
      </c>
      <c r="I181" t="s">
        <v>58</v>
      </c>
      <c r="J181" t="s">
        <v>165</v>
      </c>
      <c r="K181" s="5">
        <f>240 / 86400</f>
        <v>2.7777777777777779E-3</v>
      </c>
      <c r="L181" s="5">
        <f>20 / 86400</f>
        <v>2.3148148148148149E-4</v>
      </c>
    </row>
    <row r="182" spans="1:12" x14ac:dyDescent="0.25">
      <c r="A182" s="3">
        <v>45716.006203703699</v>
      </c>
      <c r="B182" t="s">
        <v>169</v>
      </c>
      <c r="C182" s="3">
        <v>45716.006898148145</v>
      </c>
      <c r="D182" t="s">
        <v>170</v>
      </c>
      <c r="E182" s="4">
        <v>0.4928794777393341</v>
      </c>
      <c r="F182" s="4">
        <v>351337.2040220201</v>
      </c>
      <c r="G182" s="4">
        <v>351337.69690149784</v>
      </c>
      <c r="H182" s="5">
        <f t="shared" si="0"/>
        <v>0</v>
      </c>
      <c r="I182" t="s">
        <v>171</v>
      </c>
      <c r="J182" t="s">
        <v>149</v>
      </c>
      <c r="K182" s="5">
        <f>60 / 86400</f>
        <v>6.9444444444444447E-4</v>
      </c>
      <c r="L182" s="5">
        <f>120 / 86400</f>
        <v>1.3888888888888889E-3</v>
      </c>
    </row>
    <row r="183" spans="1:12" x14ac:dyDescent="0.25">
      <c r="A183" s="3">
        <v>45716.008287037039</v>
      </c>
      <c r="B183" t="s">
        <v>170</v>
      </c>
      <c r="C183" s="3">
        <v>45716.008750000001</v>
      </c>
      <c r="D183" t="s">
        <v>172</v>
      </c>
      <c r="E183" s="4">
        <v>0.38693428665399554</v>
      </c>
      <c r="F183" s="4">
        <v>351337.73630972061</v>
      </c>
      <c r="G183" s="4">
        <v>351338.12324400729</v>
      </c>
      <c r="H183" s="5">
        <f t="shared" si="0"/>
        <v>0</v>
      </c>
      <c r="I183" t="s">
        <v>173</v>
      </c>
      <c r="J183" t="s">
        <v>97</v>
      </c>
      <c r="K183" s="5">
        <f>40 / 86400</f>
        <v>4.6296296296296298E-4</v>
      </c>
      <c r="L183" s="5">
        <f>20 / 86400</f>
        <v>2.3148148148148149E-4</v>
      </c>
    </row>
    <row r="184" spans="1:12" x14ac:dyDescent="0.25">
      <c r="A184" s="3">
        <v>45716.008981481486</v>
      </c>
      <c r="B184" t="s">
        <v>174</v>
      </c>
      <c r="C184" s="3">
        <v>45716.010833333334</v>
      </c>
      <c r="D184" t="s">
        <v>77</v>
      </c>
      <c r="E184" s="4">
        <v>2.0508700078129767</v>
      </c>
      <c r="F184" s="4">
        <v>351338.17812806839</v>
      </c>
      <c r="G184" s="4">
        <v>351340.22899807623</v>
      </c>
      <c r="H184" s="5">
        <f t="shared" si="0"/>
        <v>0</v>
      </c>
      <c r="I184" t="s">
        <v>175</v>
      </c>
      <c r="J184" t="s">
        <v>176</v>
      </c>
      <c r="K184" s="5">
        <f>160 / 86400</f>
        <v>1.8518518518518519E-3</v>
      </c>
      <c r="L184" s="5">
        <f>20 / 86400</f>
        <v>2.3148148148148149E-4</v>
      </c>
    </row>
    <row r="185" spans="1:12" x14ac:dyDescent="0.25">
      <c r="A185" s="3">
        <v>45716.011064814811</v>
      </c>
      <c r="B185" t="s">
        <v>77</v>
      </c>
      <c r="C185" s="3">
        <v>45716.011990740742</v>
      </c>
      <c r="D185" t="s">
        <v>177</v>
      </c>
      <c r="E185" s="4">
        <v>0.78406066352128978</v>
      </c>
      <c r="F185" s="4">
        <v>351340.25765137951</v>
      </c>
      <c r="G185" s="4">
        <v>351341.04171204305</v>
      </c>
      <c r="H185" s="5">
        <f t="shared" si="0"/>
        <v>0</v>
      </c>
      <c r="I185" t="s">
        <v>178</v>
      </c>
      <c r="J185" t="s">
        <v>97</v>
      </c>
      <c r="K185" s="5">
        <f>80 / 86400</f>
        <v>9.2592592592592596E-4</v>
      </c>
      <c r="L185" s="5">
        <f>20 / 86400</f>
        <v>2.3148148148148149E-4</v>
      </c>
    </row>
    <row r="186" spans="1:12" x14ac:dyDescent="0.25">
      <c r="A186" s="3">
        <v>45716.012222222227</v>
      </c>
      <c r="B186" t="s">
        <v>177</v>
      </c>
      <c r="C186" s="3">
        <v>45716.012453703705</v>
      </c>
      <c r="D186" t="s">
        <v>177</v>
      </c>
      <c r="E186" s="4">
        <v>4.1408181786537169E-3</v>
      </c>
      <c r="F186" s="4">
        <v>351341.0516779552</v>
      </c>
      <c r="G186" s="4">
        <v>351341.0558187734</v>
      </c>
      <c r="H186" s="5">
        <f t="shared" si="0"/>
        <v>0</v>
      </c>
      <c r="I186" t="s">
        <v>25</v>
      </c>
      <c r="J186" t="s">
        <v>59</v>
      </c>
      <c r="K186" s="5">
        <f>20 / 86400</f>
        <v>2.3148148148148149E-4</v>
      </c>
      <c r="L186" s="5">
        <f>40 / 86400</f>
        <v>4.6296296296296298E-4</v>
      </c>
    </row>
    <row r="187" spans="1:12" x14ac:dyDescent="0.25">
      <c r="A187" s="3">
        <v>45716.012916666667</v>
      </c>
      <c r="B187" t="s">
        <v>177</v>
      </c>
      <c r="C187" s="3">
        <v>45716.014074074075</v>
      </c>
      <c r="D187" t="s">
        <v>177</v>
      </c>
      <c r="E187" s="4">
        <v>0.91068310326337809</v>
      </c>
      <c r="F187" s="4">
        <v>351341.06968082912</v>
      </c>
      <c r="G187" s="4">
        <v>351341.98036393238</v>
      </c>
      <c r="H187" s="5">
        <f t="shared" si="0"/>
        <v>0</v>
      </c>
      <c r="I187" t="s">
        <v>104</v>
      </c>
      <c r="J187" t="s">
        <v>179</v>
      </c>
      <c r="K187" s="5">
        <f>100 / 86400</f>
        <v>1.1574074074074073E-3</v>
      </c>
      <c r="L187" s="5">
        <f>40 / 86400</f>
        <v>4.6296296296296298E-4</v>
      </c>
    </row>
    <row r="188" spans="1:12" x14ac:dyDescent="0.25">
      <c r="A188" s="3">
        <v>45716.014537037037</v>
      </c>
      <c r="B188" t="s">
        <v>96</v>
      </c>
      <c r="C188" s="3">
        <v>45716.014768518522</v>
      </c>
      <c r="D188" t="s">
        <v>96</v>
      </c>
      <c r="E188" s="4">
        <v>0.21152445542812348</v>
      </c>
      <c r="F188" s="4">
        <v>351342.05928059935</v>
      </c>
      <c r="G188" s="4">
        <v>351342.27080505481</v>
      </c>
      <c r="H188" s="5">
        <f t="shared" si="0"/>
        <v>0</v>
      </c>
      <c r="I188" t="s">
        <v>165</v>
      </c>
      <c r="J188" t="s">
        <v>180</v>
      </c>
      <c r="K188" s="5">
        <f>20 / 86400</f>
        <v>2.3148148148148149E-4</v>
      </c>
      <c r="L188" s="5">
        <f>20 / 86400</f>
        <v>2.3148148148148149E-4</v>
      </c>
    </row>
    <row r="189" spans="1:12" x14ac:dyDescent="0.25">
      <c r="A189" s="3">
        <v>45716.014999999999</v>
      </c>
      <c r="B189" t="s">
        <v>96</v>
      </c>
      <c r="C189" s="3">
        <v>45716.015694444446</v>
      </c>
      <c r="D189" t="s">
        <v>96</v>
      </c>
      <c r="E189" s="4">
        <v>0.79148807501792906</v>
      </c>
      <c r="F189" s="4">
        <v>351342.45794668852</v>
      </c>
      <c r="G189" s="4">
        <v>351343.24943476357</v>
      </c>
      <c r="H189" s="5">
        <f t="shared" si="0"/>
        <v>0</v>
      </c>
      <c r="I189" t="s">
        <v>178</v>
      </c>
      <c r="J189" t="s">
        <v>181</v>
      </c>
      <c r="K189" s="5">
        <f>60 / 86400</f>
        <v>6.9444444444444447E-4</v>
      </c>
      <c r="L189" s="5">
        <f>4 / 86400</f>
        <v>4.6296296296296294E-5</v>
      </c>
    </row>
    <row r="190" spans="1:12" x14ac:dyDescent="0.25">
      <c r="A190" s="3">
        <v>45716.015740740739</v>
      </c>
      <c r="B190" t="s">
        <v>96</v>
      </c>
      <c r="C190" s="3">
        <v>45716.016250000001</v>
      </c>
      <c r="D190" t="s">
        <v>96</v>
      </c>
      <c r="E190" s="4">
        <v>0.62013131707906721</v>
      </c>
      <c r="F190" s="4">
        <v>351343.2544961794</v>
      </c>
      <c r="G190" s="4">
        <v>351343.87462749647</v>
      </c>
      <c r="H190" s="5">
        <f t="shared" si="0"/>
        <v>0</v>
      </c>
      <c r="I190" t="s">
        <v>155</v>
      </c>
      <c r="J190" t="s">
        <v>160</v>
      </c>
      <c r="K190" s="5">
        <f>44 / 86400</f>
        <v>5.0925925925925921E-4</v>
      </c>
      <c r="L190" s="5">
        <f>20 / 86400</f>
        <v>2.3148148148148149E-4</v>
      </c>
    </row>
    <row r="191" spans="1:12" x14ac:dyDescent="0.25">
      <c r="A191" s="3">
        <v>45716.016481481478</v>
      </c>
      <c r="B191" t="s">
        <v>96</v>
      </c>
      <c r="C191" s="3">
        <v>45716.017175925925</v>
      </c>
      <c r="D191" t="s">
        <v>96</v>
      </c>
      <c r="E191" s="4">
        <v>0.57058896106481549</v>
      </c>
      <c r="F191" s="4">
        <v>351344.08911140787</v>
      </c>
      <c r="G191" s="4">
        <v>351344.65970036894</v>
      </c>
      <c r="H191" s="5">
        <f t="shared" si="0"/>
        <v>0</v>
      </c>
      <c r="I191" t="s">
        <v>70</v>
      </c>
      <c r="J191" t="s">
        <v>182</v>
      </c>
      <c r="K191" s="5">
        <f>60 / 86400</f>
        <v>6.9444444444444447E-4</v>
      </c>
      <c r="L191" s="5">
        <f>20 / 86400</f>
        <v>2.3148148148148149E-4</v>
      </c>
    </row>
    <row r="192" spans="1:12" x14ac:dyDescent="0.25">
      <c r="A192" s="3">
        <v>45716.017407407402</v>
      </c>
      <c r="B192" t="s">
        <v>96</v>
      </c>
      <c r="C192" s="3">
        <v>45716.018333333333</v>
      </c>
      <c r="D192" t="s">
        <v>96</v>
      </c>
      <c r="E192" s="4">
        <v>0.74202293264865871</v>
      </c>
      <c r="F192" s="4">
        <v>351344.87964002049</v>
      </c>
      <c r="G192" s="4">
        <v>351345.62166295311</v>
      </c>
      <c r="H192" s="5">
        <f t="shared" si="0"/>
        <v>0</v>
      </c>
      <c r="I192" t="s">
        <v>104</v>
      </c>
      <c r="J192" t="s">
        <v>179</v>
      </c>
      <c r="K192" s="5">
        <f>80 / 86400</f>
        <v>9.2592592592592596E-4</v>
      </c>
      <c r="L192" s="5">
        <f>31 / 86400</f>
        <v>3.5879629629629629E-4</v>
      </c>
    </row>
    <row r="193" spans="1:12" x14ac:dyDescent="0.25">
      <c r="A193" s="3">
        <v>45716.018692129626</v>
      </c>
      <c r="B193" t="s">
        <v>96</v>
      </c>
      <c r="C193" s="3">
        <v>45716.019652777773</v>
      </c>
      <c r="D193" t="s">
        <v>96</v>
      </c>
      <c r="E193" s="4">
        <v>3.2151829004287723E-2</v>
      </c>
      <c r="F193" s="4">
        <v>351345.6293383055</v>
      </c>
      <c r="G193" s="4">
        <v>351345.66149013449</v>
      </c>
      <c r="H193" s="5">
        <f t="shared" si="0"/>
        <v>0</v>
      </c>
      <c r="I193" t="s">
        <v>132</v>
      </c>
      <c r="J193" t="s">
        <v>59</v>
      </c>
      <c r="K193" s="5">
        <f>83 / 86400</f>
        <v>9.6064814814814819E-4</v>
      </c>
      <c r="L193" s="5">
        <f>266 / 86400</f>
        <v>3.0787037037037037E-3</v>
      </c>
    </row>
    <row r="194" spans="1:12" x14ac:dyDescent="0.25">
      <c r="A194" s="3">
        <v>45716.022731481484</v>
      </c>
      <c r="B194" t="s">
        <v>96</v>
      </c>
      <c r="C194" s="3">
        <v>45716.022962962961</v>
      </c>
      <c r="D194" t="s">
        <v>96</v>
      </c>
      <c r="E194" s="4">
        <v>4.0677135586738586E-3</v>
      </c>
      <c r="F194" s="4">
        <v>351345.69711260829</v>
      </c>
      <c r="G194" s="4">
        <v>351345.70118032186</v>
      </c>
      <c r="H194" s="5">
        <f t="shared" si="0"/>
        <v>0</v>
      </c>
      <c r="I194" t="s">
        <v>25</v>
      </c>
      <c r="J194" t="s">
        <v>59</v>
      </c>
      <c r="K194" s="5">
        <f>20 / 86400</f>
        <v>2.3148148148148149E-4</v>
      </c>
      <c r="L194" s="5">
        <f>40 / 86400</f>
        <v>4.6296296296296298E-4</v>
      </c>
    </row>
    <row r="195" spans="1:12" x14ac:dyDescent="0.25">
      <c r="A195" s="3">
        <v>45716.02342592593</v>
      </c>
      <c r="B195" t="s">
        <v>96</v>
      </c>
      <c r="C195" s="3">
        <v>45716.024641203709</v>
      </c>
      <c r="D195" t="s">
        <v>96</v>
      </c>
      <c r="E195" s="4">
        <v>0.9622556064724922</v>
      </c>
      <c r="F195" s="4">
        <v>351345.70462812181</v>
      </c>
      <c r="G195" s="4">
        <v>351346.66688372829</v>
      </c>
      <c r="H195" s="5">
        <f t="shared" si="0"/>
        <v>0</v>
      </c>
      <c r="I195" t="s">
        <v>110</v>
      </c>
      <c r="J195" t="s">
        <v>179</v>
      </c>
      <c r="K195" s="5">
        <f>105 / 86400</f>
        <v>1.2152777777777778E-3</v>
      </c>
      <c r="L195" s="5">
        <f>8 / 86400</f>
        <v>9.2592592592592588E-5</v>
      </c>
    </row>
    <row r="196" spans="1:12" x14ac:dyDescent="0.25">
      <c r="A196" s="3">
        <v>45716.024733796294</v>
      </c>
      <c r="B196" t="s">
        <v>96</v>
      </c>
      <c r="C196" s="3">
        <v>45716.025659722218</v>
      </c>
      <c r="D196" t="s">
        <v>99</v>
      </c>
      <c r="E196" s="4">
        <v>0.78800129944086073</v>
      </c>
      <c r="F196" s="4">
        <v>351346.67006630742</v>
      </c>
      <c r="G196" s="4">
        <v>351347.45806760684</v>
      </c>
      <c r="H196" s="5">
        <f t="shared" si="0"/>
        <v>0</v>
      </c>
      <c r="I196" t="s">
        <v>104</v>
      </c>
      <c r="J196" t="s">
        <v>97</v>
      </c>
      <c r="K196" s="5">
        <f>80 / 86400</f>
        <v>9.2592592592592596E-4</v>
      </c>
      <c r="L196" s="5">
        <f>20 / 86400</f>
        <v>2.3148148148148149E-4</v>
      </c>
    </row>
    <row r="197" spans="1:12" x14ac:dyDescent="0.25">
      <c r="A197" s="3">
        <v>45716.025891203702</v>
      </c>
      <c r="B197" t="s">
        <v>99</v>
      </c>
      <c r="C197" s="3">
        <v>45716.026585648149</v>
      </c>
      <c r="D197" t="s">
        <v>99</v>
      </c>
      <c r="E197" s="4">
        <v>0.66328094822168349</v>
      </c>
      <c r="F197" s="4">
        <v>351347.52004277718</v>
      </c>
      <c r="G197" s="4">
        <v>351348.18332372542</v>
      </c>
      <c r="H197" s="5">
        <f t="shared" si="0"/>
        <v>0</v>
      </c>
      <c r="I197" t="s">
        <v>160</v>
      </c>
      <c r="J197" t="s">
        <v>183</v>
      </c>
      <c r="K197" s="5">
        <f>60 / 86400</f>
        <v>6.9444444444444447E-4</v>
      </c>
      <c r="L197" s="5">
        <f>20 / 86400</f>
        <v>2.3148148148148149E-4</v>
      </c>
    </row>
    <row r="198" spans="1:12" x14ac:dyDescent="0.25">
      <c r="A198" s="3">
        <v>45716.026817129634</v>
      </c>
      <c r="B198" t="s">
        <v>99</v>
      </c>
      <c r="C198" s="3">
        <v>45716.027974537035</v>
      </c>
      <c r="D198" t="s">
        <v>184</v>
      </c>
      <c r="E198" s="4">
        <v>0.75362815552949902</v>
      </c>
      <c r="F198" s="4">
        <v>351348.33865210257</v>
      </c>
      <c r="G198" s="4">
        <v>351349.09228025813</v>
      </c>
      <c r="H198" s="5">
        <f t="shared" si="0"/>
        <v>0</v>
      </c>
      <c r="I198" t="s">
        <v>185</v>
      </c>
      <c r="J198" t="s">
        <v>140</v>
      </c>
      <c r="K198" s="5">
        <f>100 / 86400</f>
        <v>1.1574074074074073E-3</v>
      </c>
      <c r="L198" s="5">
        <f>20 / 86400</f>
        <v>2.3148148148148149E-4</v>
      </c>
    </row>
    <row r="199" spans="1:12" x14ac:dyDescent="0.25">
      <c r="A199" s="3">
        <v>45716.02820601852</v>
      </c>
      <c r="B199" t="s">
        <v>186</v>
      </c>
      <c r="C199" s="3">
        <v>45716.029143518521</v>
      </c>
      <c r="D199" t="s">
        <v>187</v>
      </c>
      <c r="E199" s="4">
        <v>0.51557360041141509</v>
      </c>
      <c r="F199" s="4">
        <v>351349.1637912658</v>
      </c>
      <c r="G199" s="4">
        <v>351349.67936486617</v>
      </c>
      <c r="H199" s="5">
        <f t="shared" si="0"/>
        <v>0</v>
      </c>
      <c r="I199" t="s">
        <v>181</v>
      </c>
      <c r="J199" t="s">
        <v>153</v>
      </c>
      <c r="K199" s="5">
        <f>81 / 86400</f>
        <v>9.3749999999999997E-4</v>
      </c>
      <c r="L199" s="5">
        <f>30 / 86400</f>
        <v>3.4722222222222224E-4</v>
      </c>
    </row>
    <row r="200" spans="1:12" x14ac:dyDescent="0.25">
      <c r="A200" s="3">
        <v>45716.029490740737</v>
      </c>
      <c r="B200" t="s">
        <v>188</v>
      </c>
      <c r="C200" s="3">
        <v>45716.031712962962</v>
      </c>
      <c r="D200" t="s">
        <v>189</v>
      </c>
      <c r="E200" s="4">
        <v>1.0054687415957451</v>
      </c>
      <c r="F200" s="4">
        <v>351349.69567669049</v>
      </c>
      <c r="G200" s="4">
        <v>351350.70114543213</v>
      </c>
      <c r="H200" s="5">
        <f t="shared" si="0"/>
        <v>0</v>
      </c>
      <c r="I200" t="s">
        <v>182</v>
      </c>
      <c r="J200" t="s">
        <v>85</v>
      </c>
      <c r="K200" s="5">
        <f>192 / 86400</f>
        <v>2.2222222222222222E-3</v>
      </c>
      <c r="L200" s="5">
        <f>45 / 86400</f>
        <v>5.2083333333333333E-4</v>
      </c>
    </row>
    <row r="201" spans="1:12" x14ac:dyDescent="0.25">
      <c r="A201" s="3">
        <v>45716.032233796301</v>
      </c>
      <c r="B201" t="s">
        <v>189</v>
      </c>
      <c r="C201" s="3">
        <v>45716.033622685187</v>
      </c>
      <c r="D201" t="s">
        <v>80</v>
      </c>
      <c r="E201" s="4">
        <v>0.93364105319976809</v>
      </c>
      <c r="F201" s="4">
        <v>351350.71437765338</v>
      </c>
      <c r="G201" s="4">
        <v>351351.64801870653</v>
      </c>
      <c r="H201" s="5">
        <f t="shared" si="0"/>
        <v>0</v>
      </c>
      <c r="I201" t="s">
        <v>171</v>
      </c>
      <c r="J201" t="s">
        <v>145</v>
      </c>
      <c r="K201" s="5">
        <f>120 / 86400</f>
        <v>1.3888888888888889E-3</v>
      </c>
      <c r="L201" s="5">
        <f>4 / 86400</f>
        <v>4.6296296296296294E-5</v>
      </c>
    </row>
    <row r="202" spans="1:12" x14ac:dyDescent="0.25">
      <c r="A202" s="3">
        <v>45716.033668981487</v>
      </c>
      <c r="B202" t="s">
        <v>80</v>
      </c>
      <c r="C202" s="3">
        <v>45716.034131944441</v>
      </c>
      <c r="D202" t="s">
        <v>80</v>
      </c>
      <c r="E202" s="4">
        <v>0.23225291562080383</v>
      </c>
      <c r="F202" s="4">
        <v>351351.65112940071</v>
      </c>
      <c r="G202" s="4">
        <v>351351.88338231633</v>
      </c>
      <c r="H202" s="5">
        <f t="shared" si="0"/>
        <v>0</v>
      </c>
      <c r="I202" t="s">
        <v>137</v>
      </c>
      <c r="J202" t="s">
        <v>190</v>
      </c>
      <c r="K202" s="5">
        <f>40 / 86400</f>
        <v>4.6296296296296298E-4</v>
      </c>
      <c r="L202" s="5">
        <f>3 / 86400</f>
        <v>3.4722222222222222E-5</v>
      </c>
    </row>
    <row r="203" spans="1:12" x14ac:dyDescent="0.25">
      <c r="A203" s="3">
        <v>45716.034166666665</v>
      </c>
      <c r="B203" t="s">
        <v>80</v>
      </c>
      <c r="C203" s="3">
        <v>45716.034398148149</v>
      </c>
      <c r="D203" t="s">
        <v>80</v>
      </c>
      <c r="E203" s="4">
        <v>1.5378342390060425E-2</v>
      </c>
      <c r="F203" s="4">
        <v>351351.88608046836</v>
      </c>
      <c r="G203" s="4">
        <v>351351.90145881072</v>
      </c>
      <c r="H203" s="5">
        <f t="shared" si="0"/>
        <v>0</v>
      </c>
      <c r="I203" t="s">
        <v>25</v>
      </c>
      <c r="J203" t="s">
        <v>33</v>
      </c>
      <c r="K203" s="5">
        <f>20 / 86400</f>
        <v>2.3148148148148149E-4</v>
      </c>
      <c r="L203" s="5">
        <f>40 / 86400</f>
        <v>4.6296296296296298E-4</v>
      </c>
    </row>
    <row r="204" spans="1:12" x14ac:dyDescent="0.25">
      <c r="A204" s="3">
        <v>45716.034861111111</v>
      </c>
      <c r="B204" t="s">
        <v>80</v>
      </c>
      <c r="C204" s="3">
        <v>45716.035787037035</v>
      </c>
      <c r="D204" t="s">
        <v>69</v>
      </c>
      <c r="E204" s="4">
        <v>0.90002575862407685</v>
      </c>
      <c r="F204" s="4">
        <v>351351.96430112666</v>
      </c>
      <c r="G204" s="4">
        <v>351352.86432688526</v>
      </c>
      <c r="H204" s="5">
        <f t="shared" si="0"/>
        <v>0</v>
      </c>
      <c r="I204" t="s">
        <v>70</v>
      </c>
      <c r="J204" t="s">
        <v>167</v>
      </c>
      <c r="K204" s="5">
        <f>80 / 86400</f>
        <v>9.2592592592592596E-4</v>
      </c>
      <c r="L204" s="5">
        <f>3 / 86400</f>
        <v>3.4722222222222222E-5</v>
      </c>
    </row>
    <row r="205" spans="1:12" x14ac:dyDescent="0.25">
      <c r="A205" s="3">
        <v>45716.035821759258</v>
      </c>
      <c r="B205" t="s">
        <v>69</v>
      </c>
      <c r="C205" s="3">
        <v>45716.036516203705</v>
      </c>
      <c r="D205" t="s">
        <v>191</v>
      </c>
      <c r="E205" s="4">
        <v>0.22425151807069779</v>
      </c>
      <c r="F205" s="4">
        <v>351352.86600051314</v>
      </c>
      <c r="G205" s="4">
        <v>351353.09025203122</v>
      </c>
      <c r="H205" s="5">
        <f t="shared" si="0"/>
        <v>0</v>
      </c>
      <c r="I205" t="s">
        <v>108</v>
      </c>
      <c r="J205" t="s">
        <v>64</v>
      </c>
      <c r="K205" s="5">
        <f>60 / 86400</f>
        <v>6.9444444444444447E-4</v>
      </c>
      <c r="L205" s="5">
        <f>80 / 86400</f>
        <v>9.2592592592592596E-4</v>
      </c>
    </row>
    <row r="206" spans="1:12" x14ac:dyDescent="0.25">
      <c r="A206" s="3">
        <v>45716.037442129629</v>
      </c>
      <c r="B206" t="s">
        <v>191</v>
      </c>
      <c r="C206" s="3">
        <v>45716.039756944447</v>
      </c>
      <c r="D206" t="s">
        <v>192</v>
      </c>
      <c r="E206" s="4">
        <v>1.3738819770216941</v>
      </c>
      <c r="F206" s="4">
        <v>351353.11302511301</v>
      </c>
      <c r="G206" s="4">
        <v>351354.48690709</v>
      </c>
      <c r="H206" s="5">
        <f t="shared" si="0"/>
        <v>0</v>
      </c>
      <c r="I206" t="s">
        <v>171</v>
      </c>
      <c r="J206" t="s">
        <v>32</v>
      </c>
      <c r="K206" s="5">
        <f>200 / 86400</f>
        <v>2.3148148148148147E-3</v>
      </c>
      <c r="L206" s="5">
        <f>20 / 86400</f>
        <v>2.3148148148148149E-4</v>
      </c>
    </row>
    <row r="207" spans="1:12" x14ac:dyDescent="0.25">
      <c r="A207" s="3">
        <v>45716.039988425924</v>
      </c>
      <c r="B207" t="s">
        <v>192</v>
      </c>
      <c r="C207" s="3">
        <v>45716.042581018519</v>
      </c>
      <c r="D207" t="s">
        <v>193</v>
      </c>
      <c r="E207" s="4">
        <v>1.786434348165989</v>
      </c>
      <c r="F207" s="4">
        <v>351354.4907580408</v>
      </c>
      <c r="G207" s="4">
        <v>351356.27719238895</v>
      </c>
      <c r="H207" s="5">
        <f t="shared" si="0"/>
        <v>0</v>
      </c>
      <c r="I207" t="s">
        <v>70</v>
      </c>
      <c r="J207" t="s">
        <v>142</v>
      </c>
      <c r="K207" s="5">
        <f>224 / 86400</f>
        <v>2.5925925925925925E-3</v>
      </c>
      <c r="L207" s="5">
        <f>20 / 86400</f>
        <v>2.3148148148148149E-4</v>
      </c>
    </row>
    <row r="208" spans="1:12" x14ac:dyDescent="0.25">
      <c r="A208" s="3">
        <v>45716.042812500003</v>
      </c>
      <c r="B208" t="s">
        <v>194</v>
      </c>
      <c r="C208" s="3">
        <v>45716.04550925926</v>
      </c>
      <c r="D208" t="s">
        <v>195</v>
      </c>
      <c r="E208" s="4">
        <v>1.3520563047528267</v>
      </c>
      <c r="F208" s="4">
        <v>351356.42456930474</v>
      </c>
      <c r="G208" s="4">
        <v>351357.77662560949</v>
      </c>
      <c r="H208" s="5">
        <f t="shared" si="0"/>
        <v>0</v>
      </c>
      <c r="I208" t="s">
        <v>110</v>
      </c>
      <c r="J208" t="s">
        <v>190</v>
      </c>
      <c r="K208" s="5">
        <f>233 / 86400</f>
        <v>2.6967592592592594E-3</v>
      </c>
      <c r="L208" s="5">
        <f>20 / 86400</f>
        <v>2.3148148148148149E-4</v>
      </c>
    </row>
    <row r="209" spans="1:12" x14ac:dyDescent="0.25">
      <c r="A209" s="3">
        <v>45716.045740740738</v>
      </c>
      <c r="B209" t="s">
        <v>195</v>
      </c>
      <c r="C209" s="3">
        <v>45716.056261574078</v>
      </c>
      <c r="D209" t="s">
        <v>163</v>
      </c>
      <c r="E209" s="4">
        <v>8.0950479255914694</v>
      </c>
      <c r="F209" s="4">
        <v>351357.77757309598</v>
      </c>
      <c r="G209" s="4">
        <v>351365.87262102158</v>
      </c>
      <c r="H209" s="5">
        <f t="shared" si="0"/>
        <v>0</v>
      </c>
      <c r="I209" t="s">
        <v>87</v>
      </c>
      <c r="J209" t="s">
        <v>164</v>
      </c>
      <c r="K209" s="5">
        <f>909 / 86400</f>
        <v>1.0520833333333333E-2</v>
      </c>
      <c r="L209" s="5">
        <f>35 / 86400</f>
        <v>4.0509259259259258E-4</v>
      </c>
    </row>
    <row r="210" spans="1:12" x14ac:dyDescent="0.25">
      <c r="A210" s="3">
        <v>45716.056666666671</v>
      </c>
      <c r="B210" t="s">
        <v>196</v>
      </c>
      <c r="C210" s="3">
        <v>45716.057592592595</v>
      </c>
      <c r="D210" t="s">
        <v>197</v>
      </c>
      <c r="E210" s="4">
        <v>0.48929419136047364</v>
      </c>
      <c r="F210" s="4">
        <v>351365.87823065557</v>
      </c>
      <c r="G210" s="4">
        <v>351366.36752484692</v>
      </c>
      <c r="H210" s="5">
        <f t="shared" si="0"/>
        <v>0</v>
      </c>
      <c r="I210" t="s">
        <v>168</v>
      </c>
      <c r="J210" t="s">
        <v>130</v>
      </c>
      <c r="K210" s="5">
        <f>80 / 86400</f>
        <v>9.2592592592592596E-4</v>
      </c>
      <c r="L210" s="5">
        <f>3 / 86400</f>
        <v>3.4722222222222222E-5</v>
      </c>
    </row>
    <row r="211" spans="1:12" x14ac:dyDescent="0.25">
      <c r="A211" s="3">
        <v>45716.057627314818</v>
      </c>
      <c r="B211" t="s">
        <v>198</v>
      </c>
      <c r="C211" s="3">
        <v>45716.065381944441</v>
      </c>
      <c r="D211" t="s">
        <v>199</v>
      </c>
      <c r="E211" s="4">
        <v>7.7094490061998364</v>
      </c>
      <c r="F211" s="4">
        <v>351366.37068832741</v>
      </c>
      <c r="G211" s="4">
        <v>351374.08013733366</v>
      </c>
      <c r="H211" s="5">
        <f t="shared" si="0"/>
        <v>0</v>
      </c>
      <c r="I211" t="s">
        <v>27</v>
      </c>
      <c r="J211" t="s">
        <v>167</v>
      </c>
      <c r="K211" s="5">
        <f>670 / 86400</f>
        <v>7.7546296296296295E-3</v>
      </c>
      <c r="L211" s="5">
        <f>451 / 86400</f>
        <v>5.2199074074074075E-3</v>
      </c>
    </row>
    <row r="212" spans="1:12" x14ac:dyDescent="0.25">
      <c r="A212" s="3">
        <v>45716.070601851854</v>
      </c>
      <c r="B212" t="s">
        <v>199</v>
      </c>
      <c r="C212" s="3">
        <v>45716.073449074072</v>
      </c>
      <c r="D212" t="s">
        <v>26</v>
      </c>
      <c r="E212" s="4">
        <v>0.90192845219373707</v>
      </c>
      <c r="F212" s="4">
        <v>351374.08780033607</v>
      </c>
      <c r="G212" s="4">
        <v>351374.98972878826</v>
      </c>
      <c r="H212" s="5">
        <f t="shared" si="0"/>
        <v>0</v>
      </c>
      <c r="I212" t="s">
        <v>130</v>
      </c>
      <c r="J212" t="s">
        <v>64</v>
      </c>
      <c r="K212" s="5">
        <f>246 / 86400</f>
        <v>2.8472222222222223E-3</v>
      </c>
      <c r="L212" s="5">
        <f>11965 / 86400</f>
        <v>0.13848379629629629</v>
      </c>
    </row>
    <row r="213" spans="1:12" x14ac:dyDescent="0.25">
      <c r="A213" s="3">
        <v>45716.21193287037</v>
      </c>
      <c r="B213" t="s">
        <v>26</v>
      </c>
      <c r="C213" s="3">
        <v>45716.21466435185</v>
      </c>
      <c r="D213" t="s">
        <v>199</v>
      </c>
      <c r="E213" s="4">
        <v>0.91432407426834106</v>
      </c>
      <c r="F213" s="4">
        <v>351375.0083824374</v>
      </c>
      <c r="G213" s="4">
        <v>351375.92270651169</v>
      </c>
      <c r="H213" s="5">
        <f t="shared" si="0"/>
        <v>0</v>
      </c>
      <c r="I213" t="s">
        <v>149</v>
      </c>
      <c r="J213" t="s">
        <v>72</v>
      </c>
      <c r="K213" s="5">
        <f>236 / 86400</f>
        <v>2.7314814814814814E-3</v>
      </c>
      <c r="L213" s="5">
        <f>103 / 86400</f>
        <v>1.1921296296296296E-3</v>
      </c>
    </row>
    <row r="214" spans="1:12" x14ac:dyDescent="0.25">
      <c r="A214" s="3">
        <v>45716.215856481482</v>
      </c>
      <c r="B214" t="s">
        <v>199</v>
      </c>
      <c r="C214" s="3">
        <v>45716.222222222219</v>
      </c>
      <c r="D214" t="s">
        <v>38</v>
      </c>
      <c r="E214" s="4">
        <v>5.5795020757317539</v>
      </c>
      <c r="F214" s="4">
        <v>351375.93413273647</v>
      </c>
      <c r="G214" s="4">
        <v>351381.5136348122</v>
      </c>
      <c r="H214" s="5">
        <f t="shared" si="0"/>
        <v>0</v>
      </c>
      <c r="I214" t="s">
        <v>104</v>
      </c>
      <c r="J214" t="s">
        <v>200</v>
      </c>
      <c r="K214" s="5">
        <f>550 / 86400</f>
        <v>6.3657407407407404E-3</v>
      </c>
      <c r="L214" s="5">
        <f>20 / 86400</f>
        <v>2.3148148148148149E-4</v>
      </c>
    </row>
    <row r="215" spans="1:12" x14ac:dyDescent="0.25">
      <c r="A215" s="3">
        <v>45716.222453703704</v>
      </c>
      <c r="B215" t="s">
        <v>169</v>
      </c>
      <c r="C215" s="3">
        <v>45716.2268287037</v>
      </c>
      <c r="D215" t="s">
        <v>201</v>
      </c>
      <c r="E215" s="4">
        <v>3.9969048188328742</v>
      </c>
      <c r="F215" s="4">
        <v>351381.64072227955</v>
      </c>
      <c r="G215" s="4">
        <v>351385.63762709836</v>
      </c>
      <c r="H215" s="5">
        <f t="shared" si="0"/>
        <v>0</v>
      </c>
      <c r="I215" t="s">
        <v>202</v>
      </c>
      <c r="J215" t="s">
        <v>180</v>
      </c>
      <c r="K215" s="5">
        <f>378 / 86400</f>
        <v>4.3750000000000004E-3</v>
      </c>
      <c r="L215" s="5">
        <f>275 / 86400</f>
        <v>3.1828703703703702E-3</v>
      </c>
    </row>
    <row r="216" spans="1:12" x14ac:dyDescent="0.25">
      <c r="A216" s="3">
        <v>45716.230011574073</v>
      </c>
      <c r="B216" t="s">
        <v>203</v>
      </c>
      <c r="C216" s="3">
        <v>45716.230532407411</v>
      </c>
      <c r="D216" t="s">
        <v>203</v>
      </c>
      <c r="E216" s="4">
        <v>0.16920581430196763</v>
      </c>
      <c r="F216" s="4">
        <v>351385.65887000662</v>
      </c>
      <c r="G216" s="4">
        <v>351385.82807582093</v>
      </c>
      <c r="H216" s="5">
        <f t="shared" si="0"/>
        <v>0</v>
      </c>
      <c r="I216" t="s">
        <v>85</v>
      </c>
      <c r="J216" t="s">
        <v>72</v>
      </c>
      <c r="K216" s="5">
        <f>45 / 86400</f>
        <v>5.2083333333333333E-4</v>
      </c>
      <c r="L216" s="5">
        <f>20 / 86400</f>
        <v>2.3148148148148149E-4</v>
      </c>
    </row>
    <row r="217" spans="1:12" x14ac:dyDescent="0.25">
      <c r="A217" s="3">
        <v>45716.230763888889</v>
      </c>
      <c r="B217" t="s">
        <v>203</v>
      </c>
      <c r="C217" s="3">
        <v>45716.232337962967</v>
      </c>
      <c r="D217" t="s">
        <v>204</v>
      </c>
      <c r="E217" s="4">
        <v>1.1511552172899246</v>
      </c>
      <c r="F217" s="4">
        <v>351385.94096441334</v>
      </c>
      <c r="G217" s="4">
        <v>351387.09211963066</v>
      </c>
      <c r="H217" s="5">
        <f t="shared" si="0"/>
        <v>0</v>
      </c>
      <c r="I217" t="s">
        <v>155</v>
      </c>
      <c r="J217" t="s">
        <v>149</v>
      </c>
      <c r="K217" s="5">
        <f>136 / 86400</f>
        <v>1.5740740740740741E-3</v>
      </c>
      <c r="L217" s="5">
        <f>80 / 86400</f>
        <v>9.2592592592592596E-4</v>
      </c>
    </row>
    <row r="218" spans="1:12" x14ac:dyDescent="0.25">
      <c r="A218" s="3">
        <v>45716.233263888891</v>
      </c>
      <c r="B218" t="s">
        <v>166</v>
      </c>
      <c r="C218" s="3">
        <v>45716.235578703709</v>
      </c>
      <c r="D218" t="s">
        <v>38</v>
      </c>
      <c r="E218" s="4">
        <v>2.5900996637344362</v>
      </c>
      <c r="F218" s="4">
        <v>351387.09974321537</v>
      </c>
      <c r="G218" s="4">
        <v>351389.68984287913</v>
      </c>
      <c r="H218" s="5">
        <f t="shared" si="0"/>
        <v>0</v>
      </c>
      <c r="I218" t="s">
        <v>70</v>
      </c>
      <c r="J218" t="s">
        <v>181</v>
      </c>
      <c r="K218" s="5">
        <f>200 / 86400</f>
        <v>2.3148148148148147E-3</v>
      </c>
      <c r="L218" s="5">
        <f>20 / 86400</f>
        <v>2.3148148148148149E-4</v>
      </c>
    </row>
    <row r="219" spans="1:12" x14ac:dyDescent="0.25">
      <c r="A219" s="3">
        <v>45716.235810185186</v>
      </c>
      <c r="B219" t="s">
        <v>169</v>
      </c>
      <c r="C219" s="3">
        <v>45716.237199074079</v>
      </c>
      <c r="D219" t="s">
        <v>172</v>
      </c>
      <c r="E219" s="4">
        <v>1.0375203615427018</v>
      </c>
      <c r="F219" s="4">
        <v>351389.86523309589</v>
      </c>
      <c r="G219" s="4">
        <v>351390.90275345743</v>
      </c>
      <c r="H219" s="5">
        <f t="shared" si="0"/>
        <v>0</v>
      </c>
      <c r="I219" t="s">
        <v>205</v>
      </c>
      <c r="J219" t="s">
        <v>206</v>
      </c>
      <c r="K219" s="5">
        <f>120 / 86400</f>
        <v>1.3888888888888889E-3</v>
      </c>
      <c r="L219" s="5">
        <f>60 / 86400</f>
        <v>6.9444444444444447E-4</v>
      </c>
    </row>
    <row r="220" spans="1:12" x14ac:dyDescent="0.25">
      <c r="A220" s="3">
        <v>45716.237893518519</v>
      </c>
      <c r="B220" t="s">
        <v>172</v>
      </c>
      <c r="C220" s="3">
        <v>45716.238125000003</v>
      </c>
      <c r="D220" t="s">
        <v>172</v>
      </c>
      <c r="E220" s="4">
        <v>8.7990775108337405E-3</v>
      </c>
      <c r="F220" s="4">
        <v>351390.92290564306</v>
      </c>
      <c r="G220" s="4">
        <v>351390.93170472054</v>
      </c>
      <c r="H220" s="5">
        <f t="shared" si="0"/>
        <v>0</v>
      </c>
      <c r="I220" t="s">
        <v>137</v>
      </c>
      <c r="J220" t="s">
        <v>156</v>
      </c>
      <c r="K220" s="5">
        <f>20 / 86400</f>
        <v>2.3148148148148149E-4</v>
      </c>
      <c r="L220" s="5">
        <f>120 / 86400</f>
        <v>1.3888888888888889E-3</v>
      </c>
    </row>
    <row r="221" spans="1:12" x14ac:dyDescent="0.25">
      <c r="A221" s="3">
        <v>45716.23951388889</v>
      </c>
      <c r="B221" t="s">
        <v>172</v>
      </c>
      <c r="C221" s="3">
        <v>45716.239976851852</v>
      </c>
      <c r="D221" t="s">
        <v>170</v>
      </c>
      <c r="E221" s="4">
        <v>5.7676522850990293E-2</v>
      </c>
      <c r="F221" s="4">
        <v>351390.96520254604</v>
      </c>
      <c r="G221" s="4">
        <v>351391.02287906891</v>
      </c>
      <c r="H221" s="5">
        <f t="shared" si="0"/>
        <v>0</v>
      </c>
      <c r="I221" t="s">
        <v>25</v>
      </c>
      <c r="J221" t="s">
        <v>25</v>
      </c>
      <c r="K221" s="5">
        <f>40 / 86400</f>
        <v>4.6296296296296298E-4</v>
      </c>
      <c r="L221" s="5">
        <f>40 / 86400</f>
        <v>4.6296296296296298E-4</v>
      </c>
    </row>
    <row r="222" spans="1:12" x14ac:dyDescent="0.25">
      <c r="A222" s="3">
        <v>45716.240439814814</v>
      </c>
      <c r="B222" t="s">
        <v>170</v>
      </c>
      <c r="C222" s="3">
        <v>45716.24113425926</v>
      </c>
      <c r="D222" t="s">
        <v>172</v>
      </c>
      <c r="E222" s="4">
        <v>0.41645359480381011</v>
      </c>
      <c r="F222" s="4">
        <v>351391.03972578153</v>
      </c>
      <c r="G222" s="4">
        <v>351391.45617937634</v>
      </c>
      <c r="H222" s="5">
        <f t="shared" si="0"/>
        <v>0</v>
      </c>
      <c r="I222" t="s">
        <v>207</v>
      </c>
      <c r="J222" t="s">
        <v>32</v>
      </c>
      <c r="K222" s="5">
        <f>60 / 86400</f>
        <v>6.9444444444444447E-4</v>
      </c>
      <c r="L222" s="5">
        <f>20 / 86400</f>
        <v>2.3148148148148149E-4</v>
      </c>
    </row>
    <row r="223" spans="1:12" x14ac:dyDescent="0.25">
      <c r="A223" s="3">
        <v>45716.241365740745</v>
      </c>
      <c r="B223" t="s">
        <v>172</v>
      </c>
      <c r="C223" s="3">
        <v>45716.242060185185</v>
      </c>
      <c r="D223" t="s">
        <v>172</v>
      </c>
      <c r="E223" s="4">
        <v>0.51059220099449154</v>
      </c>
      <c r="F223" s="4">
        <v>351391.63355382357</v>
      </c>
      <c r="G223" s="4">
        <v>351392.1441460246</v>
      </c>
      <c r="H223" s="5">
        <f t="shared" si="0"/>
        <v>0</v>
      </c>
      <c r="I223" t="s">
        <v>168</v>
      </c>
      <c r="J223" t="s">
        <v>206</v>
      </c>
      <c r="K223" s="5">
        <f>60 / 86400</f>
        <v>6.9444444444444447E-4</v>
      </c>
      <c r="L223" s="5">
        <f>20 / 86400</f>
        <v>2.3148148148148149E-4</v>
      </c>
    </row>
    <row r="224" spans="1:12" x14ac:dyDescent="0.25">
      <c r="A224" s="3">
        <v>45716.242291666669</v>
      </c>
      <c r="B224" t="s">
        <v>172</v>
      </c>
      <c r="C224" s="3">
        <v>45716.244374999995</v>
      </c>
      <c r="D224" t="s">
        <v>177</v>
      </c>
      <c r="E224" s="4">
        <v>2.0419745902419089</v>
      </c>
      <c r="F224" s="4">
        <v>351392.20846748637</v>
      </c>
      <c r="G224" s="4">
        <v>351394.25044207665</v>
      </c>
      <c r="H224" s="5">
        <f t="shared" si="0"/>
        <v>0</v>
      </c>
      <c r="I224" t="s">
        <v>81</v>
      </c>
      <c r="J224" t="s">
        <v>167</v>
      </c>
      <c r="K224" s="5">
        <f>180 / 86400</f>
        <v>2.0833333333333333E-3</v>
      </c>
      <c r="L224" s="5">
        <f>20 / 86400</f>
        <v>2.3148148148148149E-4</v>
      </c>
    </row>
    <row r="225" spans="1:12" x14ac:dyDescent="0.25">
      <c r="A225" s="3">
        <v>45716.244606481487</v>
      </c>
      <c r="B225" t="s">
        <v>177</v>
      </c>
      <c r="C225" s="3">
        <v>45716.245162037041</v>
      </c>
      <c r="D225" t="s">
        <v>177</v>
      </c>
      <c r="E225" s="4">
        <v>9.7310555398464199E-2</v>
      </c>
      <c r="F225" s="4">
        <v>351394.25166350033</v>
      </c>
      <c r="G225" s="4">
        <v>351394.34897405573</v>
      </c>
      <c r="H225" s="5">
        <f t="shared" si="0"/>
        <v>0</v>
      </c>
      <c r="I225" t="s">
        <v>151</v>
      </c>
      <c r="J225" t="s">
        <v>57</v>
      </c>
      <c r="K225" s="5">
        <f>48 / 86400</f>
        <v>5.5555555555555556E-4</v>
      </c>
      <c r="L225" s="5">
        <f>40 / 86400</f>
        <v>4.6296296296296298E-4</v>
      </c>
    </row>
    <row r="226" spans="1:12" x14ac:dyDescent="0.25">
      <c r="A226" s="3">
        <v>45716.245624999996</v>
      </c>
      <c r="B226" t="s">
        <v>177</v>
      </c>
      <c r="C226" s="3">
        <v>45716.246805555551</v>
      </c>
      <c r="D226" t="s">
        <v>177</v>
      </c>
      <c r="E226" s="4">
        <v>0.86974154490232469</v>
      </c>
      <c r="F226" s="4">
        <v>351394.39260718896</v>
      </c>
      <c r="G226" s="4">
        <v>351395.26234873384</v>
      </c>
      <c r="H226" s="5">
        <f t="shared" si="0"/>
        <v>0</v>
      </c>
      <c r="I226" t="s">
        <v>70</v>
      </c>
      <c r="J226" t="s">
        <v>206</v>
      </c>
      <c r="K226" s="5">
        <f>102 / 86400</f>
        <v>1.1805555555555556E-3</v>
      </c>
      <c r="L226" s="5">
        <f>20 / 86400</f>
        <v>2.3148148148148149E-4</v>
      </c>
    </row>
    <row r="227" spans="1:12" x14ac:dyDescent="0.25">
      <c r="A227" s="3">
        <v>45716.247037037036</v>
      </c>
      <c r="B227" t="s">
        <v>177</v>
      </c>
      <c r="C227" s="3">
        <v>45716.24726851852</v>
      </c>
      <c r="D227" t="s">
        <v>177</v>
      </c>
      <c r="E227" s="4">
        <v>6.5441852807998661E-3</v>
      </c>
      <c r="F227" s="4">
        <v>351395.2857230482</v>
      </c>
      <c r="G227" s="4">
        <v>351395.29226723348</v>
      </c>
      <c r="H227" s="5">
        <f t="shared" si="0"/>
        <v>0</v>
      </c>
      <c r="I227" t="s">
        <v>151</v>
      </c>
      <c r="J227" t="s">
        <v>59</v>
      </c>
      <c r="K227" s="5">
        <f>20 / 86400</f>
        <v>2.3148148148148149E-4</v>
      </c>
      <c r="L227" s="5">
        <f>20 / 86400</f>
        <v>2.3148148148148149E-4</v>
      </c>
    </row>
    <row r="228" spans="1:12" x14ac:dyDescent="0.25">
      <c r="A228" s="3">
        <v>45716.247499999998</v>
      </c>
      <c r="B228" t="s">
        <v>177</v>
      </c>
      <c r="C228" s="3">
        <v>45716.250277777777</v>
      </c>
      <c r="D228" t="s">
        <v>96</v>
      </c>
      <c r="E228" s="4">
        <v>2.5556685346364976</v>
      </c>
      <c r="F228" s="4">
        <v>351395.32850200986</v>
      </c>
      <c r="G228" s="4">
        <v>351397.88417054451</v>
      </c>
      <c r="H228" s="5">
        <f t="shared" si="0"/>
        <v>0</v>
      </c>
      <c r="I228" t="s">
        <v>75</v>
      </c>
      <c r="J228" t="s">
        <v>180</v>
      </c>
      <c r="K228" s="5">
        <f>240 / 86400</f>
        <v>2.7777777777777779E-3</v>
      </c>
      <c r="L228" s="5">
        <f>40 / 86400</f>
        <v>4.6296296296296298E-4</v>
      </c>
    </row>
    <row r="229" spans="1:12" x14ac:dyDescent="0.25">
      <c r="A229" s="3">
        <v>45716.250740740739</v>
      </c>
      <c r="B229" t="s">
        <v>96</v>
      </c>
      <c r="C229" s="3">
        <v>45716.252824074079</v>
      </c>
      <c r="D229" t="s">
        <v>208</v>
      </c>
      <c r="E229" s="4">
        <v>0.97914037656784059</v>
      </c>
      <c r="F229" s="4">
        <v>351397.89823042369</v>
      </c>
      <c r="G229" s="4">
        <v>351398.87737080024</v>
      </c>
      <c r="H229" s="5">
        <f t="shared" si="0"/>
        <v>0</v>
      </c>
      <c r="I229" t="s">
        <v>173</v>
      </c>
      <c r="J229" t="s">
        <v>108</v>
      </c>
      <c r="K229" s="5">
        <f>180 / 86400</f>
        <v>2.0833333333333333E-3</v>
      </c>
      <c r="L229" s="5">
        <f>45 / 86400</f>
        <v>5.2083333333333333E-4</v>
      </c>
    </row>
    <row r="230" spans="1:12" x14ac:dyDescent="0.25">
      <c r="A230" s="3">
        <v>45716.253344907411</v>
      </c>
      <c r="B230" t="s">
        <v>208</v>
      </c>
      <c r="C230" s="3">
        <v>45716.255428240736</v>
      </c>
      <c r="D230" t="s">
        <v>99</v>
      </c>
      <c r="E230" s="4">
        <v>1.8168347411155701</v>
      </c>
      <c r="F230" s="4">
        <v>351398.88313601573</v>
      </c>
      <c r="G230" s="4">
        <v>351400.69997075683</v>
      </c>
      <c r="H230" s="5">
        <f t="shared" si="0"/>
        <v>0</v>
      </c>
      <c r="I230" t="s">
        <v>70</v>
      </c>
      <c r="J230" t="s">
        <v>207</v>
      </c>
      <c r="K230" s="5">
        <f>180 / 86400</f>
        <v>2.0833333333333333E-3</v>
      </c>
      <c r="L230" s="5">
        <f>20 / 86400</f>
        <v>2.3148148148148149E-4</v>
      </c>
    </row>
    <row r="231" spans="1:12" x14ac:dyDescent="0.25">
      <c r="A231" s="3">
        <v>45716.255659722221</v>
      </c>
      <c r="B231" t="s">
        <v>209</v>
      </c>
      <c r="C231" s="3">
        <v>45716.256585648152</v>
      </c>
      <c r="D231" t="s">
        <v>99</v>
      </c>
      <c r="E231" s="4">
        <v>0.50474075663089757</v>
      </c>
      <c r="F231" s="4">
        <v>351400.80731401104</v>
      </c>
      <c r="G231" s="4">
        <v>351401.31205476768</v>
      </c>
      <c r="H231" s="5">
        <f t="shared" si="0"/>
        <v>0</v>
      </c>
      <c r="I231" t="s">
        <v>202</v>
      </c>
      <c r="J231" t="s">
        <v>153</v>
      </c>
      <c r="K231" s="5">
        <f>80 / 86400</f>
        <v>9.2592592592592596E-4</v>
      </c>
      <c r="L231" s="5">
        <f>20 / 86400</f>
        <v>2.3148148148148149E-4</v>
      </c>
    </row>
    <row r="232" spans="1:12" x14ac:dyDescent="0.25">
      <c r="A232" s="3">
        <v>45716.25681712963</v>
      </c>
      <c r="B232" t="s">
        <v>99</v>
      </c>
      <c r="C232" s="3">
        <v>45716.257743055554</v>
      </c>
      <c r="D232" t="s">
        <v>99</v>
      </c>
      <c r="E232" s="4">
        <v>0.19416209471225737</v>
      </c>
      <c r="F232" s="4">
        <v>351401.38954836677</v>
      </c>
      <c r="G232" s="4">
        <v>351401.58371046151</v>
      </c>
      <c r="H232" s="5">
        <f t="shared" si="0"/>
        <v>0</v>
      </c>
      <c r="I232" t="s">
        <v>32</v>
      </c>
      <c r="J232" t="s">
        <v>132</v>
      </c>
      <c r="K232" s="5">
        <f>80 / 86400</f>
        <v>9.2592592592592596E-4</v>
      </c>
      <c r="L232" s="5">
        <f>20 / 86400</f>
        <v>2.3148148148148149E-4</v>
      </c>
    </row>
    <row r="233" spans="1:12" x14ac:dyDescent="0.25">
      <c r="A233" s="3">
        <v>45716.257974537039</v>
      </c>
      <c r="B233" t="s">
        <v>99</v>
      </c>
      <c r="C233" s="3">
        <v>45716.258206018523</v>
      </c>
      <c r="D233" t="s">
        <v>99</v>
      </c>
      <c r="E233" s="4">
        <v>1.653594172000885E-2</v>
      </c>
      <c r="F233" s="4">
        <v>351401.60609479272</v>
      </c>
      <c r="G233" s="4">
        <v>351401.62263073446</v>
      </c>
      <c r="H233" s="5">
        <f t="shared" si="0"/>
        <v>0</v>
      </c>
      <c r="I233" t="s">
        <v>132</v>
      </c>
      <c r="J233" t="s">
        <v>33</v>
      </c>
      <c r="K233" s="5">
        <f>20 / 86400</f>
        <v>2.3148148148148149E-4</v>
      </c>
      <c r="L233" s="5">
        <f>8 / 86400</f>
        <v>9.2592592592592588E-5</v>
      </c>
    </row>
    <row r="234" spans="1:12" x14ac:dyDescent="0.25">
      <c r="A234" s="3">
        <v>45716.258298611108</v>
      </c>
      <c r="B234" t="s">
        <v>99</v>
      </c>
      <c r="C234" s="3">
        <v>45716.260844907403</v>
      </c>
      <c r="D234" t="s">
        <v>210</v>
      </c>
      <c r="E234" s="4">
        <v>1.2916523459553719</v>
      </c>
      <c r="F234" s="4">
        <v>351401.62627560348</v>
      </c>
      <c r="G234" s="4">
        <v>351402.91792794946</v>
      </c>
      <c r="H234" s="5">
        <f t="shared" si="0"/>
        <v>0</v>
      </c>
      <c r="I234" t="s">
        <v>211</v>
      </c>
      <c r="J234" t="s">
        <v>190</v>
      </c>
      <c r="K234" s="5">
        <f>220 / 86400</f>
        <v>2.5462962962962965E-3</v>
      </c>
      <c r="L234" s="5">
        <f>41 / 86400</f>
        <v>4.7453703703703704E-4</v>
      </c>
    </row>
    <row r="235" spans="1:12" x14ac:dyDescent="0.25">
      <c r="A235" s="3">
        <v>45716.261319444442</v>
      </c>
      <c r="B235" t="s">
        <v>212</v>
      </c>
      <c r="C235" s="3">
        <v>45716.261550925927</v>
      </c>
      <c r="D235" t="s">
        <v>212</v>
      </c>
      <c r="E235" s="4">
        <v>5.4565443396568302E-3</v>
      </c>
      <c r="F235" s="4">
        <v>351402.97845473466</v>
      </c>
      <c r="G235" s="4">
        <v>351402.98391127901</v>
      </c>
      <c r="H235" s="5">
        <f t="shared" si="0"/>
        <v>0</v>
      </c>
      <c r="I235" t="s">
        <v>147</v>
      </c>
      <c r="J235" t="s">
        <v>59</v>
      </c>
      <c r="K235" s="5">
        <f>20 / 86400</f>
        <v>2.3148148148148149E-4</v>
      </c>
      <c r="L235" s="5">
        <f>11 / 86400</f>
        <v>1.273148148148148E-4</v>
      </c>
    </row>
    <row r="236" spans="1:12" x14ac:dyDescent="0.25">
      <c r="A236" s="3">
        <v>45716.261678240742</v>
      </c>
      <c r="B236" t="s">
        <v>197</v>
      </c>
      <c r="C236" s="3">
        <v>45716.262141203704</v>
      </c>
      <c r="D236" t="s">
        <v>213</v>
      </c>
      <c r="E236" s="4">
        <v>5.8006104946136477E-2</v>
      </c>
      <c r="F236" s="4">
        <v>351402.99478990474</v>
      </c>
      <c r="G236" s="4">
        <v>351403.05279600964</v>
      </c>
      <c r="H236" s="5">
        <f t="shared" si="0"/>
        <v>0</v>
      </c>
      <c r="I236" t="s">
        <v>214</v>
      </c>
      <c r="J236" t="s">
        <v>25</v>
      </c>
      <c r="K236" s="5">
        <f>40 / 86400</f>
        <v>4.6296296296296298E-4</v>
      </c>
      <c r="L236" s="5">
        <f>40 / 86400</f>
        <v>4.6296296296296298E-4</v>
      </c>
    </row>
    <row r="237" spans="1:12" x14ac:dyDescent="0.25">
      <c r="A237" s="3">
        <v>45716.262604166666</v>
      </c>
      <c r="B237" t="s">
        <v>213</v>
      </c>
      <c r="C237" s="3">
        <v>45716.262835648144</v>
      </c>
      <c r="D237" t="s">
        <v>213</v>
      </c>
      <c r="E237" s="4">
        <v>1.1251370608806609E-2</v>
      </c>
      <c r="F237" s="4">
        <v>351403.0644757566</v>
      </c>
      <c r="G237" s="4">
        <v>351403.0757271272</v>
      </c>
      <c r="H237" s="5">
        <f t="shared" si="0"/>
        <v>0</v>
      </c>
      <c r="I237" t="s">
        <v>156</v>
      </c>
      <c r="J237" t="s">
        <v>156</v>
      </c>
      <c r="K237" s="5">
        <f>20 / 86400</f>
        <v>2.3148148148148149E-4</v>
      </c>
      <c r="L237" s="5">
        <f>80 / 86400</f>
        <v>9.2592592592592596E-4</v>
      </c>
    </row>
    <row r="238" spans="1:12" x14ac:dyDescent="0.25">
      <c r="A238" s="3">
        <v>45716.263761574075</v>
      </c>
      <c r="B238" t="s">
        <v>213</v>
      </c>
      <c r="C238" s="3">
        <v>45716.264224537037</v>
      </c>
      <c r="D238" t="s">
        <v>186</v>
      </c>
      <c r="E238" s="4">
        <v>6.1449352622032168E-2</v>
      </c>
      <c r="F238" s="4">
        <v>351403.1086316224</v>
      </c>
      <c r="G238" s="4">
        <v>351403.17008097499</v>
      </c>
      <c r="H238" s="5">
        <f t="shared" si="0"/>
        <v>0</v>
      </c>
      <c r="I238" t="s">
        <v>33</v>
      </c>
      <c r="J238" t="s">
        <v>137</v>
      </c>
      <c r="K238" s="5">
        <f>40 / 86400</f>
        <v>4.6296296296296298E-4</v>
      </c>
      <c r="L238" s="5">
        <f>50 / 86400</f>
        <v>5.7870370370370367E-4</v>
      </c>
    </row>
    <row r="239" spans="1:12" x14ac:dyDescent="0.25">
      <c r="A239" s="3">
        <v>45716.264803240745</v>
      </c>
      <c r="B239" t="s">
        <v>186</v>
      </c>
      <c r="C239" s="3">
        <v>45716.2652662037</v>
      </c>
      <c r="D239" t="s">
        <v>184</v>
      </c>
      <c r="E239" s="4">
        <v>6.2114942193031313E-2</v>
      </c>
      <c r="F239" s="4">
        <v>351403.18048158847</v>
      </c>
      <c r="G239" s="4">
        <v>351403.2425965307</v>
      </c>
      <c r="H239" s="5">
        <f t="shared" si="0"/>
        <v>0</v>
      </c>
      <c r="I239" t="s">
        <v>57</v>
      </c>
      <c r="J239" t="s">
        <v>137</v>
      </c>
      <c r="K239" s="5">
        <f>40 / 86400</f>
        <v>4.6296296296296298E-4</v>
      </c>
      <c r="L239" s="5">
        <f>20 / 86400</f>
        <v>2.3148148148148149E-4</v>
      </c>
    </row>
    <row r="240" spans="1:12" x14ac:dyDescent="0.25">
      <c r="A240" s="3">
        <v>45716.265497685185</v>
      </c>
      <c r="B240" t="s">
        <v>186</v>
      </c>
      <c r="C240" s="3">
        <v>45716.266469907408</v>
      </c>
      <c r="D240" t="s">
        <v>184</v>
      </c>
      <c r="E240" s="4">
        <v>8.1948499917984002E-2</v>
      </c>
      <c r="F240" s="4">
        <v>351403.24506243312</v>
      </c>
      <c r="G240" s="4">
        <v>351403.32701093302</v>
      </c>
      <c r="H240" s="5">
        <f t="shared" si="0"/>
        <v>0</v>
      </c>
      <c r="I240" t="s">
        <v>214</v>
      </c>
      <c r="J240" t="s">
        <v>147</v>
      </c>
      <c r="K240" s="5">
        <f>84 / 86400</f>
        <v>9.7222222222222219E-4</v>
      </c>
      <c r="L240" s="5">
        <f>60 / 86400</f>
        <v>6.9444444444444447E-4</v>
      </c>
    </row>
    <row r="241" spans="1:12" x14ac:dyDescent="0.25">
      <c r="A241" s="3">
        <v>45716.267164351855</v>
      </c>
      <c r="B241" t="s">
        <v>215</v>
      </c>
      <c r="C241" s="3">
        <v>45716.26762731481</v>
      </c>
      <c r="D241" t="s">
        <v>186</v>
      </c>
      <c r="E241" s="4">
        <v>7.8145623385906221E-2</v>
      </c>
      <c r="F241" s="4">
        <v>351403.35109673475</v>
      </c>
      <c r="G241" s="4">
        <v>351403.42924235814</v>
      </c>
      <c r="H241" s="5">
        <f t="shared" si="0"/>
        <v>0</v>
      </c>
      <c r="I241" t="s">
        <v>25</v>
      </c>
      <c r="J241" t="s">
        <v>57</v>
      </c>
      <c r="K241" s="5">
        <f>40 / 86400</f>
        <v>4.6296296296296298E-4</v>
      </c>
      <c r="L241" s="5">
        <f>47 / 86400</f>
        <v>5.4398148148148144E-4</v>
      </c>
    </row>
    <row r="242" spans="1:12" x14ac:dyDescent="0.25">
      <c r="A242" s="3">
        <v>45716.268171296295</v>
      </c>
      <c r="B242" t="s">
        <v>186</v>
      </c>
      <c r="C242" s="3">
        <v>45716.268726851849</v>
      </c>
      <c r="D242" t="s">
        <v>163</v>
      </c>
      <c r="E242" s="4">
        <v>7.9229006409645086E-2</v>
      </c>
      <c r="F242" s="4">
        <v>351403.43739113654</v>
      </c>
      <c r="G242" s="4">
        <v>351403.51662014291</v>
      </c>
      <c r="H242" s="5">
        <f t="shared" si="0"/>
        <v>0</v>
      </c>
      <c r="I242" t="s">
        <v>28</v>
      </c>
      <c r="J242" t="s">
        <v>137</v>
      </c>
      <c r="K242" s="5">
        <f>48 / 86400</f>
        <v>5.5555555555555556E-4</v>
      </c>
      <c r="L242" s="5">
        <f>20 / 86400</f>
        <v>2.3148148148148149E-4</v>
      </c>
    </row>
    <row r="243" spans="1:12" x14ac:dyDescent="0.25">
      <c r="A243" s="3">
        <v>45716.268958333334</v>
      </c>
      <c r="B243" t="s">
        <v>186</v>
      </c>
      <c r="C243" s="3">
        <v>45716.270416666666</v>
      </c>
      <c r="D243" t="s">
        <v>216</v>
      </c>
      <c r="E243" s="4">
        <v>1.0610998149514199</v>
      </c>
      <c r="F243" s="4">
        <v>351403.65111344861</v>
      </c>
      <c r="G243" s="4">
        <v>351404.71221326356</v>
      </c>
      <c r="H243" s="5">
        <f t="shared" ref="H243:H306" si="1">0 / 86400</f>
        <v>0</v>
      </c>
      <c r="I243" t="s">
        <v>75</v>
      </c>
      <c r="J243" t="s">
        <v>149</v>
      </c>
      <c r="K243" s="5">
        <f>126 / 86400</f>
        <v>1.4583333333333334E-3</v>
      </c>
      <c r="L243" s="5">
        <f>18 / 86400</f>
        <v>2.0833333333333335E-4</v>
      </c>
    </row>
    <row r="244" spans="1:12" x14ac:dyDescent="0.25">
      <c r="A244" s="3">
        <v>45716.270625000005</v>
      </c>
      <c r="B244" t="s">
        <v>216</v>
      </c>
      <c r="C244" s="3">
        <v>45716.271319444444</v>
      </c>
      <c r="D244" t="s">
        <v>186</v>
      </c>
      <c r="E244" s="4">
        <v>6.2397608160972597E-2</v>
      </c>
      <c r="F244" s="4">
        <v>351404.71570992836</v>
      </c>
      <c r="G244" s="4">
        <v>351404.77810753655</v>
      </c>
      <c r="H244" s="5">
        <f t="shared" si="1"/>
        <v>0</v>
      </c>
      <c r="I244" t="s">
        <v>137</v>
      </c>
      <c r="J244" t="s">
        <v>147</v>
      </c>
      <c r="K244" s="5">
        <f>60 / 86400</f>
        <v>6.9444444444444447E-4</v>
      </c>
      <c r="L244" s="5">
        <f>40 / 86400</f>
        <v>4.6296296296296298E-4</v>
      </c>
    </row>
    <row r="245" spans="1:12" x14ac:dyDescent="0.25">
      <c r="A245" s="3">
        <v>45716.271782407406</v>
      </c>
      <c r="B245" t="s">
        <v>186</v>
      </c>
      <c r="C245" s="3">
        <v>45716.273634259254</v>
      </c>
      <c r="D245" t="s">
        <v>217</v>
      </c>
      <c r="E245" s="4">
        <v>1.0444265701770783</v>
      </c>
      <c r="F245" s="4">
        <v>351404.78818961896</v>
      </c>
      <c r="G245" s="4">
        <v>351405.83261618915</v>
      </c>
      <c r="H245" s="5">
        <f t="shared" si="1"/>
        <v>0</v>
      </c>
      <c r="I245" t="s">
        <v>185</v>
      </c>
      <c r="J245" t="s">
        <v>153</v>
      </c>
      <c r="K245" s="5">
        <f>160 / 86400</f>
        <v>1.8518518518518519E-3</v>
      </c>
      <c r="L245" s="5">
        <f>20 / 86400</f>
        <v>2.3148148148148149E-4</v>
      </c>
    </row>
    <row r="246" spans="1:12" x14ac:dyDescent="0.25">
      <c r="A246" s="3">
        <v>45716.273865740739</v>
      </c>
      <c r="B246" t="s">
        <v>218</v>
      </c>
      <c r="C246" s="3">
        <v>45716.274560185186</v>
      </c>
      <c r="D246" t="s">
        <v>218</v>
      </c>
      <c r="E246" s="4">
        <v>0.52518626993894579</v>
      </c>
      <c r="F246" s="4">
        <v>351405.96192279668</v>
      </c>
      <c r="G246" s="4">
        <v>351406.48710906663</v>
      </c>
      <c r="H246" s="5">
        <f t="shared" si="1"/>
        <v>0</v>
      </c>
      <c r="I246" t="s">
        <v>219</v>
      </c>
      <c r="J246" t="s">
        <v>164</v>
      </c>
      <c r="K246" s="5">
        <f>60 / 86400</f>
        <v>6.9444444444444447E-4</v>
      </c>
      <c r="L246" s="5">
        <f>32 / 86400</f>
        <v>3.7037037037037035E-4</v>
      </c>
    </row>
    <row r="247" spans="1:12" x14ac:dyDescent="0.25">
      <c r="A247" s="3">
        <v>45716.274930555555</v>
      </c>
      <c r="B247" t="s">
        <v>218</v>
      </c>
      <c r="C247" s="3">
        <v>45716.27516203704</v>
      </c>
      <c r="D247" t="s">
        <v>218</v>
      </c>
      <c r="E247" s="4">
        <v>5.8246216177940367E-3</v>
      </c>
      <c r="F247" s="4">
        <v>351406.49067029613</v>
      </c>
      <c r="G247" s="4">
        <v>351406.49649491772</v>
      </c>
      <c r="H247" s="5">
        <f t="shared" si="1"/>
        <v>0</v>
      </c>
      <c r="I247" t="s">
        <v>25</v>
      </c>
      <c r="J247" t="s">
        <v>59</v>
      </c>
      <c r="K247" s="5">
        <f>20 / 86400</f>
        <v>2.3148148148148149E-4</v>
      </c>
      <c r="L247" s="5">
        <f>35 / 86400</f>
        <v>4.0509259259259258E-4</v>
      </c>
    </row>
    <row r="248" spans="1:12" x14ac:dyDescent="0.25">
      <c r="A248" s="3">
        <v>45716.275567129633</v>
      </c>
      <c r="B248" t="s">
        <v>218</v>
      </c>
      <c r="C248" s="3">
        <v>45716.277418981481</v>
      </c>
      <c r="D248" t="s">
        <v>220</v>
      </c>
      <c r="E248" s="4">
        <v>0.86205152523517614</v>
      </c>
      <c r="F248" s="4">
        <v>351406.50243114796</v>
      </c>
      <c r="G248" s="4">
        <v>351407.36448267323</v>
      </c>
      <c r="H248" s="5">
        <f t="shared" si="1"/>
        <v>0</v>
      </c>
      <c r="I248" t="s">
        <v>180</v>
      </c>
      <c r="J248" t="s">
        <v>85</v>
      </c>
      <c r="K248" s="5">
        <f>160 / 86400</f>
        <v>1.8518518518518519E-3</v>
      </c>
      <c r="L248" s="5">
        <f>20 / 86400</f>
        <v>2.3148148148148149E-4</v>
      </c>
    </row>
    <row r="249" spans="1:12" x14ac:dyDescent="0.25">
      <c r="A249" s="3">
        <v>45716.277650462958</v>
      </c>
      <c r="B249" t="s">
        <v>220</v>
      </c>
      <c r="C249" s="3">
        <v>45716.277881944443</v>
      </c>
      <c r="D249" t="s">
        <v>220</v>
      </c>
      <c r="E249" s="4">
        <v>6.431583040952682E-2</v>
      </c>
      <c r="F249" s="4">
        <v>351407.51577489893</v>
      </c>
      <c r="G249" s="4">
        <v>351407.58009072935</v>
      </c>
      <c r="H249" s="5">
        <f t="shared" si="1"/>
        <v>0</v>
      </c>
      <c r="I249" t="s">
        <v>165</v>
      </c>
      <c r="J249" t="s">
        <v>28</v>
      </c>
      <c r="K249" s="5">
        <f>20 / 86400</f>
        <v>2.3148148148148149E-4</v>
      </c>
      <c r="L249" s="5">
        <f>20 / 86400</f>
        <v>2.3148148148148149E-4</v>
      </c>
    </row>
    <row r="250" spans="1:12" x14ac:dyDescent="0.25">
      <c r="A250" s="3">
        <v>45716.278113425928</v>
      </c>
      <c r="B250" t="s">
        <v>221</v>
      </c>
      <c r="C250" s="3">
        <v>45716.280104166668</v>
      </c>
      <c r="D250" t="s">
        <v>68</v>
      </c>
      <c r="E250" s="4">
        <v>0.82708281481266022</v>
      </c>
      <c r="F250" s="4">
        <v>351407.67114602338</v>
      </c>
      <c r="G250" s="4">
        <v>351408.4982288382</v>
      </c>
      <c r="H250" s="5">
        <f t="shared" si="1"/>
        <v>0</v>
      </c>
      <c r="I250" t="s">
        <v>142</v>
      </c>
      <c r="J250" t="s">
        <v>62</v>
      </c>
      <c r="K250" s="5">
        <f>172 / 86400</f>
        <v>1.9907407407407408E-3</v>
      </c>
      <c r="L250" s="5">
        <f>20 / 86400</f>
        <v>2.3148148148148149E-4</v>
      </c>
    </row>
    <row r="251" spans="1:12" x14ac:dyDescent="0.25">
      <c r="A251" s="3">
        <v>45716.280335648145</v>
      </c>
      <c r="B251" t="s">
        <v>222</v>
      </c>
      <c r="C251" s="3">
        <v>45716.283460648148</v>
      </c>
      <c r="D251" t="s">
        <v>68</v>
      </c>
      <c r="E251" s="4">
        <v>1.2802836812734604</v>
      </c>
      <c r="F251" s="4">
        <v>351408.62513237359</v>
      </c>
      <c r="G251" s="4">
        <v>351409.90541605483</v>
      </c>
      <c r="H251" s="5">
        <f t="shared" si="1"/>
        <v>0</v>
      </c>
      <c r="I251" t="s">
        <v>219</v>
      </c>
      <c r="J251" t="s">
        <v>62</v>
      </c>
      <c r="K251" s="5">
        <f>270 / 86400</f>
        <v>3.1250000000000002E-3</v>
      </c>
      <c r="L251" s="5">
        <f>20 / 86400</f>
        <v>2.3148148148148149E-4</v>
      </c>
    </row>
    <row r="252" spans="1:12" x14ac:dyDescent="0.25">
      <c r="A252" s="3">
        <v>45716.283692129626</v>
      </c>
      <c r="B252" t="s">
        <v>223</v>
      </c>
      <c r="C252" s="3">
        <v>45716.284618055557</v>
      </c>
      <c r="D252" t="s">
        <v>224</v>
      </c>
      <c r="E252" s="4">
        <v>8.2751222610473629E-2</v>
      </c>
      <c r="F252" s="4">
        <v>351409.95088401303</v>
      </c>
      <c r="G252" s="4">
        <v>351410.03363523568</v>
      </c>
      <c r="H252" s="5">
        <f t="shared" si="1"/>
        <v>0</v>
      </c>
      <c r="I252" t="s">
        <v>132</v>
      </c>
      <c r="J252" t="s">
        <v>147</v>
      </c>
      <c r="K252" s="5">
        <f>80 / 86400</f>
        <v>9.2592592592592596E-4</v>
      </c>
      <c r="L252" s="5">
        <f>80 / 86400</f>
        <v>9.2592592592592596E-4</v>
      </c>
    </row>
    <row r="253" spans="1:12" x14ac:dyDescent="0.25">
      <c r="A253" s="3">
        <v>45716.285543981481</v>
      </c>
      <c r="B253" t="s">
        <v>225</v>
      </c>
      <c r="C253" s="3">
        <v>45716.289282407408</v>
      </c>
      <c r="D253" t="s">
        <v>226</v>
      </c>
      <c r="E253" s="4">
        <v>1.9786491384506226</v>
      </c>
      <c r="F253" s="4">
        <v>351410.11009278137</v>
      </c>
      <c r="G253" s="4">
        <v>351412.08874191984</v>
      </c>
      <c r="H253" s="5">
        <f t="shared" si="1"/>
        <v>0</v>
      </c>
      <c r="I253" t="s">
        <v>227</v>
      </c>
      <c r="J253" t="s">
        <v>130</v>
      </c>
      <c r="K253" s="5">
        <f>323 / 86400</f>
        <v>3.7384259259259259E-3</v>
      </c>
      <c r="L253" s="5">
        <f>20 / 86400</f>
        <v>2.3148148148148149E-4</v>
      </c>
    </row>
    <row r="254" spans="1:12" x14ac:dyDescent="0.25">
      <c r="A254" s="3">
        <v>45716.289513888885</v>
      </c>
      <c r="B254" t="s">
        <v>226</v>
      </c>
      <c r="C254" s="3">
        <v>45716.290300925924</v>
      </c>
      <c r="D254" t="s">
        <v>228</v>
      </c>
      <c r="E254" s="4">
        <v>0.30916744226217269</v>
      </c>
      <c r="F254" s="4">
        <v>351412.18547559273</v>
      </c>
      <c r="G254" s="4">
        <v>351412.494643035</v>
      </c>
      <c r="H254" s="5">
        <f t="shared" si="1"/>
        <v>0</v>
      </c>
      <c r="I254" t="s">
        <v>142</v>
      </c>
      <c r="J254" t="s">
        <v>31</v>
      </c>
      <c r="K254" s="5">
        <f>68 / 86400</f>
        <v>7.8703703703703705E-4</v>
      </c>
      <c r="L254" s="5">
        <f>60 / 86400</f>
        <v>6.9444444444444447E-4</v>
      </c>
    </row>
    <row r="255" spans="1:12" x14ac:dyDescent="0.25">
      <c r="A255" s="3">
        <v>45716.290995370371</v>
      </c>
      <c r="B255" t="s">
        <v>228</v>
      </c>
      <c r="C255" s="3">
        <v>45716.296898148154</v>
      </c>
      <c r="D255" t="s">
        <v>229</v>
      </c>
      <c r="E255" s="4">
        <v>2.2134128250479699</v>
      </c>
      <c r="F255" s="4">
        <v>351412.51165565691</v>
      </c>
      <c r="G255" s="4">
        <v>351414.72506848199</v>
      </c>
      <c r="H255" s="5">
        <f t="shared" si="1"/>
        <v>0</v>
      </c>
      <c r="I255" t="s">
        <v>180</v>
      </c>
      <c r="J255" t="s">
        <v>31</v>
      </c>
      <c r="K255" s="5">
        <f>510 / 86400</f>
        <v>5.9027777777777776E-3</v>
      </c>
      <c r="L255" s="5">
        <f>78 / 86400</f>
        <v>9.0277777777777774E-4</v>
      </c>
    </row>
    <row r="256" spans="1:12" x14ac:dyDescent="0.25">
      <c r="A256" s="3">
        <v>45716.297800925924</v>
      </c>
      <c r="B256" t="s">
        <v>230</v>
      </c>
      <c r="C256" s="3">
        <v>45716.298391203702</v>
      </c>
      <c r="D256" t="s">
        <v>230</v>
      </c>
      <c r="E256" s="4">
        <v>7.4173363864421846E-2</v>
      </c>
      <c r="F256" s="4">
        <v>351414.74072799284</v>
      </c>
      <c r="G256" s="4">
        <v>351414.8149013567</v>
      </c>
      <c r="H256" s="5">
        <f t="shared" si="1"/>
        <v>0</v>
      </c>
      <c r="I256" t="s">
        <v>151</v>
      </c>
      <c r="J256" t="s">
        <v>25</v>
      </c>
      <c r="K256" s="5">
        <f>51 / 86400</f>
        <v>5.9027777777777778E-4</v>
      </c>
      <c r="L256" s="5">
        <f>58 / 86400</f>
        <v>6.7129629629629625E-4</v>
      </c>
    </row>
    <row r="257" spans="1:12" x14ac:dyDescent="0.25">
      <c r="A257" s="3">
        <v>45716.299062499995</v>
      </c>
      <c r="B257" t="s">
        <v>230</v>
      </c>
      <c r="C257" s="3">
        <v>45716.299525462964</v>
      </c>
      <c r="D257" t="s">
        <v>115</v>
      </c>
      <c r="E257" s="4">
        <v>8.1817805230617519E-2</v>
      </c>
      <c r="F257" s="4">
        <v>351414.8281765664</v>
      </c>
      <c r="G257" s="4">
        <v>351414.90999437164</v>
      </c>
      <c r="H257" s="5">
        <f t="shared" si="1"/>
        <v>0</v>
      </c>
      <c r="I257" t="s">
        <v>100</v>
      </c>
      <c r="J257" t="s">
        <v>57</v>
      </c>
      <c r="K257" s="5">
        <f>40 / 86400</f>
        <v>4.6296296296296298E-4</v>
      </c>
      <c r="L257" s="5">
        <f>7 / 86400</f>
        <v>8.1018518518518516E-5</v>
      </c>
    </row>
    <row r="258" spans="1:12" x14ac:dyDescent="0.25">
      <c r="A258" s="3">
        <v>45716.29960648148</v>
      </c>
      <c r="B258" t="s">
        <v>115</v>
      </c>
      <c r="C258" s="3">
        <v>45716.300347222219</v>
      </c>
      <c r="D258" t="s">
        <v>230</v>
      </c>
      <c r="E258" s="4">
        <v>0.13158364313840867</v>
      </c>
      <c r="F258" s="4">
        <v>351414.91520213441</v>
      </c>
      <c r="G258" s="4">
        <v>351415.04678577755</v>
      </c>
      <c r="H258" s="5">
        <f t="shared" si="1"/>
        <v>0</v>
      </c>
      <c r="I258" t="s">
        <v>214</v>
      </c>
      <c r="J258" t="s">
        <v>57</v>
      </c>
      <c r="K258" s="5">
        <f>64 / 86400</f>
        <v>7.407407407407407E-4</v>
      </c>
      <c r="L258" s="5">
        <f>33 / 86400</f>
        <v>3.8194444444444446E-4</v>
      </c>
    </row>
    <row r="259" spans="1:12" x14ac:dyDescent="0.25">
      <c r="A259" s="3">
        <v>45716.300729166665</v>
      </c>
      <c r="B259" t="s">
        <v>230</v>
      </c>
      <c r="C259" s="3">
        <v>45716.301192129627</v>
      </c>
      <c r="D259" t="s">
        <v>230</v>
      </c>
      <c r="E259" s="4">
        <v>4.6160326063632968E-2</v>
      </c>
      <c r="F259" s="4">
        <v>351415.07265108905</v>
      </c>
      <c r="G259" s="4">
        <v>351415.11881141516</v>
      </c>
      <c r="H259" s="5">
        <f t="shared" si="1"/>
        <v>0</v>
      </c>
      <c r="I259" t="s">
        <v>57</v>
      </c>
      <c r="J259" t="s">
        <v>147</v>
      </c>
      <c r="K259" s="5">
        <f>40 / 86400</f>
        <v>4.6296296296296298E-4</v>
      </c>
      <c r="L259" s="5">
        <f>20 / 86400</f>
        <v>2.3148148148148149E-4</v>
      </c>
    </row>
    <row r="260" spans="1:12" x14ac:dyDescent="0.25">
      <c r="A260" s="3">
        <v>45716.301423611112</v>
      </c>
      <c r="B260" t="s">
        <v>230</v>
      </c>
      <c r="C260" s="3">
        <v>45716.302268518513</v>
      </c>
      <c r="D260" t="s">
        <v>231</v>
      </c>
      <c r="E260" s="4">
        <v>8.949509847164154E-2</v>
      </c>
      <c r="F260" s="4">
        <v>351415.12399510125</v>
      </c>
      <c r="G260" s="4">
        <v>351415.21349019976</v>
      </c>
      <c r="H260" s="5">
        <f t="shared" si="1"/>
        <v>0</v>
      </c>
      <c r="I260" t="s">
        <v>57</v>
      </c>
      <c r="J260" t="s">
        <v>147</v>
      </c>
      <c r="K260" s="5">
        <f>73 / 86400</f>
        <v>8.4490740740740739E-4</v>
      </c>
      <c r="L260" s="5">
        <f>20 / 86400</f>
        <v>2.3148148148148149E-4</v>
      </c>
    </row>
    <row r="261" spans="1:12" x14ac:dyDescent="0.25">
      <c r="A261" s="3">
        <v>45716.302500000005</v>
      </c>
      <c r="B261" t="s">
        <v>231</v>
      </c>
      <c r="C261" s="3">
        <v>45716.305115740739</v>
      </c>
      <c r="D261" t="s">
        <v>232</v>
      </c>
      <c r="E261" s="4">
        <v>1.4590819473266601</v>
      </c>
      <c r="F261" s="4">
        <v>351415.24992852716</v>
      </c>
      <c r="G261" s="4">
        <v>351416.7090104745</v>
      </c>
      <c r="H261" s="5">
        <f t="shared" si="1"/>
        <v>0</v>
      </c>
      <c r="I261" t="s">
        <v>205</v>
      </c>
      <c r="J261" t="s">
        <v>153</v>
      </c>
      <c r="K261" s="5">
        <f>226 / 86400</f>
        <v>2.6157407407407405E-3</v>
      </c>
      <c r="L261" s="5">
        <f>60 / 86400</f>
        <v>6.9444444444444447E-4</v>
      </c>
    </row>
    <row r="262" spans="1:12" x14ac:dyDescent="0.25">
      <c r="A262" s="3">
        <v>45716.305810185186</v>
      </c>
      <c r="B262" t="s">
        <v>232</v>
      </c>
      <c r="C262" s="3">
        <v>45716.30604166667</v>
      </c>
      <c r="D262" t="s">
        <v>232</v>
      </c>
      <c r="E262" s="4">
        <v>6.0341166257858276E-3</v>
      </c>
      <c r="F262" s="4">
        <v>351416.73620202928</v>
      </c>
      <c r="G262" s="4">
        <v>351416.74223614589</v>
      </c>
      <c r="H262" s="5">
        <f t="shared" si="1"/>
        <v>0</v>
      </c>
      <c r="I262" t="s">
        <v>156</v>
      </c>
      <c r="J262" t="s">
        <v>59</v>
      </c>
      <c r="K262" s="5">
        <f>20 / 86400</f>
        <v>2.3148148148148149E-4</v>
      </c>
      <c r="L262" s="5">
        <f>40 / 86400</f>
        <v>4.6296296296296298E-4</v>
      </c>
    </row>
    <row r="263" spans="1:12" x14ac:dyDescent="0.25">
      <c r="A263" s="3">
        <v>45716.306504629625</v>
      </c>
      <c r="B263" t="s">
        <v>233</v>
      </c>
      <c r="C263" s="3">
        <v>45716.310474537036</v>
      </c>
      <c r="D263" t="s">
        <v>234</v>
      </c>
      <c r="E263" s="4">
        <v>2.5067187396883965</v>
      </c>
      <c r="F263" s="4">
        <v>351416.77394413191</v>
      </c>
      <c r="G263" s="4">
        <v>351419.28066287161</v>
      </c>
      <c r="H263" s="5">
        <f t="shared" si="1"/>
        <v>0</v>
      </c>
      <c r="I263" t="s">
        <v>235</v>
      </c>
      <c r="J263" t="s">
        <v>236</v>
      </c>
      <c r="K263" s="5">
        <f>343 / 86400</f>
        <v>3.9699074074074072E-3</v>
      </c>
      <c r="L263" s="5">
        <f>14 / 86400</f>
        <v>1.6203703703703703E-4</v>
      </c>
    </row>
    <row r="264" spans="1:12" x14ac:dyDescent="0.25">
      <c r="A264" s="3">
        <v>45716.310636574075</v>
      </c>
      <c r="B264" t="s">
        <v>237</v>
      </c>
      <c r="C264" s="3">
        <v>45716.313171296293</v>
      </c>
      <c r="D264" t="s">
        <v>238</v>
      </c>
      <c r="E264" s="4">
        <v>0.79962182211875921</v>
      </c>
      <c r="F264" s="4">
        <v>351419.3119224637</v>
      </c>
      <c r="G264" s="4">
        <v>351420.11154428584</v>
      </c>
      <c r="H264" s="5">
        <f t="shared" si="1"/>
        <v>0</v>
      </c>
      <c r="I264" t="s">
        <v>206</v>
      </c>
      <c r="J264" t="s">
        <v>64</v>
      </c>
      <c r="K264" s="5">
        <f>219 / 86400</f>
        <v>2.5347222222222221E-3</v>
      </c>
      <c r="L264" s="5">
        <f>40 / 86400</f>
        <v>4.6296296296296298E-4</v>
      </c>
    </row>
    <row r="265" spans="1:12" x14ac:dyDescent="0.25">
      <c r="A265" s="3">
        <v>45716.313634259262</v>
      </c>
      <c r="B265" t="s">
        <v>238</v>
      </c>
      <c r="C265" s="3">
        <v>45716.314328703702</v>
      </c>
      <c r="D265" t="s">
        <v>239</v>
      </c>
      <c r="E265" s="4">
        <v>0.27771301287412642</v>
      </c>
      <c r="F265" s="4">
        <v>351420.13572201005</v>
      </c>
      <c r="G265" s="4">
        <v>351420.41343502293</v>
      </c>
      <c r="H265" s="5">
        <f t="shared" si="1"/>
        <v>0</v>
      </c>
      <c r="I265" t="s">
        <v>149</v>
      </c>
      <c r="J265" t="s">
        <v>62</v>
      </c>
      <c r="K265" s="5">
        <f>60 / 86400</f>
        <v>6.9444444444444447E-4</v>
      </c>
      <c r="L265" s="5">
        <f>60 / 86400</f>
        <v>6.9444444444444447E-4</v>
      </c>
    </row>
    <row r="266" spans="1:12" x14ac:dyDescent="0.25">
      <c r="A266" s="3">
        <v>45716.315023148149</v>
      </c>
      <c r="B266" t="s">
        <v>240</v>
      </c>
      <c r="C266" s="3">
        <v>45716.316608796296</v>
      </c>
      <c r="D266" t="s">
        <v>241</v>
      </c>
      <c r="E266" s="4">
        <v>0.68892824888229365</v>
      </c>
      <c r="F266" s="4">
        <v>351420.48887506052</v>
      </c>
      <c r="G266" s="4">
        <v>351421.1778033094</v>
      </c>
      <c r="H266" s="5">
        <f t="shared" si="1"/>
        <v>0</v>
      </c>
      <c r="I266" t="s">
        <v>242</v>
      </c>
      <c r="J266" t="s">
        <v>20</v>
      </c>
      <c r="K266" s="5">
        <f>137 / 86400</f>
        <v>1.5856481481481481E-3</v>
      </c>
      <c r="L266" s="5">
        <f>20 / 86400</f>
        <v>2.3148148148148149E-4</v>
      </c>
    </row>
    <row r="267" spans="1:12" x14ac:dyDescent="0.25">
      <c r="A267" s="3">
        <v>45716.316840277781</v>
      </c>
      <c r="B267" t="s">
        <v>241</v>
      </c>
      <c r="C267" s="3">
        <v>45716.31753472222</v>
      </c>
      <c r="D267" t="s">
        <v>243</v>
      </c>
      <c r="E267" s="4">
        <v>6.5314263284206392E-2</v>
      </c>
      <c r="F267" s="4">
        <v>351421.18760110642</v>
      </c>
      <c r="G267" s="4">
        <v>351421.2529153697</v>
      </c>
      <c r="H267" s="5">
        <f t="shared" si="1"/>
        <v>0</v>
      </c>
      <c r="I267" t="s">
        <v>156</v>
      </c>
      <c r="J267" t="s">
        <v>147</v>
      </c>
      <c r="K267" s="5">
        <f>60 / 86400</f>
        <v>6.9444444444444447E-4</v>
      </c>
      <c r="L267" s="5">
        <f>73 / 86400</f>
        <v>8.4490740740740739E-4</v>
      </c>
    </row>
    <row r="268" spans="1:12" x14ac:dyDescent="0.25">
      <c r="A268" s="3">
        <v>45716.318379629629</v>
      </c>
      <c r="B268" t="s">
        <v>243</v>
      </c>
      <c r="C268" s="3">
        <v>45716.31930555556</v>
      </c>
      <c r="D268" t="s">
        <v>244</v>
      </c>
      <c r="E268" s="4">
        <v>0.35996814924478532</v>
      </c>
      <c r="F268" s="4">
        <v>351421.27211312583</v>
      </c>
      <c r="G268" s="4">
        <v>351421.63208127505</v>
      </c>
      <c r="H268" s="5">
        <f t="shared" si="1"/>
        <v>0</v>
      </c>
      <c r="I268" t="s">
        <v>149</v>
      </c>
      <c r="J268" t="s">
        <v>31</v>
      </c>
      <c r="K268" s="5">
        <f>80 / 86400</f>
        <v>9.2592592592592596E-4</v>
      </c>
      <c r="L268" s="5">
        <f>20 / 86400</f>
        <v>2.3148148148148149E-4</v>
      </c>
    </row>
    <row r="269" spans="1:12" x14ac:dyDescent="0.25">
      <c r="A269" s="3">
        <v>45716.319537037038</v>
      </c>
      <c r="B269" t="s">
        <v>244</v>
      </c>
      <c r="C269" s="3">
        <v>45716.321018518516</v>
      </c>
      <c r="D269" t="s">
        <v>245</v>
      </c>
      <c r="E269" s="4">
        <v>0.39874339950084686</v>
      </c>
      <c r="F269" s="4">
        <v>351421.6687884467</v>
      </c>
      <c r="G269" s="4">
        <v>351422.06753184623</v>
      </c>
      <c r="H269" s="5">
        <f t="shared" si="1"/>
        <v>0</v>
      </c>
      <c r="I269" t="s">
        <v>32</v>
      </c>
      <c r="J269" t="s">
        <v>100</v>
      </c>
      <c r="K269" s="5">
        <f>128 / 86400</f>
        <v>1.4814814814814814E-3</v>
      </c>
      <c r="L269" s="5">
        <f>40 / 86400</f>
        <v>4.6296296296296298E-4</v>
      </c>
    </row>
    <row r="270" spans="1:12" x14ac:dyDescent="0.25">
      <c r="A270" s="3">
        <v>45716.321481481486</v>
      </c>
      <c r="B270" t="s">
        <v>245</v>
      </c>
      <c r="C270" s="3">
        <v>45716.32240740741</v>
      </c>
      <c r="D270" t="s">
        <v>246</v>
      </c>
      <c r="E270" s="4">
        <v>0.32997033029794692</v>
      </c>
      <c r="F270" s="4">
        <v>351422.09528395406</v>
      </c>
      <c r="G270" s="4">
        <v>351422.4252542844</v>
      </c>
      <c r="H270" s="5">
        <f t="shared" si="1"/>
        <v>0</v>
      </c>
      <c r="I270" t="s">
        <v>20</v>
      </c>
      <c r="J270" t="s">
        <v>35</v>
      </c>
      <c r="K270" s="5">
        <f>80 / 86400</f>
        <v>9.2592592592592596E-4</v>
      </c>
      <c r="L270" s="5">
        <f>38 / 86400</f>
        <v>4.3981481481481481E-4</v>
      </c>
    </row>
    <row r="271" spans="1:12" x14ac:dyDescent="0.25">
      <c r="A271" s="3">
        <v>45716.322847222225</v>
      </c>
      <c r="B271" t="s">
        <v>247</v>
      </c>
      <c r="C271" s="3">
        <v>45716.323194444441</v>
      </c>
      <c r="D271" t="s">
        <v>248</v>
      </c>
      <c r="E271" s="4">
        <v>4.7672356128692625E-2</v>
      </c>
      <c r="F271" s="4">
        <v>351422.4457863142</v>
      </c>
      <c r="G271" s="4">
        <v>351422.49345867033</v>
      </c>
      <c r="H271" s="5">
        <f t="shared" si="1"/>
        <v>0</v>
      </c>
      <c r="I271" t="s">
        <v>28</v>
      </c>
      <c r="J271" t="s">
        <v>137</v>
      </c>
      <c r="K271" s="5">
        <f>30 / 86400</f>
        <v>3.4722222222222224E-4</v>
      </c>
      <c r="L271" s="5">
        <f>4 / 86400</f>
        <v>4.6296296296296294E-5</v>
      </c>
    </row>
    <row r="272" spans="1:12" x14ac:dyDescent="0.25">
      <c r="A272" s="3">
        <v>45716.323240740741</v>
      </c>
      <c r="B272" t="s">
        <v>248</v>
      </c>
      <c r="C272" s="3">
        <v>45716.32403935185</v>
      </c>
      <c r="D272" t="s">
        <v>150</v>
      </c>
      <c r="E272" s="4">
        <v>0.31186581867933272</v>
      </c>
      <c r="F272" s="4">
        <v>351422.49848174554</v>
      </c>
      <c r="G272" s="4">
        <v>351422.81034756423</v>
      </c>
      <c r="H272" s="5">
        <f t="shared" si="1"/>
        <v>0</v>
      </c>
      <c r="I272" t="s">
        <v>37</v>
      </c>
      <c r="J272" t="s">
        <v>31</v>
      </c>
      <c r="K272" s="5">
        <f>69 / 86400</f>
        <v>7.9861111111111116E-4</v>
      </c>
      <c r="L272" s="5">
        <f>20 / 86400</f>
        <v>2.3148148148148149E-4</v>
      </c>
    </row>
    <row r="273" spans="1:12" x14ac:dyDescent="0.25">
      <c r="A273" s="3">
        <v>45716.324270833335</v>
      </c>
      <c r="B273" t="s">
        <v>150</v>
      </c>
      <c r="C273" s="3">
        <v>45716.324502314819</v>
      </c>
      <c r="D273" t="s">
        <v>249</v>
      </c>
      <c r="E273" s="4">
        <v>3.237486928701401E-2</v>
      </c>
      <c r="F273" s="4">
        <v>351422.81631260976</v>
      </c>
      <c r="G273" s="4">
        <v>351422.8486874791</v>
      </c>
      <c r="H273" s="5">
        <f t="shared" si="1"/>
        <v>0</v>
      </c>
      <c r="I273" t="s">
        <v>147</v>
      </c>
      <c r="J273" t="s">
        <v>137</v>
      </c>
      <c r="K273" s="5">
        <f>20 / 86400</f>
        <v>2.3148148148148149E-4</v>
      </c>
      <c r="L273" s="5">
        <f>126 / 86400</f>
        <v>1.4583333333333334E-3</v>
      </c>
    </row>
    <row r="274" spans="1:12" x14ac:dyDescent="0.25">
      <c r="A274" s="3">
        <v>45716.325960648144</v>
      </c>
      <c r="B274" t="s">
        <v>249</v>
      </c>
      <c r="C274" s="3">
        <v>45716.326481481483</v>
      </c>
      <c r="D274" t="s">
        <v>250</v>
      </c>
      <c r="E274" s="4">
        <v>2.7089466929435729E-2</v>
      </c>
      <c r="F274" s="4">
        <v>351422.87620393856</v>
      </c>
      <c r="G274" s="4">
        <v>351422.90329340548</v>
      </c>
      <c r="H274" s="5">
        <f t="shared" si="1"/>
        <v>0</v>
      </c>
      <c r="I274" t="s">
        <v>72</v>
      </c>
      <c r="J274" t="s">
        <v>156</v>
      </c>
      <c r="K274" s="5">
        <f>45 / 86400</f>
        <v>5.2083333333333333E-4</v>
      </c>
      <c r="L274" s="5">
        <f>40 / 86400</f>
        <v>4.6296296296296298E-4</v>
      </c>
    </row>
    <row r="275" spans="1:12" x14ac:dyDescent="0.25">
      <c r="A275" s="3">
        <v>45716.326944444445</v>
      </c>
      <c r="B275" t="s">
        <v>250</v>
      </c>
      <c r="C275" s="3">
        <v>45716.327407407407</v>
      </c>
      <c r="D275" t="s">
        <v>251</v>
      </c>
      <c r="E275" s="4">
        <v>1.9929928898811341E-2</v>
      </c>
      <c r="F275" s="4">
        <v>351422.91542122926</v>
      </c>
      <c r="G275" s="4">
        <v>351422.93535115814</v>
      </c>
      <c r="H275" s="5">
        <f t="shared" si="1"/>
        <v>0</v>
      </c>
      <c r="I275" t="s">
        <v>156</v>
      </c>
      <c r="J275" t="s">
        <v>156</v>
      </c>
      <c r="K275" s="5">
        <f>40 / 86400</f>
        <v>4.6296296296296298E-4</v>
      </c>
      <c r="L275" s="5">
        <f>20 / 86400</f>
        <v>2.3148148148148149E-4</v>
      </c>
    </row>
    <row r="276" spans="1:12" x14ac:dyDescent="0.25">
      <c r="A276" s="3">
        <v>45716.327638888892</v>
      </c>
      <c r="B276" t="s">
        <v>249</v>
      </c>
      <c r="C276" s="3">
        <v>45716.328101851846</v>
      </c>
      <c r="D276" t="s">
        <v>252</v>
      </c>
      <c r="E276" s="4">
        <v>2.6399180471897127E-2</v>
      </c>
      <c r="F276" s="4">
        <v>351422.9496600533</v>
      </c>
      <c r="G276" s="4">
        <v>351422.97605923377</v>
      </c>
      <c r="H276" s="5">
        <f t="shared" si="1"/>
        <v>0</v>
      </c>
      <c r="I276" t="s">
        <v>147</v>
      </c>
      <c r="J276" t="s">
        <v>156</v>
      </c>
      <c r="K276" s="5">
        <f>40 / 86400</f>
        <v>4.6296296296296298E-4</v>
      </c>
      <c r="L276" s="5">
        <f>112 / 86400</f>
        <v>1.2962962962962963E-3</v>
      </c>
    </row>
    <row r="277" spans="1:12" x14ac:dyDescent="0.25">
      <c r="A277" s="3">
        <v>45716.329398148147</v>
      </c>
      <c r="B277" t="s">
        <v>251</v>
      </c>
      <c r="C277" s="3">
        <v>45716.330335648148</v>
      </c>
      <c r="D277" t="s">
        <v>253</v>
      </c>
      <c r="E277" s="4">
        <v>0.16107877576351165</v>
      </c>
      <c r="F277" s="4">
        <v>351423.02449702984</v>
      </c>
      <c r="G277" s="4">
        <v>351423.1855758056</v>
      </c>
      <c r="H277" s="5">
        <f t="shared" si="1"/>
        <v>0</v>
      </c>
      <c r="I277" t="s">
        <v>130</v>
      </c>
      <c r="J277" t="s">
        <v>57</v>
      </c>
      <c r="K277" s="5">
        <f>81 / 86400</f>
        <v>9.3749999999999997E-4</v>
      </c>
      <c r="L277" s="5">
        <f>100 / 86400</f>
        <v>1.1574074074074073E-3</v>
      </c>
    </row>
    <row r="278" spans="1:12" x14ac:dyDescent="0.25">
      <c r="A278" s="3">
        <v>45716.331493055557</v>
      </c>
      <c r="B278" t="s">
        <v>254</v>
      </c>
      <c r="C278" s="3">
        <v>45716.332881944443</v>
      </c>
      <c r="D278" t="s">
        <v>255</v>
      </c>
      <c r="E278" s="4">
        <v>0.44239219373464583</v>
      </c>
      <c r="F278" s="4">
        <v>351423.70631142228</v>
      </c>
      <c r="G278" s="4">
        <v>351424.148703616</v>
      </c>
      <c r="H278" s="5">
        <f t="shared" si="1"/>
        <v>0</v>
      </c>
      <c r="I278" t="s">
        <v>32</v>
      </c>
      <c r="J278" t="s">
        <v>64</v>
      </c>
      <c r="K278" s="5">
        <f>120 / 86400</f>
        <v>1.3888888888888889E-3</v>
      </c>
      <c r="L278" s="5">
        <f>16 / 86400</f>
        <v>1.8518518518518518E-4</v>
      </c>
    </row>
    <row r="279" spans="1:12" x14ac:dyDescent="0.25">
      <c r="A279" s="3">
        <v>45716.333067129628</v>
      </c>
      <c r="B279" t="s">
        <v>255</v>
      </c>
      <c r="C279" s="3">
        <v>45716.334837962961</v>
      </c>
      <c r="D279" t="s">
        <v>256</v>
      </c>
      <c r="E279" s="4">
        <v>0.73898951804637913</v>
      </c>
      <c r="F279" s="4">
        <v>351424.1575553696</v>
      </c>
      <c r="G279" s="4">
        <v>351424.89654488768</v>
      </c>
      <c r="H279" s="5">
        <f t="shared" si="1"/>
        <v>0</v>
      </c>
      <c r="I279" t="s">
        <v>97</v>
      </c>
      <c r="J279" t="s">
        <v>62</v>
      </c>
      <c r="K279" s="5">
        <f>153 / 86400</f>
        <v>1.7708333333333332E-3</v>
      </c>
      <c r="L279" s="5">
        <f>26 / 86400</f>
        <v>3.0092592592592595E-4</v>
      </c>
    </row>
    <row r="280" spans="1:12" x14ac:dyDescent="0.25">
      <c r="A280" s="3">
        <v>45716.335138888884</v>
      </c>
      <c r="B280" t="s">
        <v>257</v>
      </c>
      <c r="C280" s="3">
        <v>45716.335833333331</v>
      </c>
      <c r="D280" t="s">
        <v>258</v>
      </c>
      <c r="E280" s="4">
        <v>0.31057412523031236</v>
      </c>
      <c r="F280" s="4">
        <v>351424.91248832567</v>
      </c>
      <c r="G280" s="4">
        <v>351425.22306245088</v>
      </c>
      <c r="H280" s="5">
        <f t="shared" si="1"/>
        <v>0</v>
      </c>
      <c r="I280" t="s">
        <v>164</v>
      </c>
      <c r="J280" t="s">
        <v>85</v>
      </c>
      <c r="K280" s="5">
        <f>60 / 86400</f>
        <v>6.9444444444444447E-4</v>
      </c>
      <c r="L280" s="5">
        <f>73 / 86400</f>
        <v>8.4490740740740739E-4</v>
      </c>
    </row>
    <row r="281" spans="1:12" x14ac:dyDescent="0.25">
      <c r="A281" s="3">
        <v>45716.336678240739</v>
      </c>
      <c r="B281" t="s">
        <v>259</v>
      </c>
      <c r="C281" s="3">
        <v>45716.337476851855</v>
      </c>
      <c r="D281" t="s">
        <v>260</v>
      </c>
      <c r="E281" s="4">
        <v>0.20287888115644456</v>
      </c>
      <c r="F281" s="4">
        <v>351425.24441597582</v>
      </c>
      <c r="G281" s="4">
        <v>351425.44729485695</v>
      </c>
      <c r="H281" s="5">
        <f t="shared" si="1"/>
        <v>0</v>
      </c>
      <c r="I281" t="s">
        <v>85</v>
      </c>
      <c r="J281" t="s">
        <v>100</v>
      </c>
      <c r="K281" s="5">
        <f>69 / 86400</f>
        <v>7.9861111111111116E-4</v>
      </c>
      <c r="L281" s="5">
        <f>7 / 86400</f>
        <v>8.1018518518518516E-5</v>
      </c>
    </row>
    <row r="282" spans="1:12" x14ac:dyDescent="0.25">
      <c r="A282" s="3">
        <v>45716.337557870371</v>
      </c>
      <c r="B282" t="s">
        <v>260</v>
      </c>
      <c r="C282" s="3">
        <v>45716.338252314818</v>
      </c>
      <c r="D282" t="s">
        <v>238</v>
      </c>
      <c r="E282" s="4">
        <v>0.18579260879755019</v>
      </c>
      <c r="F282" s="4">
        <v>351425.4493069931</v>
      </c>
      <c r="G282" s="4">
        <v>351425.63509960193</v>
      </c>
      <c r="H282" s="5">
        <f t="shared" si="1"/>
        <v>0</v>
      </c>
      <c r="I282" t="s">
        <v>35</v>
      </c>
      <c r="J282" t="s">
        <v>100</v>
      </c>
      <c r="K282" s="5">
        <f>60 / 86400</f>
        <v>6.9444444444444447E-4</v>
      </c>
      <c r="L282" s="5">
        <f>30 / 86400</f>
        <v>3.4722222222222224E-4</v>
      </c>
    </row>
    <row r="283" spans="1:12" x14ac:dyDescent="0.25">
      <c r="A283" s="3">
        <v>45716.338599537034</v>
      </c>
      <c r="B283" t="s">
        <v>238</v>
      </c>
      <c r="C283" s="3">
        <v>45716.340150462958</v>
      </c>
      <c r="D283" t="s">
        <v>261</v>
      </c>
      <c r="E283" s="4">
        <v>0.56319974952936169</v>
      </c>
      <c r="F283" s="4">
        <v>351425.64288177248</v>
      </c>
      <c r="G283" s="4">
        <v>351426.20608152199</v>
      </c>
      <c r="H283" s="5">
        <f t="shared" si="1"/>
        <v>0</v>
      </c>
      <c r="I283" t="s">
        <v>160</v>
      </c>
      <c r="J283" t="s">
        <v>35</v>
      </c>
      <c r="K283" s="5">
        <f>134 / 86400</f>
        <v>1.5509259259259259E-3</v>
      </c>
      <c r="L283" s="5">
        <f>9 / 86400</f>
        <v>1.0416666666666667E-4</v>
      </c>
    </row>
    <row r="284" spans="1:12" x14ac:dyDescent="0.25">
      <c r="A284" s="3">
        <v>45716.340254629627</v>
      </c>
      <c r="B284" t="s">
        <v>262</v>
      </c>
      <c r="C284" s="3">
        <v>45716.343796296293</v>
      </c>
      <c r="D284" t="s">
        <v>263</v>
      </c>
      <c r="E284" s="4">
        <v>2.2329692702889443</v>
      </c>
      <c r="F284" s="4">
        <v>351426.37914682954</v>
      </c>
      <c r="G284" s="4">
        <v>351428.61211609986</v>
      </c>
      <c r="H284" s="5">
        <f t="shared" si="1"/>
        <v>0</v>
      </c>
      <c r="I284" t="s">
        <v>264</v>
      </c>
      <c r="J284" t="s">
        <v>236</v>
      </c>
      <c r="K284" s="5">
        <f>306 / 86400</f>
        <v>3.5416666666666665E-3</v>
      </c>
      <c r="L284" s="5">
        <f>40 / 86400</f>
        <v>4.6296296296296298E-4</v>
      </c>
    </row>
    <row r="285" spans="1:12" x14ac:dyDescent="0.25">
      <c r="A285" s="3">
        <v>45716.344259259262</v>
      </c>
      <c r="B285" t="s">
        <v>263</v>
      </c>
      <c r="C285" s="3">
        <v>45716.345034722224</v>
      </c>
      <c r="D285" t="s">
        <v>265</v>
      </c>
      <c r="E285" s="4">
        <v>0.19468149417638778</v>
      </c>
      <c r="F285" s="4">
        <v>351428.61968199629</v>
      </c>
      <c r="G285" s="4">
        <v>351428.81436349044</v>
      </c>
      <c r="H285" s="5">
        <f t="shared" si="1"/>
        <v>0</v>
      </c>
      <c r="I285" t="s">
        <v>145</v>
      </c>
      <c r="J285" t="s">
        <v>151</v>
      </c>
      <c r="K285" s="5">
        <f>67 / 86400</f>
        <v>7.7546296296296293E-4</v>
      </c>
      <c r="L285" s="5">
        <f>20 / 86400</f>
        <v>2.3148148148148149E-4</v>
      </c>
    </row>
    <row r="286" spans="1:12" x14ac:dyDescent="0.25">
      <c r="A286" s="3">
        <v>45716.345266203702</v>
      </c>
      <c r="B286" t="s">
        <v>233</v>
      </c>
      <c r="C286" s="3">
        <v>45716.348773148144</v>
      </c>
      <c r="D286" t="s">
        <v>266</v>
      </c>
      <c r="E286" s="4">
        <v>0.81674908226728438</v>
      </c>
      <c r="F286" s="4">
        <v>351428.84138501983</v>
      </c>
      <c r="G286" s="4">
        <v>351429.65813410212</v>
      </c>
      <c r="H286" s="5">
        <f t="shared" si="1"/>
        <v>0</v>
      </c>
      <c r="I286" t="s">
        <v>85</v>
      </c>
      <c r="J286" t="s">
        <v>151</v>
      </c>
      <c r="K286" s="5">
        <f>303 / 86400</f>
        <v>3.5069444444444445E-3</v>
      </c>
      <c r="L286" s="5">
        <f>80 / 86400</f>
        <v>9.2592592592592596E-4</v>
      </c>
    </row>
    <row r="287" spans="1:12" x14ac:dyDescent="0.25">
      <c r="A287" s="3">
        <v>45716.349699074075</v>
      </c>
      <c r="B287" t="s">
        <v>267</v>
      </c>
      <c r="C287" s="3">
        <v>45716.350393518514</v>
      </c>
      <c r="D287" t="s">
        <v>268</v>
      </c>
      <c r="E287" s="4">
        <v>5.9664476990699766E-2</v>
      </c>
      <c r="F287" s="4">
        <v>351429.7059808583</v>
      </c>
      <c r="G287" s="4">
        <v>351429.76564533531</v>
      </c>
      <c r="H287" s="5">
        <f t="shared" si="1"/>
        <v>0</v>
      </c>
      <c r="I287" t="s">
        <v>137</v>
      </c>
      <c r="J287" t="s">
        <v>147</v>
      </c>
      <c r="K287" s="5">
        <f>60 / 86400</f>
        <v>6.9444444444444447E-4</v>
      </c>
      <c r="L287" s="5">
        <f>20 / 86400</f>
        <v>2.3148148148148149E-4</v>
      </c>
    </row>
    <row r="288" spans="1:12" x14ac:dyDescent="0.25">
      <c r="A288" s="3">
        <v>45716.350624999999</v>
      </c>
      <c r="B288" t="s">
        <v>268</v>
      </c>
      <c r="C288" s="3">
        <v>45716.350856481484</v>
      </c>
      <c r="D288" t="s">
        <v>269</v>
      </c>
      <c r="E288" s="4">
        <v>2.6292260289192199E-2</v>
      </c>
      <c r="F288" s="4">
        <v>351429.77761577297</v>
      </c>
      <c r="G288" s="4">
        <v>351429.80390803324</v>
      </c>
      <c r="H288" s="5">
        <f t="shared" si="1"/>
        <v>0</v>
      </c>
      <c r="I288" t="s">
        <v>137</v>
      </c>
      <c r="J288" t="s">
        <v>25</v>
      </c>
      <c r="K288" s="5">
        <f>20 / 86400</f>
        <v>2.3148148148148149E-4</v>
      </c>
      <c r="L288" s="5">
        <f>7 / 86400</f>
        <v>8.1018518518518516E-5</v>
      </c>
    </row>
    <row r="289" spans="1:12" x14ac:dyDescent="0.25">
      <c r="A289" s="3">
        <v>45716.350937499999</v>
      </c>
      <c r="B289" t="s">
        <v>269</v>
      </c>
      <c r="C289" s="3">
        <v>45716.351226851853</v>
      </c>
      <c r="D289" t="s">
        <v>269</v>
      </c>
      <c r="E289" s="4">
        <v>2.3321720778942109E-2</v>
      </c>
      <c r="F289" s="4">
        <v>351429.80759482353</v>
      </c>
      <c r="G289" s="4">
        <v>351429.83091654431</v>
      </c>
      <c r="H289" s="5">
        <f t="shared" si="1"/>
        <v>0</v>
      </c>
      <c r="I289" t="s">
        <v>57</v>
      </c>
      <c r="J289" t="s">
        <v>33</v>
      </c>
      <c r="K289" s="5">
        <f>25 / 86400</f>
        <v>2.8935185185185184E-4</v>
      </c>
      <c r="L289" s="5">
        <f>39 / 86400</f>
        <v>4.5138888888888887E-4</v>
      </c>
    </row>
    <row r="290" spans="1:12" x14ac:dyDescent="0.25">
      <c r="A290" s="3">
        <v>45716.351678240739</v>
      </c>
      <c r="B290" t="s">
        <v>115</v>
      </c>
      <c r="C290" s="3">
        <v>45716.352546296301</v>
      </c>
      <c r="D290" t="s">
        <v>270</v>
      </c>
      <c r="E290" s="4">
        <v>0.12559811282157898</v>
      </c>
      <c r="F290" s="4">
        <v>351429.84049675608</v>
      </c>
      <c r="G290" s="4">
        <v>351429.9660948689</v>
      </c>
      <c r="H290" s="5">
        <f t="shared" si="1"/>
        <v>0</v>
      </c>
      <c r="I290" t="s">
        <v>35</v>
      </c>
      <c r="J290" t="s">
        <v>137</v>
      </c>
      <c r="K290" s="5">
        <f>75 / 86400</f>
        <v>8.6805555555555551E-4</v>
      </c>
      <c r="L290" s="5">
        <f>20 / 86400</f>
        <v>2.3148148148148149E-4</v>
      </c>
    </row>
    <row r="291" spans="1:12" x14ac:dyDescent="0.25">
      <c r="A291" s="3">
        <v>45716.352777777778</v>
      </c>
      <c r="B291" t="s">
        <v>270</v>
      </c>
      <c r="C291" s="3">
        <v>45716.354629629626</v>
      </c>
      <c r="D291" t="s">
        <v>229</v>
      </c>
      <c r="E291" s="4">
        <v>0.49532860797643663</v>
      </c>
      <c r="F291" s="4">
        <v>351430.00052789506</v>
      </c>
      <c r="G291" s="4">
        <v>351430.49585650302</v>
      </c>
      <c r="H291" s="5">
        <f t="shared" si="1"/>
        <v>0</v>
      </c>
      <c r="I291" t="s">
        <v>153</v>
      </c>
      <c r="J291" t="s">
        <v>100</v>
      </c>
      <c r="K291" s="5">
        <f>160 / 86400</f>
        <v>1.8518518518518519E-3</v>
      </c>
      <c r="L291" s="5">
        <f>3 / 86400</f>
        <v>3.4722222222222222E-5</v>
      </c>
    </row>
    <row r="292" spans="1:12" x14ac:dyDescent="0.25">
      <c r="A292" s="3">
        <v>45716.354664351849</v>
      </c>
      <c r="B292" t="s">
        <v>229</v>
      </c>
      <c r="C292" s="3">
        <v>45716.356145833328</v>
      </c>
      <c r="D292" t="s">
        <v>271</v>
      </c>
      <c r="E292" s="4">
        <v>0.35799159198999403</v>
      </c>
      <c r="F292" s="4">
        <v>351430.49914600834</v>
      </c>
      <c r="G292" s="4">
        <v>351430.85713760031</v>
      </c>
      <c r="H292" s="5">
        <f t="shared" si="1"/>
        <v>0</v>
      </c>
      <c r="I292" t="s">
        <v>62</v>
      </c>
      <c r="J292" t="s">
        <v>151</v>
      </c>
      <c r="K292" s="5">
        <f>128 / 86400</f>
        <v>1.4814814814814814E-3</v>
      </c>
      <c r="L292" s="5">
        <f>51 / 86400</f>
        <v>5.9027777777777778E-4</v>
      </c>
    </row>
    <row r="293" spans="1:12" x14ac:dyDescent="0.25">
      <c r="A293" s="3">
        <v>45716.356736111113</v>
      </c>
      <c r="B293" t="s">
        <v>271</v>
      </c>
      <c r="C293" s="3">
        <v>45716.356967592597</v>
      </c>
      <c r="D293" t="s">
        <v>271</v>
      </c>
      <c r="E293" s="4">
        <v>2.8385189354419707E-2</v>
      </c>
      <c r="F293" s="4">
        <v>351430.87219418387</v>
      </c>
      <c r="G293" s="4">
        <v>351430.90057937324</v>
      </c>
      <c r="H293" s="5">
        <f t="shared" si="1"/>
        <v>0</v>
      </c>
      <c r="I293" t="s">
        <v>25</v>
      </c>
      <c r="J293" t="s">
        <v>25</v>
      </c>
      <c r="K293" s="5">
        <f>20 / 86400</f>
        <v>2.3148148148148149E-4</v>
      </c>
      <c r="L293" s="5">
        <f>11 / 86400</f>
        <v>1.273148148148148E-4</v>
      </c>
    </row>
    <row r="294" spans="1:12" x14ac:dyDescent="0.25">
      <c r="A294" s="3">
        <v>45716.357094907406</v>
      </c>
      <c r="B294" t="s">
        <v>272</v>
      </c>
      <c r="C294" s="3">
        <v>45716.357546296298</v>
      </c>
      <c r="D294" t="s">
        <v>273</v>
      </c>
      <c r="E294" s="4">
        <v>7.4771331131458285E-2</v>
      </c>
      <c r="F294" s="4">
        <v>351430.91162889171</v>
      </c>
      <c r="G294" s="4">
        <v>351430.98640022281</v>
      </c>
      <c r="H294" s="5">
        <f t="shared" si="1"/>
        <v>0</v>
      </c>
      <c r="I294" t="s">
        <v>85</v>
      </c>
      <c r="J294" t="s">
        <v>57</v>
      </c>
      <c r="K294" s="5">
        <f>39 / 86400</f>
        <v>4.5138888888888887E-4</v>
      </c>
      <c r="L294" s="5">
        <f>79 / 86400</f>
        <v>9.1435185185185185E-4</v>
      </c>
    </row>
    <row r="295" spans="1:12" x14ac:dyDescent="0.25">
      <c r="A295" s="3">
        <v>45716.358460648145</v>
      </c>
      <c r="B295" t="s">
        <v>273</v>
      </c>
      <c r="C295" s="3">
        <v>45716.359236111108</v>
      </c>
      <c r="D295" t="s">
        <v>274</v>
      </c>
      <c r="E295" s="4">
        <v>0.44353934115171434</v>
      </c>
      <c r="F295" s="4">
        <v>351431.03951081907</v>
      </c>
      <c r="G295" s="4">
        <v>351431.48305016023</v>
      </c>
      <c r="H295" s="5">
        <f t="shared" si="1"/>
        <v>0</v>
      </c>
      <c r="I295" t="s">
        <v>167</v>
      </c>
      <c r="J295" t="s">
        <v>37</v>
      </c>
      <c r="K295" s="5">
        <f>67 / 86400</f>
        <v>7.7546296296296293E-4</v>
      </c>
      <c r="L295" s="5">
        <f>40 / 86400</f>
        <v>4.6296296296296298E-4</v>
      </c>
    </row>
    <row r="296" spans="1:12" x14ac:dyDescent="0.25">
      <c r="A296" s="3">
        <v>45716.359699074077</v>
      </c>
      <c r="B296" t="s">
        <v>275</v>
      </c>
      <c r="C296" s="3">
        <v>45716.362083333333</v>
      </c>
      <c r="D296" t="s">
        <v>276</v>
      </c>
      <c r="E296" s="4">
        <v>1.4731526363492011</v>
      </c>
      <c r="F296" s="4">
        <v>351431.5245854418</v>
      </c>
      <c r="G296" s="4">
        <v>351432.99773807818</v>
      </c>
      <c r="H296" s="5">
        <f t="shared" si="1"/>
        <v>0</v>
      </c>
      <c r="I296" t="s">
        <v>235</v>
      </c>
      <c r="J296" t="s">
        <v>236</v>
      </c>
      <c r="K296" s="5">
        <f>206 / 86400</f>
        <v>2.3842592592592591E-3</v>
      </c>
      <c r="L296" s="5">
        <f>36 / 86400</f>
        <v>4.1666666666666669E-4</v>
      </c>
    </row>
    <row r="297" spans="1:12" x14ac:dyDescent="0.25">
      <c r="A297" s="3">
        <v>45716.362500000003</v>
      </c>
      <c r="B297" t="s">
        <v>276</v>
      </c>
      <c r="C297" s="3">
        <v>45716.36319444445</v>
      </c>
      <c r="D297" t="s">
        <v>277</v>
      </c>
      <c r="E297" s="4">
        <v>0.51422315573692323</v>
      </c>
      <c r="F297" s="4">
        <v>351433.00034147396</v>
      </c>
      <c r="G297" s="4">
        <v>351433.5145646297</v>
      </c>
      <c r="H297" s="5">
        <f t="shared" si="1"/>
        <v>0</v>
      </c>
      <c r="I297" t="s">
        <v>173</v>
      </c>
      <c r="J297" t="s">
        <v>206</v>
      </c>
      <c r="K297" s="5">
        <f>60 / 86400</f>
        <v>6.9444444444444447E-4</v>
      </c>
      <c r="L297" s="5">
        <f>20 / 86400</f>
        <v>2.3148148148148149E-4</v>
      </c>
    </row>
    <row r="298" spans="1:12" x14ac:dyDescent="0.25">
      <c r="A298" s="3">
        <v>45716.363425925927</v>
      </c>
      <c r="B298" t="s">
        <v>278</v>
      </c>
      <c r="C298" s="3">
        <v>45716.363888888889</v>
      </c>
      <c r="D298" t="s">
        <v>277</v>
      </c>
      <c r="E298" s="4">
        <v>0.36167105746269224</v>
      </c>
      <c r="F298" s="4">
        <v>351433.65731208038</v>
      </c>
      <c r="G298" s="4">
        <v>351434.01898313785</v>
      </c>
      <c r="H298" s="5">
        <f t="shared" si="1"/>
        <v>0</v>
      </c>
      <c r="I298" t="s">
        <v>160</v>
      </c>
      <c r="J298" t="s">
        <v>179</v>
      </c>
      <c r="K298" s="5">
        <f>40 / 86400</f>
        <v>4.6296296296296298E-4</v>
      </c>
      <c r="L298" s="5">
        <f>80 / 86400</f>
        <v>9.2592592592592596E-4</v>
      </c>
    </row>
    <row r="299" spans="1:12" x14ac:dyDescent="0.25">
      <c r="A299" s="3">
        <v>45716.364814814813</v>
      </c>
      <c r="B299" t="s">
        <v>277</v>
      </c>
      <c r="C299" s="3">
        <v>45716.368171296301</v>
      </c>
      <c r="D299" t="s">
        <v>121</v>
      </c>
      <c r="E299" s="4">
        <v>1.1409813379049301</v>
      </c>
      <c r="F299" s="4">
        <v>351434.04742610472</v>
      </c>
      <c r="G299" s="4">
        <v>351435.18840744265</v>
      </c>
      <c r="H299" s="5">
        <f t="shared" si="1"/>
        <v>0</v>
      </c>
      <c r="I299" t="s">
        <v>185</v>
      </c>
      <c r="J299" t="s">
        <v>72</v>
      </c>
      <c r="K299" s="5">
        <f>290 / 86400</f>
        <v>3.3564814814814816E-3</v>
      </c>
      <c r="L299" s="5">
        <f>40 / 86400</f>
        <v>4.6296296296296298E-4</v>
      </c>
    </row>
    <row r="300" spans="1:12" x14ac:dyDescent="0.25">
      <c r="A300" s="3">
        <v>45716.368634259255</v>
      </c>
      <c r="B300" t="s">
        <v>121</v>
      </c>
      <c r="C300" s="3">
        <v>45716.369432870371</v>
      </c>
      <c r="D300" t="s">
        <v>121</v>
      </c>
      <c r="E300" s="4">
        <v>0.48736721438169478</v>
      </c>
      <c r="F300" s="4">
        <v>351435.22603441007</v>
      </c>
      <c r="G300" s="4">
        <v>351435.71340162447</v>
      </c>
      <c r="H300" s="5">
        <f t="shared" si="1"/>
        <v>0</v>
      </c>
      <c r="I300" t="s">
        <v>97</v>
      </c>
      <c r="J300" t="s">
        <v>32</v>
      </c>
      <c r="K300" s="5">
        <f>69 / 86400</f>
        <v>7.9861111111111116E-4</v>
      </c>
      <c r="L300" s="5">
        <f>25 / 86400</f>
        <v>2.8935185185185184E-4</v>
      </c>
    </row>
    <row r="301" spans="1:12" x14ac:dyDescent="0.25">
      <c r="A301" s="3">
        <v>45716.369722222225</v>
      </c>
      <c r="B301" t="s">
        <v>121</v>
      </c>
      <c r="C301" s="3">
        <v>45716.371342592596</v>
      </c>
      <c r="D301" t="s">
        <v>279</v>
      </c>
      <c r="E301" s="4">
        <v>1.3520736980438233</v>
      </c>
      <c r="F301" s="4">
        <v>351435.72349102737</v>
      </c>
      <c r="G301" s="4">
        <v>351437.07556472538</v>
      </c>
      <c r="H301" s="5">
        <f t="shared" si="1"/>
        <v>0</v>
      </c>
      <c r="I301" t="s">
        <v>173</v>
      </c>
      <c r="J301" t="s">
        <v>97</v>
      </c>
      <c r="K301" s="5">
        <f>140 / 86400</f>
        <v>1.6203703703703703E-3</v>
      </c>
      <c r="L301" s="5">
        <f>19 / 86400</f>
        <v>2.199074074074074E-4</v>
      </c>
    </row>
    <row r="302" spans="1:12" x14ac:dyDescent="0.25">
      <c r="A302" s="3">
        <v>45716.371562500004</v>
      </c>
      <c r="B302" t="s">
        <v>279</v>
      </c>
      <c r="C302" s="3">
        <v>45716.372256944444</v>
      </c>
      <c r="D302" t="s">
        <v>280</v>
      </c>
      <c r="E302" s="4">
        <v>0.59017066836357113</v>
      </c>
      <c r="F302" s="4">
        <v>351437.08534909913</v>
      </c>
      <c r="G302" s="4">
        <v>351437.67551976745</v>
      </c>
      <c r="H302" s="5">
        <f t="shared" si="1"/>
        <v>0</v>
      </c>
      <c r="I302" t="s">
        <v>110</v>
      </c>
      <c r="J302" t="s">
        <v>97</v>
      </c>
      <c r="K302" s="5">
        <f>60 / 86400</f>
        <v>6.9444444444444447E-4</v>
      </c>
      <c r="L302" s="5">
        <f>20 / 86400</f>
        <v>2.3148148148148149E-4</v>
      </c>
    </row>
    <row r="303" spans="1:12" x14ac:dyDescent="0.25">
      <c r="A303" s="3">
        <v>45716.372488425928</v>
      </c>
      <c r="B303" t="s">
        <v>279</v>
      </c>
      <c r="C303" s="3">
        <v>45716.372719907406</v>
      </c>
      <c r="D303" t="s">
        <v>279</v>
      </c>
      <c r="E303" s="4">
        <v>2.1270914614200592E-2</v>
      </c>
      <c r="F303" s="4">
        <v>351437.71087177983</v>
      </c>
      <c r="G303" s="4">
        <v>351437.73214269441</v>
      </c>
      <c r="H303" s="5">
        <f t="shared" si="1"/>
        <v>0</v>
      </c>
      <c r="I303" t="s">
        <v>214</v>
      </c>
      <c r="J303" t="s">
        <v>147</v>
      </c>
      <c r="K303" s="5">
        <f>20 / 86400</f>
        <v>2.3148148148148149E-4</v>
      </c>
      <c r="L303" s="5">
        <f>40 / 86400</f>
        <v>4.6296296296296298E-4</v>
      </c>
    </row>
    <row r="304" spans="1:12" x14ac:dyDescent="0.25">
      <c r="A304" s="3">
        <v>45716.373182870375</v>
      </c>
      <c r="B304" t="s">
        <v>279</v>
      </c>
      <c r="C304" s="3">
        <v>45716.37364583333</v>
      </c>
      <c r="D304" t="s">
        <v>281</v>
      </c>
      <c r="E304" s="4">
        <v>0.25186402004957198</v>
      </c>
      <c r="F304" s="4">
        <v>351437.88511835923</v>
      </c>
      <c r="G304" s="4">
        <v>351438.13698237925</v>
      </c>
      <c r="H304" s="5">
        <f t="shared" si="1"/>
        <v>0</v>
      </c>
      <c r="I304" t="s">
        <v>173</v>
      </c>
      <c r="J304" t="s">
        <v>153</v>
      </c>
      <c r="K304" s="5">
        <f>40 / 86400</f>
        <v>4.6296296296296298E-4</v>
      </c>
      <c r="L304" s="5">
        <f>9 / 86400</f>
        <v>1.0416666666666667E-4</v>
      </c>
    </row>
    <row r="305" spans="1:12" x14ac:dyDescent="0.25">
      <c r="A305" s="3">
        <v>45716.373749999999</v>
      </c>
      <c r="B305" t="s">
        <v>282</v>
      </c>
      <c r="C305" s="3">
        <v>45716.374444444446</v>
      </c>
      <c r="D305" t="s">
        <v>186</v>
      </c>
      <c r="E305" s="4">
        <v>0.72193054342269902</v>
      </c>
      <c r="F305" s="4">
        <v>351438.14096986933</v>
      </c>
      <c r="G305" s="4">
        <v>351438.86290041276</v>
      </c>
      <c r="H305" s="5">
        <f t="shared" si="1"/>
        <v>0</v>
      </c>
      <c r="I305" t="s">
        <v>75</v>
      </c>
      <c r="J305" t="s">
        <v>185</v>
      </c>
      <c r="K305" s="5">
        <f>60 / 86400</f>
        <v>6.9444444444444447E-4</v>
      </c>
      <c r="L305" s="5">
        <f>22 / 86400</f>
        <v>2.5462962962962961E-4</v>
      </c>
    </row>
    <row r="306" spans="1:12" x14ac:dyDescent="0.25">
      <c r="A306" s="3">
        <v>45716.374699074076</v>
      </c>
      <c r="B306" t="s">
        <v>217</v>
      </c>
      <c r="C306" s="3">
        <v>45716.375162037039</v>
      </c>
      <c r="D306" t="s">
        <v>186</v>
      </c>
      <c r="E306" s="4">
        <v>0.15619442689418792</v>
      </c>
      <c r="F306" s="4">
        <v>351438.92852642736</v>
      </c>
      <c r="G306" s="4">
        <v>351439.0847208543</v>
      </c>
      <c r="H306" s="5">
        <f t="shared" si="1"/>
        <v>0</v>
      </c>
      <c r="I306" t="s">
        <v>108</v>
      </c>
      <c r="J306" t="s">
        <v>72</v>
      </c>
      <c r="K306" s="5">
        <f>40 / 86400</f>
        <v>4.6296296296296298E-4</v>
      </c>
      <c r="L306" s="5">
        <f>5 / 86400</f>
        <v>5.7870370370370373E-5</v>
      </c>
    </row>
    <row r="307" spans="1:12" x14ac:dyDescent="0.25">
      <c r="A307" s="3">
        <v>45716.375219907408</v>
      </c>
      <c r="B307" t="s">
        <v>186</v>
      </c>
      <c r="C307" s="3">
        <v>45716.376840277779</v>
      </c>
      <c r="D307" t="s">
        <v>283</v>
      </c>
      <c r="E307" s="4">
        <v>0.80124719011783596</v>
      </c>
      <c r="F307" s="4">
        <v>351439.09199030674</v>
      </c>
      <c r="G307" s="4">
        <v>351439.89323749684</v>
      </c>
      <c r="H307" s="5">
        <f t="shared" ref="H307:H370" si="2">0 / 86400</f>
        <v>0</v>
      </c>
      <c r="I307" t="s">
        <v>182</v>
      </c>
      <c r="J307" t="s">
        <v>190</v>
      </c>
      <c r="K307" s="5">
        <f>140 / 86400</f>
        <v>1.6203703703703703E-3</v>
      </c>
      <c r="L307" s="5">
        <f>20 / 86400</f>
        <v>2.3148148148148149E-4</v>
      </c>
    </row>
    <row r="308" spans="1:12" x14ac:dyDescent="0.25">
      <c r="A308" s="3">
        <v>45716.377071759256</v>
      </c>
      <c r="B308" t="s">
        <v>283</v>
      </c>
      <c r="C308" s="3">
        <v>45716.377303240741</v>
      </c>
      <c r="D308" t="s">
        <v>163</v>
      </c>
      <c r="E308" s="4">
        <v>4.1757504463195802E-2</v>
      </c>
      <c r="F308" s="4">
        <v>351439.9056765071</v>
      </c>
      <c r="G308" s="4">
        <v>351439.94743401156</v>
      </c>
      <c r="H308" s="5">
        <f t="shared" si="2"/>
        <v>0</v>
      </c>
      <c r="I308" t="s">
        <v>132</v>
      </c>
      <c r="J308" t="s">
        <v>214</v>
      </c>
      <c r="K308" s="5">
        <f>20 / 86400</f>
        <v>2.3148148148148149E-4</v>
      </c>
      <c r="L308" s="5">
        <f>20 / 86400</f>
        <v>2.3148148148148149E-4</v>
      </c>
    </row>
    <row r="309" spans="1:12" x14ac:dyDescent="0.25">
      <c r="A309" s="3">
        <v>45716.377534722225</v>
      </c>
      <c r="B309" t="s">
        <v>163</v>
      </c>
      <c r="C309" s="3">
        <v>45716.37799768518</v>
      </c>
      <c r="D309" t="s">
        <v>186</v>
      </c>
      <c r="E309" s="4">
        <v>0.17554640763998031</v>
      </c>
      <c r="F309" s="4">
        <v>351439.95016537246</v>
      </c>
      <c r="G309" s="4">
        <v>351440.1257117801</v>
      </c>
      <c r="H309" s="5">
        <f t="shared" si="2"/>
        <v>0</v>
      </c>
      <c r="I309" t="s">
        <v>37</v>
      </c>
      <c r="J309" t="s">
        <v>31</v>
      </c>
      <c r="K309" s="5">
        <f>40 / 86400</f>
        <v>4.6296296296296298E-4</v>
      </c>
      <c r="L309" s="5">
        <f>20 / 86400</f>
        <v>2.3148148148148149E-4</v>
      </c>
    </row>
    <row r="310" spans="1:12" x14ac:dyDescent="0.25">
      <c r="A310" s="3">
        <v>45716.378229166672</v>
      </c>
      <c r="B310" t="s">
        <v>186</v>
      </c>
      <c r="C310" s="3">
        <v>45716.379386574074</v>
      </c>
      <c r="D310" t="s">
        <v>163</v>
      </c>
      <c r="E310" s="4">
        <v>1.0096220710277557</v>
      </c>
      <c r="F310" s="4">
        <v>351440.2012764145</v>
      </c>
      <c r="G310" s="4">
        <v>351441.21089848556</v>
      </c>
      <c r="H310" s="5">
        <f t="shared" si="2"/>
        <v>0</v>
      </c>
      <c r="I310" t="s">
        <v>227</v>
      </c>
      <c r="J310" t="s">
        <v>207</v>
      </c>
      <c r="K310" s="5">
        <f>100 / 86400</f>
        <v>1.1574074074074073E-3</v>
      </c>
      <c r="L310" s="5">
        <f>60 / 86400</f>
        <v>6.9444444444444447E-4</v>
      </c>
    </row>
    <row r="311" spans="1:12" x14ac:dyDescent="0.25">
      <c r="A311" s="3">
        <v>45716.38008101852</v>
      </c>
      <c r="B311" t="s">
        <v>184</v>
      </c>
      <c r="C311" s="3">
        <v>45716.381493055553</v>
      </c>
      <c r="D311" t="s">
        <v>284</v>
      </c>
      <c r="E311" s="4">
        <v>0.66698945575952528</v>
      </c>
      <c r="F311" s="4">
        <v>351441.21937864728</v>
      </c>
      <c r="G311" s="4">
        <v>351441.88636810303</v>
      </c>
      <c r="H311" s="5">
        <f t="shared" si="2"/>
        <v>0</v>
      </c>
      <c r="I311" t="s">
        <v>37</v>
      </c>
      <c r="J311" t="s">
        <v>108</v>
      </c>
      <c r="K311" s="5">
        <f>122 / 86400</f>
        <v>1.4120370370370369E-3</v>
      </c>
      <c r="L311" s="5">
        <f>20 / 86400</f>
        <v>2.3148148148148149E-4</v>
      </c>
    </row>
    <row r="312" spans="1:12" x14ac:dyDescent="0.25">
      <c r="A312" s="3">
        <v>45716.381724537037</v>
      </c>
      <c r="B312" t="s">
        <v>284</v>
      </c>
      <c r="C312" s="3">
        <v>45716.382650462961</v>
      </c>
      <c r="D312" t="s">
        <v>186</v>
      </c>
      <c r="E312" s="4">
        <v>0.41898594814538953</v>
      </c>
      <c r="F312" s="4">
        <v>351441.88879699423</v>
      </c>
      <c r="G312" s="4">
        <v>351442.30778294237</v>
      </c>
      <c r="H312" s="5">
        <f t="shared" si="2"/>
        <v>0</v>
      </c>
      <c r="I312" t="s">
        <v>142</v>
      </c>
      <c r="J312" t="s">
        <v>85</v>
      </c>
      <c r="K312" s="5">
        <f>80 / 86400</f>
        <v>9.2592592592592596E-4</v>
      </c>
      <c r="L312" s="5">
        <f>20 / 86400</f>
        <v>2.3148148148148149E-4</v>
      </c>
    </row>
    <row r="313" spans="1:12" x14ac:dyDescent="0.25">
      <c r="A313" s="3">
        <v>45716.382881944446</v>
      </c>
      <c r="B313" t="s">
        <v>186</v>
      </c>
      <c r="C313" s="3">
        <v>45716.384039351848</v>
      </c>
      <c r="D313" t="s">
        <v>99</v>
      </c>
      <c r="E313" s="4">
        <v>0.586195565700531</v>
      </c>
      <c r="F313" s="4">
        <v>351442.40165543644</v>
      </c>
      <c r="G313" s="4">
        <v>351442.98785100214</v>
      </c>
      <c r="H313" s="5">
        <f t="shared" si="2"/>
        <v>0</v>
      </c>
      <c r="I313" t="s">
        <v>97</v>
      </c>
      <c r="J313" t="s">
        <v>190</v>
      </c>
      <c r="K313" s="5">
        <f>100 / 86400</f>
        <v>1.1574074074074073E-3</v>
      </c>
      <c r="L313" s="5">
        <f>20 / 86400</f>
        <v>2.3148148148148149E-4</v>
      </c>
    </row>
    <row r="314" spans="1:12" x14ac:dyDescent="0.25">
      <c r="A314" s="3">
        <v>45716.384270833332</v>
      </c>
      <c r="B314" t="s">
        <v>99</v>
      </c>
      <c r="C314" s="3">
        <v>45716.385428240741</v>
      </c>
      <c r="D314" t="s">
        <v>99</v>
      </c>
      <c r="E314" s="4">
        <v>0.40983227175474168</v>
      </c>
      <c r="F314" s="4">
        <v>351443.13092523138</v>
      </c>
      <c r="G314" s="4">
        <v>351443.54075750313</v>
      </c>
      <c r="H314" s="5">
        <f t="shared" si="2"/>
        <v>0</v>
      </c>
      <c r="I314" t="s">
        <v>211</v>
      </c>
      <c r="J314" t="s">
        <v>35</v>
      </c>
      <c r="K314" s="5">
        <f>100 / 86400</f>
        <v>1.1574074074074073E-3</v>
      </c>
      <c r="L314" s="5">
        <f>100 / 86400</f>
        <v>1.1574074074074073E-3</v>
      </c>
    </row>
    <row r="315" spans="1:12" x14ac:dyDescent="0.25">
      <c r="A315" s="3">
        <v>45716.38658564815</v>
      </c>
      <c r="B315" t="s">
        <v>99</v>
      </c>
      <c r="C315" s="3">
        <v>45716.389317129629</v>
      </c>
      <c r="D315" t="s">
        <v>96</v>
      </c>
      <c r="E315" s="4">
        <v>1.4861387871503831</v>
      </c>
      <c r="F315" s="4">
        <v>351443.63451425306</v>
      </c>
      <c r="G315" s="4">
        <v>351445.12065304024</v>
      </c>
      <c r="H315" s="5">
        <f t="shared" si="2"/>
        <v>0</v>
      </c>
      <c r="I315" t="s">
        <v>235</v>
      </c>
      <c r="J315" t="s">
        <v>153</v>
      </c>
      <c r="K315" s="5">
        <f>236 / 86400</f>
        <v>2.7314814814814814E-3</v>
      </c>
      <c r="L315" s="5">
        <f>20 / 86400</f>
        <v>2.3148148148148149E-4</v>
      </c>
    </row>
    <row r="316" spans="1:12" x14ac:dyDescent="0.25">
      <c r="A316" s="3">
        <v>45716.389548611114</v>
      </c>
      <c r="B316" t="s">
        <v>96</v>
      </c>
      <c r="C316" s="3">
        <v>45716.390243055561</v>
      </c>
      <c r="D316" t="s">
        <v>96</v>
      </c>
      <c r="E316" s="4">
        <v>0.45684926253557206</v>
      </c>
      <c r="F316" s="4">
        <v>351445.21625440317</v>
      </c>
      <c r="G316" s="4">
        <v>351445.6731036657</v>
      </c>
      <c r="H316" s="5">
        <f t="shared" si="2"/>
        <v>0</v>
      </c>
      <c r="I316" t="s">
        <v>211</v>
      </c>
      <c r="J316" t="s">
        <v>140</v>
      </c>
      <c r="K316" s="5">
        <f>60 / 86400</f>
        <v>6.9444444444444447E-4</v>
      </c>
      <c r="L316" s="5">
        <f>40 / 86400</f>
        <v>4.6296296296296298E-4</v>
      </c>
    </row>
    <row r="317" spans="1:12" x14ac:dyDescent="0.25">
      <c r="A317" s="3">
        <v>45716.390706018516</v>
      </c>
      <c r="B317" t="s">
        <v>96</v>
      </c>
      <c r="C317" s="3">
        <v>45716.3909375</v>
      </c>
      <c r="D317" t="s">
        <v>96</v>
      </c>
      <c r="E317" s="4">
        <v>1.4259490966796875E-2</v>
      </c>
      <c r="F317" s="4">
        <v>351445.71643468167</v>
      </c>
      <c r="G317" s="4">
        <v>351445.73069417261</v>
      </c>
      <c r="H317" s="5">
        <f t="shared" si="2"/>
        <v>0</v>
      </c>
      <c r="I317" t="s">
        <v>151</v>
      </c>
      <c r="J317" t="s">
        <v>33</v>
      </c>
      <c r="K317" s="5">
        <f>20 / 86400</f>
        <v>2.3148148148148149E-4</v>
      </c>
      <c r="L317" s="5">
        <f>40 / 86400</f>
        <v>4.6296296296296298E-4</v>
      </c>
    </row>
    <row r="318" spans="1:12" x14ac:dyDescent="0.25">
      <c r="A318" s="3">
        <v>45716.391400462962</v>
      </c>
      <c r="B318" t="s">
        <v>96</v>
      </c>
      <c r="C318" s="3">
        <v>45716.39163194444</v>
      </c>
      <c r="D318" t="s">
        <v>96</v>
      </c>
      <c r="E318" s="4">
        <v>1.035978239774704E-2</v>
      </c>
      <c r="F318" s="4">
        <v>351445.74061355286</v>
      </c>
      <c r="G318" s="4">
        <v>351445.75097333529</v>
      </c>
      <c r="H318" s="5">
        <f t="shared" si="2"/>
        <v>0</v>
      </c>
      <c r="I318" t="s">
        <v>59</v>
      </c>
      <c r="J318" t="s">
        <v>156</v>
      </c>
      <c r="K318" s="5">
        <f>20 / 86400</f>
        <v>2.3148148148148149E-4</v>
      </c>
      <c r="L318" s="5">
        <f>191 / 86400</f>
        <v>2.2106481481481482E-3</v>
      </c>
    </row>
    <row r="319" spans="1:12" x14ac:dyDescent="0.25">
      <c r="A319" s="3">
        <v>45716.393842592588</v>
      </c>
      <c r="B319" t="s">
        <v>96</v>
      </c>
      <c r="C319" s="3">
        <v>45716.398009259261</v>
      </c>
      <c r="D319" t="s">
        <v>285</v>
      </c>
      <c r="E319" s="4">
        <v>3.6156386546492576</v>
      </c>
      <c r="F319" s="4">
        <v>351445.76604029443</v>
      </c>
      <c r="G319" s="4">
        <v>351449.38167894905</v>
      </c>
      <c r="H319" s="5">
        <f t="shared" si="2"/>
        <v>0</v>
      </c>
      <c r="I319" t="s">
        <v>235</v>
      </c>
      <c r="J319" t="s">
        <v>207</v>
      </c>
      <c r="K319" s="5">
        <f>360 / 86400</f>
        <v>4.1666666666666666E-3</v>
      </c>
      <c r="L319" s="5">
        <f>20 / 86400</f>
        <v>2.3148148148148149E-4</v>
      </c>
    </row>
    <row r="320" spans="1:12" x14ac:dyDescent="0.25">
      <c r="A320" s="3">
        <v>45716.398240740746</v>
      </c>
      <c r="B320" t="s">
        <v>285</v>
      </c>
      <c r="C320" s="3">
        <v>45716.39916666667</v>
      </c>
      <c r="D320" t="s">
        <v>286</v>
      </c>
      <c r="E320" s="4">
        <v>0.92533534121513372</v>
      </c>
      <c r="F320" s="4">
        <v>351449.39143692242</v>
      </c>
      <c r="G320" s="4">
        <v>351450.31677226367</v>
      </c>
      <c r="H320" s="5">
        <f t="shared" si="2"/>
        <v>0</v>
      </c>
      <c r="I320" t="s">
        <v>39</v>
      </c>
      <c r="J320" t="s">
        <v>165</v>
      </c>
      <c r="K320" s="5">
        <f>80 / 86400</f>
        <v>9.2592592592592596E-4</v>
      </c>
      <c r="L320" s="5">
        <f>40 / 86400</f>
        <v>4.6296296296296298E-4</v>
      </c>
    </row>
    <row r="321" spans="1:12" x14ac:dyDescent="0.25">
      <c r="A321" s="3">
        <v>45716.399629629625</v>
      </c>
      <c r="B321" t="s">
        <v>177</v>
      </c>
      <c r="C321" s="3">
        <v>45716.400092592594</v>
      </c>
      <c r="D321" t="s">
        <v>89</v>
      </c>
      <c r="E321" s="4">
        <v>0.60252901613712306</v>
      </c>
      <c r="F321" s="4">
        <v>351450.49026050657</v>
      </c>
      <c r="G321" s="4">
        <v>351451.09278952272</v>
      </c>
      <c r="H321" s="5">
        <f t="shared" si="2"/>
        <v>0</v>
      </c>
      <c r="I321" t="s">
        <v>66</v>
      </c>
      <c r="J321" t="s">
        <v>159</v>
      </c>
      <c r="K321" s="5">
        <f>40 / 86400</f>
        <v>4.6296296296296298E-4</v>
      </c>
      <c r="L321" s="5">
        <f>20 / 86400</f>
        <v>2.3148148148148149E-4</v>
      </c>
    </row>
    <row r="322" spans="1:12" x14ac:dyDescent="0.25">
      <c r="A322" s="3">
        <v>45716.400324074071</v>
      </c>
      <c r="B322" t="s">
        <v>89</v>
      </c>
      <c r="C322" s="3">
        <v>45716.400787037041</v>
      </c>
      <c r="D322" t="s">
        <v>287</v>
      </c>
      <c r="E322" s="4">
        <v>1.5354985833168029E-2</v>
      </c>
      <c r="F322" s="4">
        <v>351451.09940347652</v>
      </c>
      <c r="G322" s="4">
        <v>351451.11475846235</v>
      </c>
      <c r="H322" s="5">
        <f t="shared" si="2"/>
        <v>0</v>
      </c>
      <c r="I322" t="s">
        <v>214</v>
      </c>
      <c r="J322" t="s">
        <v>59</v>
      </c>
      <c r="K322" s="5">
        <f>40 / 86400</f>
        <v>4.6296296296296298E-4</v>
      </c>
      <c r="L322" s="5">
        <f>20 / 86400</f>
        <v>2.3148148148148149E-4</v>
      </c>
    </row>
    <row r="323" spans="1:12" x14ac:dyDescent="0.25">
      <c r="A323" s="3">
        <v>45716.401018518518</v>
      </c>
      <c r="B323" t="s">
        <v>288</v>
      </c>
      <c r="C323" s="3">
        <v>45716.401249999995</v>
      </c>
      <c r="D323" t="s">
        <v>287</v>
      </c>
      <c r="E323" s="4">
        <v>4.544315218925476E-3</v>
      </c>
      <c r="F323" s="4">
        <v>351451.14442577207</v>
      </c>
      <c r="G323" s="4">
        <v>351451.14897008729</v>
      </c>
      <c r="H323" s="5">
        <f t="shared" si="2"/>
        <v>0</v>
      </c>
      <c r="I323" t="s">
        <v>214</v>
      </c>
      <c r="J323" t="s">
        <v>59</v>
      </c>
      <c r="K323" s="5">
        <f>20 / 86400</f>
        <v>2.3148148148148149E-4</v>
      </c>
      <c r="L323" s="5">
        <f>20 / 86400</f>
        <v>2.3148148148148149E-4</v>
      </c>
    </row>
    <row r="324" spans="1:12" x14ac:dyDescent="0.25">
      <c r="A324" s="3">
        <v>45716.40148148148</v>
      </c>
      <c r="B324" t="s">
        <v>287</v>
      </c>
      <c r="C324" s="3">
        <v>45716.401712962965</v>
      </c>
      <c r="D324" t="s">
        <v>288</v>
      </c>
      <c r="E324" s="4">
        <v>2.8693826496601106E-2</v>
      </c>
      <c r="F324" s="4">
        <v>351451.15613413882</v>
      </c>
      <c r="G324" s="4">
        <v>351451.18482796533</v>
      </c>
      <c r="H324" s="5">
        <f t="shared" si="2"/>
        <v>0</v>
      </c>
      <c r="I324" t="s">
        <v>28</v>
      </c>
      <c r="J324" t="s">
        <v>25</v>
      </c>
      <c r="K324" s="5">
        <f>20 / 86400</f>
        <v>2.3148148148148149E-4</v>
      </c>
      <c r="L324" s="5">
        <f>60 / 86400</f>
        <v>6.9444444444444447E-4</v>
      </c>
    </row>
    <row r="325" spans="1:12" x14ac:dyDescent="0.25">
      <c r="A325" s="3">
        <v>45716.402407407411</v>
      </c>
      <c r="B325" t="s">
        <v>287</v>
      </c>
      <c r="C325" s="3">
        <v>45716.404722222222</v>
      </c>
      <c r="D325" t="s">
        <v>174</v>
      </c>
      <c r="E325" s="4">
        <v>2.2893585333228113</v>
      </c>
      <c r="F325" s="4">
        <v>351451.19830401242</v>
      </c>
      <c r="G325" s="4">
        <v>351453.48766254575</v>
      </c>
      <c r="H325" s="5">
        <f t="shared" si="2"/>
        <v>0</v>
      </c>
      <c r="I325" t="s">
        <v>289</v>
      </c>
      <c r="J325" t="s">
        <v>167</v>
      </c>
      <c r="K325" s="5">
        <f>200 / 86400</f>
        <v>2.3148148148148147E-3</v>
      </c>
      <c r="L325" s="5">
        <f>20 / 86400</f>
        <v>2.3148148148148149E-4</v>
      </c>
    </row>
    <row r="326" spans="1:12" x14ac:dyDescent="0.25">
      <c r="A326" s="3">
        <v>45716.404953703706</v>
      </c>
      <c r="B326" t="s">
        <v>172</v>
      </c>
      <c r="C326" s="3">
        <v>45716.405185185184</v>
      </c>
      <c r="D326" t="s">
        <v>170</v>
      </c>
      <c r="E326" s="4">
        <v>2.1171315789222718E-2</v>
      </c>
      <c r="F326" s="4">
        <v>351453.62057037646</v>
      </c>
      <c r="G326" s="4">
        <v>351453.64174169226</v>
      </c>
      <c r="H326" s="5">
        <f t="shared" si="2"/>
        <v>0</v>
      </c>
      <c r="I326" t="s">
        <v>108</v>
      </c>
      <c r="J326" t="s">
        <v>147</v>
      </c>
      <c r="K326" s="5">
        <f>20 / 86400</f>
        <v>2.3148148148148149E-4</v>
      </c>
      <c r="L326" s="5">
        <f>40 / 86400</f>
        <v>4.6296296296296298E-4</v>
      </c>
    </row>
    <row r="327" spans="1:12" x14ac:dyDescent="0.25">
      <c r="A327" s="3">
        <v>45716.405648148153</v>
      </c>
      <c r="B327" t="s">
        <v>170</v>
      </c>
      <c r="C327" s="3">
        <v>45716.40587962963</v>
      </c>
      <c r="D327" t="s">
        <v>170</v>
      </c>
      <c r="E327" s="4">
        <v>1.938840341567993E-2</v>
      </c>
      <c r="F327" s="4">
        <v>351453.6549799419</v>
      </c>
      <c r="G327" s="4">
        <v>351453.6743683453</v>
      </c>
      <c r="H327" s="5">
        <f t="shared" si="2"/>
        <v>0</v>
      </c>
      <c r="I327" t="s">
        <v>137</v>
      </c>
      <c r="J327" t="s">
        <v>33</v>
      </c>
      <c r="K327" s="5">
        <f>20 / 86400</f>
        <v>2.3148148148148149E-4</v>
      </c>
      <c r="L327" s="5">
        <f>100 / 86400</f>
        <v>1.1574074074074073E-3</v>
      </c>
    </row>
    <row r="328" spans="1:12" x14ac:dyDescent="0.25">
      <c r="A328" s="3">
        <v>45716.407037037032</v>
      </c>
      <c r="B328" t="s">
        <v>172</v>
      </c>
      <c r="C328" s="3">
        <v>45716.411666666667</v>
      </c>
      <c r="D328" t="s">
        <v>290</v>
      </c>
      <c r="E328" s="4">
        <v>4.5080299335122112</v>
      </c>
      <c r="F328" s="4">
        <v>351453.76062320551</v>
      </c>
      <c r="G328" s="4">
        <v>351458.26865313901</v>
      </c>
      <c r="H328" s="5">
        <f t="shared" si="2"/>
        <v>0</v>
      </c>
      <c r="I328" t="s">
        <v>39</v>
      </c>
      <c r="J328" t="s">
        <v>167</v>
      </c>
      <c r="K328" s="5">
        <f>400 / 86400</f>
        <v>4.6296296296296294E-3</v>
      </c>
      <c r="L328" s="5">
        <f>28 / 86400</f>
        <v>3.2407407407407406E-4</v>
      </c>
    </row>
    <row r="329" spans="1:12" x14ac:dyDescent="0.25">
      <c r="A329" s="3">
        <v>45716.411990740744</v>
      </c>
      <c r="B329" t="s">
        <v>290</v>
      </c>
      <c r="C329" s="3">
        <v>45716.412916666668</v>
      </c>
      <c r="D329" t="s">
        <v>291</v>
      </c>
      <c r="E329" s="4">
        <v>0.53050006026029584</v>
      </c>
      <c r="F329" s="4">
        <v>351458.27652388427</v>
      </c>
      <c r="G329" s="4">
        <v>351458.80702394457</v>
      </c>
      <c r="H329" s="5">
        <f t="shared" si="2"/>
        <v>0</v>
      </c>
      <c r="I329" t="s">
        <v>211</v>
      </c>
      <c r="J329" t="s">
        <v>37</v>
      </c>
      <c r="K329" s="5">
        <f>80 / 86400</f>
        <v>9.2592592592592596E-4</v>
      </c>
      <c r="L329" s="5">
        <f>20 / 86400</f>
        <v>2.3148148148148149E-4</v>
      </c>
    </row>
    <row r="330" spans="1:12" x14ac:dyDescent="0.25">
      <c r="A330" s="3">
        <v>45716.413148148145</v>
      </c>
      <c r="B330" t="s">
        <v>291</v>
      </c>
      <c r="C330" s="3">
        <v>45716.413611111115</v>
      </c>
      <c r="D330" t="s">
        <v>292</v>
      </c>
      <c r="E330" s="4">
        <v>5.1799661338329313E-2</v>
      </c>
      <c r="F330" s="4">
        <v>351458.84756089654</v>
      </c>
      <c r="G330" s="4">
        <v>351458.89936055784</v>
      </c>
      <c r="H330" s="5">
        <f t="shared" si="2"/>
        <v>0</v>
      </c>
      <c r="I330" t="s">
        <v>31</v>
      </c>
      <c r="J330" t="s">
        <v>25</v>
      </c>
      <c r="K330" s="5">
        <f>40 / 86400</f>
        <v>4.6296296296296298E-4</v>
      </c>
      <c r="L330" s="5">
        <f>20 / 86400</f>
        <v>2.3148148148148149E-4</v>
      </c>
    </row>
    <row r="331" spans="1:12" x14ac:dyDescent="0.25">
      <c r="A331" s="3">
        <v>45716.413842592592</v>
      </c>
      <c r="B331" t="s">
        <v>293</v>
      </c>
      <c r="C331" s="3">
        <v>45716.419004629628</v>
      </c>
      <c r="D331" t="s">
        <v>294</v>
      </c>
      <c r="E331" s="4">
        <v>3.6386824930906294</v>
      </c>
      <c r="F331" s="4">
        <v>351458.99339508323</v>
      </c>
      <c r="G331" s="4">
        <v>351462.63207757636</v>
      </c>
      <c r="H331" s="5">
        <f t="shared" si="2"/>
        <v>0</v>
      </c>
      <c r="I331" t="s">
        <v>159</v>
      </c>
      <c r="J331" t="s">
        <v>142</v>
      </c>
      <c r="K331" s="5">
        <f>446 / 86400</f>
        <v>5.162037037037037E-3</v>
      </c>
      <c r="L331" s="5">
        <f>20 / 86400</f>
        <v>2.3148148148148149E-4</v>
      </c>
    </row>
    <row r="332" spans="1:12" x14ac:dyDescent="0.25">
      <c r="A332" s="3">
        <v>45716.419236111113</v>
      </c>
      <c r="B332" t="s">
        <v>294</v>
      </c>
      <c r="C332" s="3">
        <v>45716.421782407408</v>
      </c>
      <c r="D332" t="s">
        <v>295</v>
      </c>
      <c r="E332" s="4">
        <v>2.7462083804607391</v>
      </c>
      <c r="F332" s="4">
        <v>351462.63909447275</v>
      </c>
      <c r="G332" s="4">
        <v>351465.38530285325</v>
      </c>
      <c r="H332" s="5">
        <f t="shared" si="2"/>
        <v>0</v>
      </c>
      <c r="I332" t="s">
        <v>44</v>
      </c>
      <c r="J332" t="s">
        <v>171</v>
      </c>
      <c r="K332" s="5">
        <f>220 / 86400</f>
        <v>2.5462962962962965E-3</v>
      </c>
      <c r="L332" s="5">
        <f>40 / 86400</f>
        <v>4.6296296296296298E-4</v>
      </c>
    </row>
    <row r="333" spans="1:12" x14ac:dyDescent="0.25">
      <c r="A333" s="3">
        <v>45716.42224537037</v>
      </c>
      <c r="B333" t="s">
        <v>296</v>
      </c>
      <c r="C333" s="3">
        <v>45716.424189814818</v>
      </c>
      <c r="D333" t="s">
        <v>297</v>
      </c>
      <c r="E333" s="4">
        <v>1.4428559539914132</v>
      </c>
      <c r="F333" s="4">
        <v>351465.4360399266</v>
      </c>
      <c r="G333" s="4">
        <v>351466.8788958806</v>
      </c>
      <c r="H333" s="5">
        <f t="shared" si="2"/>
        <v>0</v>
      </c>
      <c r="I333" t="s">
        <v>173</v>
      </c>
      <c r="J333" t="s">
        <v>206</v>
      </c>
      <c r="K333" s="5">
        <f>168 / 86400</f>
        <v>1.9444444444444444E-3</v>
      </c>
      <c r="L333" s="5">
        <f>20 / 86400</f>
        <v>2.3148148148148149E-4</v>
      </c>
    </row>
    <row r="334" spans="1:12" x14ac:dyDescent="0.25">
      <c r="A334" s="3">
        <v>45716.424421296295</v>
      </c>
      <c r="B334" t="s">
        <v>297</v>
      </c>
      <c r="C334" s="3">
        <v>45716.425578703704</v>
      </c>
      <c r="D334" t="s">
        <v>298</v>
      </c>
      <c r="E334" s="4">
        <v>0.57274296271800995</v>
      </c>
      <c r="F334" s="4">
        <v>351466.92837999278</v>
      </c>
      <c r="G334" s="4">
        <v>351467.50112295552</v>
      </c>
      <c r="H334" s="5">
        <f t="shared" si="2"/>
        <v>0</v>
      </c>
      <c r="I334" t="s">
        <v>97</v>
      </c>
      <c r="J334" t="s">
        <v>190</v>
      </c>
      <c r="K334" s="5">
        <f>100 / 86400</f>
        <v>1.1574074074074073E-3</v>
      </c>
      <c r="L334" s="5">
        <f>16 / 86400</f>
        <v>1.8518518518518518E-4</v>
      </c>
    </row>
    <row r="335" spans="1:12" x14ac:dyDescent="0.25">
      <c r="A335" s="3">
        <v>45716.425763888888</v>
      </c>
      <c r="B335" t="s">
        <v>298</v>
      </c>
      <c r="C335" s="3">
        <v>45716.426458333328</v>
      </c>
      <c r="D335" t="s">
        <v>299</v>
      </c>
      <c r="E335" s="4">
        <v>0.29692800378799439</v>
      </c>
      <c r="F335" s="4">
        <v>351467.5080179451</v>
      </c>
      <c r="G335" s="4">
        <v>351467.80494594888</v>
      </c>
      <c r="H335" s="5">
        <f t="shared" si="2"/>
        <v>0</v>
      </c>
      <c r="I335" t="s">
        <v>179</v>
      </c>
      <c r="J335" t="s">
        <v>20</v>
      </c>
      <c r="K335" s="5">
        <f>60 / 86400</f>
        <v>6.9444444444444447E-4</v>
      </c>
      <c r="L335" s="5">
        <f>20 / 86400</f>
        <v>2.3148148148148149E-4</v>
      </c>
    </row>
    <row r="336" spans="1:12" x14ac:dyDescent="0.25">
      <c r="A336" s="3">
        <v>45716.42668981482</v>
      </c>
      <c r="B336" t="s">
        <v>300</v>
      </c>
      <c r="C336" s="3">
        <v>45716.428078703699</v>
      </c>
      <c r="D336" t="s">
        <v>301</v>
      </c>
      <c r="E336" s="4">
        <v>0.52672829455137249</v>
      </c>
      <c r="F336" s="4">
        <v>351467.84331511223</v>
      </c>
      <c r="G336" s="4">
        <v>351468.37004340679</v>
      </c>
      <c r="H336" s="5">
        <f t="shared" si="2"/>
        <v>0</v>
      </c>
      <c r="I336" t="s">
        <v>165</v>
      </c>
      <c r="J336" t="s">
        <v>31</v>
      </c>
      <c r="K336" s="5">
        <f>120 / 86400</f>
        <v>1.3888888888888889E-3</v>
      </c>
      <c r="L336" s="5">
        <f>20 / 86400</f>
        <v>2.3148148148148149E-4</v>
      </c>
    </row>
    <row r="337" spans="1:12" x14ac:dyDescent="0.25">
      <c r="A337" s="3">
        <v>45716.428310185191</v>
      </c>
      <c r="B337" t="s">
        <v>297</v>
      </c>
      <c r="C337" s="3">
        <v>45716.428541666668</v>
      </c>
      <c r="D337" t="s">
        <v>297</v>
      </c>
      <c r="E337" s="4">
        <v>5.2508917570114139E-2</v>
      </c>
      <c r="F337" s="4">
        <v>351468.4281984109</v>
      </c>
      <c r="G337" s="4">
        <v>351468.48070732842</v>
      </c>
      <c r="H337" s="5">
        <f t="shared" si="2"/>
        <v>0</v>
      </c>
      <c r="I337" t="s">
        <v>140</v>
      </c>
      <c r="J337" t="s">
        <v>132</v>
      </c>
      <c r="K337" s="5">
        <f>20 / 86400</f>
        <v>2.3148148148148149E-4</v>
      </c>
      <c r="L337" s="5">
        <f>20 / 86400</f>
        <v>2.3148148148148149E-4</v>
      </c>
    </row>
    <row r="338" spans="1:12" x14ac:dyDescent="0.25">
      <c r="A338" s="3">
        <v>45716.428773148145</v>
      </c>
      <c r="B338" t="s">
        <v>120</v>
      </c>
      <c r="C338" s="3">
        <v>45716.430196759262</v>
      </c>
      <c r="D338" t="s">
        <v>302</v>
      </c>
      <c r="E338" s="4">
        <v>0.37738558894395829</v>
      </c>
      <c r="F338" s="4">
        <v>351468.49708765384</v>
      </c>
      <c r="G338" s="4">
        <v>351468.87447324279</v>
      </c>
      <c r="H338" s="5">
        <f t="shared" si="2"/>
        <v>0</v>
      </c>
      <c r="I338" t="s">
        <v>140</v>
      </c>
      <c r="J338" t="s">
        <v>100</v>
      </c>
      <c r="K338" s="5">
        <f>123 / 86400</f>
        <v>1.4236111111111112E-3</v>
      </c>
      <c r="L338" s="5">
        <f>40 / 86400</f>
        <v>4.6296296296296298E-4</v>
      </c>
    </row>
    <row r="339" spans="1:12" x14ac:dyDescent="0.25">
      <c r="A339" s="3">
        <v>45716.430659722224</v>
      </c>
      <c r="B339" t="s">
        <v>302</v>
      </c>
      <c r="C339" s="3">
        <v>45716.431122685186</v>
      </c>
      <c r="D339" t="s">
        <v>303</v>
      </c>
      <c r="E339" s="4">
        <v>3.2334417998790742E-2</v>
      </c>
      <c r="F339" s="4">
        <v>351468.88640768366</v>
      </c>
      <c r="G339" s="4">
        <v>351468.9187421017</v>
      </c>
      <c r="H339" s="5">
        <f t="shared" si="2"/>
        <v>0</v>
      </c>
      <c r="I339" t="s">
        <v>137</v>
      </c>
      <c r="J339" t="s">
        <v>33</v>
      </c>
      <c r="K339" s="5">
        <f>40 / 86400</f>
        <v>4.6296296296296298E-4</v>
      </c>
      <c r="L339" s="5">
        <f>6 / 86400</f>
        <v>6.9444444444444444E-5</v>
      </c>
    </row>
    <row r="340" spans="1:12" x14ac:dyDescent="0.25">
      <c r="A340" s="3">
        <v>45716.431192129632</v>
      </c>
      <c r="B340" t="s">
        <v>303</v>
      </c>
      <c r="C340" s="3">
        <v>45716.432118055556</v>
      </c>
      <c r="D340" t="s">
        <v>303</v>
      </c>
      <c r="E340" s="4">
        <v>7.9788692235946659E-2</v>
      </c>
      <c r="F340" s="4">
        <v>351468.92306042003</v>
      </c>
      <c r="G340" s="4">
        <v>351469.00284911226</v>
      </c>
      <c r="H340" s="5">
        <f t="shared" si="2"/>
        <v>0</v>
      </c>
      <c r="I340" t="s">
        <v>151</v>
      </c>
      <c r="J340" t="s">
        <v>147</v>
      </c>
      <c r="K340" s="5">
        <f>80 / 86400</f>
        <v>9.2592592592592596E-4</v>
      </c>
      <c r="L340" s="5">
        <f>20 / 86400</f>
        <v>2.3148148148148149E-4</v>
      </c>
    </row>
    <row r="341" spans="1:12" x14ac:dyDescent="0.25">
      <c r="A341" s="3">
        <v>45716.432349537034</v>
      </c>
      <c r="B341" t="s">
        <v>303</v>
      </c>
      <c r="C341" s="3">
        <v>45716.433576388888</v>
      </c>
      <c r="D341" t="s">
        <v>304</v>
      </c>
      <c r="E341" s="4">
        <v>0.10394197952747344</v>
      </c>
      <c r="F341" s="4">
        <v>351469.02009862143</v>
      </c>
      <c r="G341" s="4">
        <v>351469.12404060096</v>
      </c>
      <c r="H341" s="5">
        <f t="shared" si="2"/>
        <v>0</v>
      </c>
      <c r="I341" t="s">
        <v>57</v>
      </c>
      <c r="J341" t="s">
        <v>147</v>
      </c>
      <c r="K341" s="5">
        <f>106 / 86400</f>
        <v>1.2268518518518518E-3</v>
      </c>
      <c r="L341" s="5">
        <f>60 / 86400</f>
        <v>6.9444444444444447E-4</v>
      </c>
    </row>
    <row r="342" spans="1:12" x14ac:dyDescent="0.25">
      <c r="A342" s="3">
        <v>45716.434270833328</v>
      </c>
      <c r="B342" t="s">
        <v>304</v>
      </c>
      <c r="C342" s="3">
        <v>45716.43450231482</v>
      </c>
      <c r="D342" t="s">
        <v>304</v>
      </c>
      <c r="E342" s="4">
        <v>1.0670407652854919E-2</v>
      </c>
      <c r="F342" s="4">
        <v>351469.1778219298</v>
      </c>
      <c r="G342" s="4">
        <v>351469.18849233747</v>
      </c>
      <c r="H342" s="5">
        <f t="shared" si="2"/>
        <v>0</v>
      </c>
      <c r="I342" t="s">
        <v>132</v>
      </c>
      <c r="J342" t="s">
        <v>156</v>
      </c>
      <c r="K342" s="5">
        <f>20 / 86400</f>
        <v>2.3148148148148149E-4</v>
      </c>
      <c r="L342" s="5">
        <f>40 / 86400</f>
        <v>4.6296296296296298E-4</v>
      </c>
    </row>
    <row r="343" spans="1:12" x14ac:dyDescent="0.25">
      <c r="A343" s="3">
        <v>45716.434965277775</v>
      </c>
      <c r="B343" t="s">
        <v>304</v>
      </c>
      <c r="C343" s="3">
        <v>45716.435335648144</v>
      </c>
      <c r="D343" t="s">
        <v>305</v>
      </c>
      <c r="E343" s="4">
        <v>4.1101090729236602E-2</v>
      </c>
      <c r="F343" s="4">
        <v>351469.21842857008</v>
      </c>
      <c r="G343" s="4">
        <v>351469.25952966081</v>
      </c>
      <c r="H343" s="5">
        <f t="shared" si="2"/>
        <v>0</v>
      </c>
      <c r="I343" t="s">
        <v>64</v>
      </c>
      <c r="J343" t="s">
        <v>25</v>
      </c>
      <c r="K343" s="5">
        <f>32 / 86400</f>
        <v>3.7037037037037035E-4</v>
      </c>
      <c r="L343" s="5">
        <f>4 / 86400</f>
        <v>4.6296296296296294E-5</v>
      </c>
    </row>
    <row r="344" spans="1:12" x14ac:dyDescent="0.25">
      <c r="A344" s="3">
        <v>45716.435381944444</v>
      </c>
      <c r="B344" t="s">
        <v>305</v>
      </c>
      <c r="C344" s="3">
        <v>45716.439317129625</v>
      </c>
      <c r="D344" t="s">
        <v>306</v>
      </c>
      <c r="E344" s="4">
        <v>2.7245150681734085</v>
      </c>
      <c r="F344" s="4">
        <v>351469.2635470886</v>
      </c>
      <c r="G344" s="4">
        <v>351471.98806215677</v>
      </c>
      <c r="H344" s="5">
        <f t="shared" si="2"/>
        <v>0</v>
      </c>
      <c r="I344" t="s">
        <v>307</v>
      </c>
      <c r="J344" t="s">
        <v>142</v>
      </c>
      <c r="K344" s="5">
        <f>340 / 86400</f>
        <v>3.9351851851851848E-3</v>
      </c>
      <c r="L344" s="5">
        <f>20 / 86400</f>
        <v>2.3148148148148149E-4</v>
      </c>
    </row>
    <row r="345" spans="1:12" x14ac:dyDescent="0.25">
      <c r="A345" s="3">
        <v>45716.43954861111</v>
      </c>
      <c r="B345" t="s">
        <v>21</v>
      </c>
      <c r="C345" s="3">
        <v>45716.444409722222</v>
      </c>
      <c r="D345" t="s">
        <v>161</v>
      </c>
      <c r="E345" s="4">
        <v>2.1167237862944601</v>
      </c>
      <c r="F345" s="4">
        <v>351472.01880852692</v>
      </c>
      <c r="G345" s="4">
        <v>351474.1355323132</v>
      </c>
      <c r="H345" s="5">
        <f t="shared" si="2"/>
        <v>0</v>
      </c>
      <c r="I345" t="s">
        <v>149</v>
      </c>
      <c r="J345" t="s">
        <v>20</v>
      </c>
      <c r="K345" s="5">
        <f>420 / 86400</f>
        <v>4.8611111111111112E-3</v>
      </c>
      <c r="L345" s="5">
        <f>297 / 86400</f>
        <v>3.4375E-3</v>
      </c>
    </row>
    <row r="346" spans="1:12" x14ac:dyDescent="0.25">
      <c r="A346" s="3">
        <v>45716.447847222225</v>
      </c>
      <c r="B346" t="s">
        <v>161</v>
      </c>
      <c r="C346" s="3">
        <v>45716.449189814812</v>
      </c>
      <c r="D346" t="s">
        <v>50</v>
      </c>
      <c r="E346" s="4">
        <v>0.4658680768609047</v>
      </c>
      <c r="F346" s="4">
        <v>351474.14714769437</v>
      </c>
      <c r="G346" s="4">
        <v>351474.6130157712</v>
      </c>
      <c r="H346" s="5">
        <f t="shared" si="2"/>
        <v>0</v>
      </c>
      <c r="I346" t="s">
        <v>142</v>
      </c>
      <c r="J346" t="s">
        <v>72</v>
      </c>
      <c r="K346" s="5">
        <f>116 / 86400</f>
        <v>1.3425925925925925E-3</v>
      </c>
      <c r="L346" s="5">
        <f>20 / 86400</f>
        <v>2.3148148148148149E-4</v>
      </c>
    </row>
    <row r="347" spans="1:12" x14ac:dyDescent="0.25">
      <c r="A347" s="3">
        <v>45716.449421296296</v>
      </c>
      <c r="B347" t="s">
        <v>308</v>
      </c>
      <c r="C347" s="3">
        <v>45716.450902777782</v>
      </c>
      <c r="D347" t="s">
        <v>50</v>
      </c>
      <c r="E347" s="4">
        <v>0.41630890130996706</v>
      </c>
      <c r="F347" s="4">
        <v>351474.6157543704</v>
      </c>
      <c r="G347" s="4">
        <v>351475.03206327168</v>
      </c>
      <c r="H347" s="5">
        <f t="shared" si="2"/>
        <v>0</v>
      </c>
      <c r="I347" t="s">
        <v>31</v>
      </c>
      <c r="J347" t="s">
        <v>28</v>
      </c>
      <c r="K347" s="5">
        <f>128 / 86400</f>
        <v>1.4814814814814814E-3</v>
      </c>
      <c r="L347" s="5">
        <f>3041 / 86400</f>
        <v>3.5196759259259261E-2</v>
      </c>
    </row>
    <row r="348" spans="1:12" x14ac:dyDescent="0.25">
      <c r="A348" s="3">
        <v>45716.48609953704</v>
      </c>
      <c r="B348" t="s">
        <v>50</v>
      </c>
      <c r="C348" s="3">
        <v>45716.487326388888</v>
      </c>
      <c r="D348" t="s">
        <v>309</v>
      </c>
      <c r="E348" s="4">
        <v>0.30973192518949511</v>
      </c>
      <c r="F348" s="4">
        <v>351475.04626715829</v>
      </c>
      <c r="G348" s="4">
        <v>351475.35599908343</v>
      </c>
      <c r="H348" s="5">
        <f t="shared" si="2"/>
        <v>0</v>
      </c>
      <c r="I348" t="s">
        <v>140</v>
      </c>
      <c r="J348" t="s">
        <v>100</v>
      </c>
      <c r="K348" s="5">
        <f>106 / 86400</f>
        <v>1.2268518518518518E-3</v>
      </c>
      <c r="L348" s="5">
        <f>40 / 86400</f>
        <v>4.6296296296296298E-4</v>
      </c>
    </row>
    <row r="349" spans="1:12" x14ac:dyDescent="0.25">
      <c r="A349" s="3">
        <v>45716.487789351857</v>
      </c>
      <c r="B349" t="s">
        <v>309</v>
      </c>
      <c r="C349" s="3">
        <v>45716.488217592589</v>
      </c>
      <c r="D349" t="s">
        <v>310</v>
      </c>
      <c r="E349" s="4">
        <v>7.4456018209457398E-3</v>
      </c>
      <c r="F349" s="4">
        <v>351475.35887117981</v>
      </c>
      <c r="G349" s="4">
        <v>351475.36631678161</v>
      </c>
      <c r="H349" s="5">
        <f t="shared" si="2"/>
        <v>0</v>
      </c>
      <c r="I349" t="s">
        <v>25</v>
      </c>
      <c r="J349" t="s">
        <v>59</v>
      </c>
      <c r="K349" s="5">
        <f>37 / 86400</f>
        <v>4.2824074074074075E-4</v>
      </c>
      <c r="L349" s="5">
        <f>2241 / 86400</f>
        <v>2.5937499999999999E-2</v>
      </c>
    </row>
    <row r="350" spans="1:12" x14ac:dyDescent="0.25">
      <c r="A350" s="3">
        <v>45716.514155092591</v>
      </c>
      <c r="B350" t="s">
        <v>309</v>
      </c>
      <c r="C350" s="3">
        <v>45716.514837962968</v>
      </c>
      <c r="D350" t="s">
        <v>88</v>
      </c>
      <c r="E350" s="4">
        <v>1.1816829323768615E-2</v>
      </c>
      <c r="F350" s="4">
        <v>351475.38822733704</v>
      </c>
      <c r="G350" s="4">
        <v>351475.40004416637</v>
      </c>
      <c r="H350" s="5">
        <f t="shared" si="2"/>
        <v>0</v>
      </c>
      <c r="I350" t="s">
        <v>25</v>
      </c>
      <c r="J350" t="s">
        <v>59</v>
      </c>
      <c r="K350" s="5">
        <f>59 / 86400</f>
        <v>6.8287037037037036E-4</v>
      </c>
      <c r="L350" s="5">
        <f>2269 / 86400</f>
        <v>2.6261574074074073E-2</v>
      </c>
    </row>
    <row r="351" spans="1:12" x14ac:dyDescent="0.25">
      <c r="A351" s="3">
        <v>45716.541099537033</v>
      </c>
      <c r="B351" t="s">
        <v>88</v>
      </c>
      <c r="C351" s="3">
        <v>45716.541620370372</v>
      </c>
      <c r="D351" t="s">
        <v>146</v>
      </c>
      <c r="E351" s="4">
        <v>7.8780470371246344E-2</v>
      </c>
      <c r="F351" s="4">
        <v>351475.4136428351</v>
      </c>
      <c r="G351" s="4">
        <v>351475.49242330546</v>
      </c>
      <c r="H351" s="5">
        <f t="shared" si="2"/>
        <v>0</v>
      </c>
      <c r="I351" t="s">
        <v>35</v>
      </c>
      <c r="J351" t="s">
        <v>137</v>
      </c>
      <c r="K351" s="5">
        <f>45 / 86400</f>
        <v>5.2083333333333333E-4</v>
      </c>
      <c r="L351" s="5">
        <f>40 / 86400</f>
        <v>4.6296296296296298E-4</v>
      </c>
    </row>
    <row r="352" spans="1:12" x14ac:dyDescent="0.25">
      <c r="A352" s="3">
        <v>45716.542083333334</v>
      </c>
      <c r="B352" t="s">
        <v>146</v>
      </c>
      <c r="C352" s="3">
        <v>45716.542314814811</v>
      </c>
      <c r="D352" t="s">
        <v>146</v>
      </c>
      <c r="E352" s="4">
        <v>2.0963689684867859E-3</v>
      </c>
      <c r="F352" s="4">
        <v>351475.49635487393</v>
      </c>
      <c r="G352" s="4">
        <v>351475.49845124292</v>
      </c>
      <c r="H352" s="5">
        <f t="shared" si="2"/>
        <v>0</v>
      </c>
      <c r="I352" t="s">
        <v>59</v>
      </c>
      <c r="J352" t="s">
        <v>22</v>
      </c>
      <c r="K352" s="5">
        <f>20 / 86400</f>
        <v>2.3148148148148149E-4</v>
      </c>
      <c r="L352" s="5">
        <f>3 / 86400</f>
        <v>3.4722222222222222E-5</v>
      </c>
    </row>
    <row r="353" spans="1:12" x14ac:dyDescent="0.25">
      <c r="A353" s="3">
        <v>45716.542349537034</v>
      </c>
      <c r="B353" t="s">
        <v>146</v>
      </c>
      <c r="C353" s="3">
        <v>45716.542847222227</v>
      </c>
      <c r="D353" t="s">
        <v>134</v>
      </c>
      <c r="E353" s="4">
        <v>0.20545703494548798</v>
      </c>
      <c r="F353" s="4">
        <v>351475.50142359344</v>
      </c>
      <c r="G353" s="4">
        <v>351475.70688062842</v>
      </c>
      <c r="H353" s="5">
        <f t="shared" si="2"/>
        <v>0</v>
      </c>
      <c r="I353" t="s">
        <v>142</v>
      </c>
      <c r="J353" t="s">
        <v>62</v>
      </c>
      <c r="K353" s="5">
        <f>43 / 86400</f>
        <v>4.9768518518518521E-4</v>
      </c>
      <c r="L353" s="5">
        <f>20 / 86400</f>
        <v>2.3148148148148149E-4</v>
      </c>
    </row>
    <row r="354" spans="1:12" x14ac:dyDescent="0.25">
      <c r="A354" s="3">
        <v>45716.543078703704</v>
      </c>
      <c r="B354" t="s">
        <v>134</v>
      </c>
      <c r="C354" s="3">
        <v>45716.544236111113</v>
      </c>
      <c r="D354" t="s">
        <v>311</v>
      </c>
      <c r="E354" s="4">
        <v>0.62552544891834261</v>
      </c>
      <c r="F354" s="4">
        <v>351475.81725985504</v>
      </c>
      <c r="G354" s="4">
        <v>351476.44278530392</v>
      </c>
      <c r="H354" s="5">
        <f t="shared" si="2"/>
        <v>0</v>
      </c>
      <c r="I354" t="s">
        <v>182</v>
      </c>
      <c r="J354" t="s">
        <v>153</v>
      </c>
      <c r="K354" s="5">
        <f>100 / 86400</f>
        <v>1.1574074074074073E-3</v>
      </c>
      <c r="L354" s="5">
        <f>20 / 86400</f>
        <v>2.3148148148148149E-4</v>
      </c>
    </row>
    <row r="355" spans="1:12" x14ac:dyDescent="0.25">
      <c r="A355" s="3">
        <v>45716.544467592597</v>
      </c>
      <c r="B355" t="s">
        <v>311</v>
      </c>
      <c r="C355" s="3">
        <v>45716.545624999999</v>
      </c>
      <c r="D355" t="s">
        <v>306</v>
      </c>
      <c r="E355" s="4">
        <v>0.55236442333459856</v>
      </c>
      <c r="F355" s="4">
        <v>351476.53368835541</v>
      </c>
      <c r="G355" s="4">
        <v>351477.0860527787</v>
      </c>
      <c r="H355" s="5">
        <f t="shared" si="2"/>
        <v>0</v>
      </c>
      <c r="I355" t="s">
        <v>207</v>
      </c>
      <c r="J355" t="s">
        <v>108</v>
      </c>
      <c r="K355" s="5">
        <f>100 / 86400</f>
        <v>1.1574074074074073E-3</v>
      </c>
      <c r="L355" s="5">
        <f>20 / 86400</f>
        <v>2.3148148148148149E-4</v>
      </c>
    </row>
    <row r="356" spans="1:12" x14ac:dyDescent="0.25">
      <c r="A356" s="3">
        <v>45716.545856481476</v>
      </c>
      <c r="B356" t="s">
        <v>306</v>
      </c>
      <c r="C356" s="3">
        <v>45716.546782407408</v>
      </c>
      <c r="D356" t="s">
        <v>312</v>
      </c>
      <c r="E356" s="4">
        <v>0.42889974504709244</v>
      </c>
      <c r="F356" s="4">
        <v>351477.09292252432</v>
      </c>
      <c r="G356" s="4">
        <v>351477.52182226937</v>
      </c>
      <c r="H356" s="5">
        <f t="shared" si="2"/>
        <v>0</v>
      </c>
      <c r="I356" t="s">
        <v>183</v>
      </c>
      <c r="J356" t="s">
        <v>85</v>
      </c>
      <c r="K356" s="5">
        <f>80 / 86400</f>
        <v>9.2592592592592596E-4</v>
      </c>
      <c r="L356" s="5">
        <f>6 / 86400</f>
        <v>6.9444444444444444E-5</v>
      </c>
    </row>
    <row r="357" spans="1:12" x14ac:dyDescent="0.25">
      <c r="A357" s="3">
        <v>45716.546851851846</v>
      </c>
      <c r="B357" t="s">
        <v>312</v>
      </c>
      <c r="C357" s="3">
        <v>45716.550740740742</v>
      </c>
      <c r="D357" t="s">
        <v>313</v>
      </c>
      <c r="E357" s="4">
        <v>1.94353669154644</v>
      </c>
      <c r="F357" s="4">
        <v>351477.52635860542</v>
      </c>
      <c r="G357" s="4">
        <v>351479.46989529696</v>
      </c>
      <c r="H357" s="5">
        <f t="shared" si="2"/>
        <v>0</v>
      </c>
      <c r="I357" t="s">
        <v>182</v>
      </c>
      <c r="J357" t="s">
        <v>190</v>
      </c>
      <c r="K357" s="5">
        <f>336 / 86400</f>
        <v>3.8888888888888888E-3</v>
      </c>
      <c r="L357" s="5">
        <f>8 / 86400</f>
        <v>9.2592592592592588E-5</v>
      </c>
    </row>
    <row r="358" spans="1:12" x14ac:dyDescent="0.25">
      <c r="A358" s="3">
        <v>45716.550833333335</v>
      </c>
      <c r="B358" t="s">
        <v>313</v>
      </c>
      <c r="C358" s="3">
        <v>45716.551886574074</v>
      </c>
      <c r="D358" t="s">
        <v>314</v>
      </c>
      <c r="E358" s="4">
        <v>0.30243291950225831</v>
      </c>
      <c r="F358" s="4">
        <v>351479.47498533415</v>
      </c>
      <c r="G358" s="4">
        <v>351479.77741825365</v>
      </c>
      <c r="H358" s="5">
        <f t="shared" si="2"/>
        <v>0</v>
      </c>
      <c r="I358" t="s">
        <v>35</v>
      </c>
      <c r="J358" t="s">
        <v>28</v>
      </c>
      <c r="K358" s="5">
        <f>91 / 86400</f>
        <v>1.0532407407407407E-3</v>
      </c>
      <c r="L358" s="5">
        <f>20 / 86400</f>
        <v>2.3148148148148149E-4</v>
      </c>
    </row>
    <row r="359" spans="1:12" x14ac:dyDescent="0.25">
      <c r="A359" s="3">
        <v>45716.552118055552</v>
      </c>
      <c r="B359" t="s">
        <v>314</v>
      </c>
      <c r="C359" s="3">
        <v>45716.552812499998</v>
      </c>
      <c r="D359" t="s">
        <v>315</v>
      </c>
      <c r="E359" s="4">
        <v>0.33725219911336901</v>
      </c>
      <c r="F359" s="4">
        <v>351479.80571344384</v>
      </c>
      <c r="G359" s="4">
        <v>351480.14296564291</v>
      </c>
      <c r="H359" s="5">
        <f t="shared" si="2"/>
        <v>0</v>
      </c>
      <c r="I359" t="s">
        <v>28</v>
      </c>
      <c r="J359" t="s">
        <v>108</v>
      </c>
      <c r="K359" s="5">
        <f>60 / 86400</f>
        <v>6.9444444444444447E-4</v>
      </c>
      <c r="L359" s="5">
        <f>20 / 86400</f>
        <v>2.3148148148148149E-4</v>
      </c>
    </row>
    <row r="360" spans="1:12" x14ac:dyDescent="0.25">
      <c r="A360" s="3">
        <v>45716.553043981483</v>
      </c>
      <c r="B360" t="s">
        <v>316</v>
      </c>
      <c r="C360" s="3">
        <v>45716.553657407407</v>
      </c>
      <c r="D360" t="s">
        <v>317</v>
      </c>
      <c r="E360" s="4">
        <v>0.17747836101055145</v>
      </c>
      <c r="F360" s="4">
        <v>351480.2567847126</v>
      </c>
      <c r="G360" s="4">
        <v>351480.43426307361</v>
      </c>
      <c r="H360" s="5">
        <f t="shared" si="2"/>
        <v>0</v>
      </c>
      <c r="I360" t="s">
        <v>130</v>
      </c>
      <c r="J360" t="s">
        <v>28</v>
      </c>
      <c r="K360" s="5">
        <f>53 / 86400</f>
        <v>6.134259259259259E-4</v>
      </c>
      <c r="L360" s="5">
        <f>3 / 86400</f>
        <v>3.4722222222222222E-5</v>
      </c>
    </row>
    <row r="361" spans="1:12" x14ac:dyDescent="0.25">
      <c r="A361" s="3">
        <v>45716.55369212963</v>
      </c>
      <c r="B361" t="s">
        <v>317</v>
      </c>
      <c r="C361" s="3">
        <v>45716.556099537032</v>
      </c>
      <c r="D361" t="s">
        <v>297</v>
      </c>
      <c r="E361" s="4">
        <v>1.1440059043169022</v>
      </c>
      <c r="F361" s="4">
        <v>351480.43735829159</v>
      </c>
      <c r="G361" s="4">
        <v>351481.58136419591</v>
      </c>
      <c r="H361" s="5">
        <f t="shared" si="2"/>
        <v>0</v>
      </c>
      <c r="I361" t="s">
        <v>318</v>
      </c>
      <c r="J361" t="s">
        <v>108</v>
      </c>
      <c r="K361" s="5">
        <f>208 / 86400</f>
        <v>2.4074074074074076E-3</v>
      </c>
      <c r="L361" s="5">
        <f>29 / 86400</f>
        <v>3.3564814814814812E-4</v>
      </c>
    </row>
    <row r="362" spans="1:12" x14ac:dyDescent="0.25">
      <c r="A362" s="3">
        <v>45716.556435185186</v>
      </c>
      <c r="B362" t="s">
        <v>319</v>
      </c>
      <c r="C362" s="3">
        <v>45716.561261574076</v>
      </c>
      <c r="D362" t="s">
        <v>294</v>
      </c>
      <c r="E362" s="4">
        <v>4.5635880814790726</v>
      </c>
      <c r="F362" s="4">
        <v>351481.58604030142</v>
      </c>
      <c r="G362" s="4">
        <v>351486.14962838293</v>
      </c>
      <c r="H362" s="5">
        <f t="shared" si="2"/>
        <v>0</v>
      </c>
      <c r="I362" t="s">
        <v>65</v>
      </c>
      <c r="J362" t="s">
        <v>211</v>
      </c>
      <c r="K362" s="5">
        <f>417 / 86400</f>
        <v>4.8263888888888887E-3</v>
      </c>
      <c r="L362" s="5">
        <f>20 / 86400</f>
        <v>2.3148148148148149E-4</v>
      </c>
    </row>
    <row r="363" spans="1:12" x14ac:dyDescent="0.25">
      <c r="A363" s="3">
        <v>45716.56149305556</v>
      </c>
      <c r="B363" t="s">
        <v>294</v>
      </c>
      <c r="C363" s="3">
        <v>45716.56450231481</v>
      </c>
      <c r="D363" t="s">
        <v>36</v>
      </c>
      <c r="E363" s="4">
        <v>2.5397471846938133</v>
      </c>
      <c r="F363" s="4">
        <v>351486.1644984103</v>
      </c>
      <c r="G363" s="4">
        <v>351488.70424559497</v>
      </c>
      <c r="H363" s="5">
        <f t="shared" si="2"/>
        <v>0</v>
      </c>
      <c r="I363" t="s">
        <v>219</v>
      </c>
      <c r="J363" t="s">
        <v>97</v>
      </c>
      <c r="K363" s="5">
        <f>260 / 86400</f>
        <v>3.0092592592592593E-3</v>
      </c>
      <c r="L363" s="5">
        <f>18 / 86400</f>
        <v>2.0833333333333335E-4</v>
      </c>
    </row>
    <row r="364" spans="1:12" x14ac:dyDescent="0.25">
      <c r="A364" s="3">
        <v>45716.564710648148</v>
      </c>
      <c r="B364" t="s">
        <v>36</v>
      </c>
      <c r="C364" s="3">
        <v>45716.565405092595</v>
      </c>
      <c r="D364" t="s">
        <v>203</v>
      </c>
      <c r="E364" s="4">
        <v>0.79077801293134686</v>
      </c>
      <c r="F364" s="4">
        <v>351488.8095325756</v>
      </c>
      <c r="G364" s="4">
        <v>351489.60031058855</v>
      </c>
      <c r="H364" s="5">
        <f t="shared" si="2"/>
        <v>0</v>
      </c>
      <c r="I364" t="s">
        <v>175</v>
      </c>
      <c r="J364" t="s">
        <v>181</v>
      </c>
      <c r="K364" s="5">
        <f>60 / 86400</f>
        <v>6.9444444444444447E-4</v>
      </c>
      <c r="L364" s="5">
        <f>20 / 86400</f>
        <v>2.3148148148148149E-4</v>
      </c>
    </row>
    <row r="365" spans="1:12" x14ac:dyDescent="0.25">
      <c r="A365" s="3">
        <v>45716.565636574072</v>
      </c>
      <c r="B365" t="s">
        <v>203</v>
      </c>
      <c r="C365" s="3">
        <v>45716.567719907413</v>
      </c>
      <c r="D365" t="s">
        <v>166</v>
      </c>
      <c r="E365" s="4">
        <v>1.632247577548027</v>
      </c>
      <c r="F365" s="4">
        <v>351489.60929927416</v>
      </c>
      <c r="G365" s="4">
        <v>351491.2415468517</v>
      </c>
      <c r="H365" s="5">
        <f t="shared" si="2"/>
        <v>0</v>
      </c>
      <c r="I365" t="s">
        <v>70</v>
      </c>
      <c r="J365" t="s">
        <v>179</v>
      </c>
      <c r="K365" s="5">
        <f>180 / 86400</f>
        <v>2.0833333333333333E-3</v>
      </c>
      <c r="L365" s="5">
        <f>40 / 86400</f>
        <v>4.6296296296296298E-4</v>
      </c>
    </row>
    <row r="366" spans="1:12" x14ac:dyDescent="0.25">
      <c r="A366" s="3">
        <v>45716.568182870367</v>
      </c>
      <c r="B366" t="s">
        <v>169</v>
      </c>
      <c r="C366" s="3">
        <v>45716.574363425927</v>
      </c>
      <c r="D366" t="s">
        <v>172</v>
      </c>
      <c r="E366" s="4">
        <v>5.0366965647339823</v>
      </c>
      <c r="F366" s="4">
        <v>351491.30562836269</v>
      </c>
      <c r="G366" s="4">
        <v>351496.34232492745</v>
      </c>
      <c r="H366" s="5">
        <f t="shared" si="2"/>
        <v>0</v>
      </c>
      <c r="I366" t="s">
        <v>30</v>
      </c>
      <c r="J366" t="s">
        <v>182</v>
      </c>
      <c r="K366" s="5">
        <f>534 / 86400</f>
        <v>6.1805555555555555E-3</v>
      </c>
      <c r="L366" s="5">
        <f>20 / 86400</f>
        <v>2.3148148148148149E-4</v>
      </c>
    </row>
    <row r="367" spans="1:12" x14ac:dyDescent="0.25">
      <c r="A367" s="3">
        <v>45716.574594907404</v>
      </c>
      <c r="B367" t="s">
        <v>172</v>
      </c>
      <c r="C367" s="3">
        <v>45716.575752314813</v>
      </c>
      <c r="D367" t="s">
        <v>77</v>
      </c>
      <c r="E367" s="4">
        <v>1.3457551504969596</v>
      </c>
      <c r="F367" s="4">
        <v>351496.36955738364</v>
      </c>
      <c r="G367" s="4">
        <v>351497.71531253413</v>
      </c>
      <c r="H367" s="5">
        <f t="shared" si="2"/>
        <v>0</v>
      </c>
      <c r="I367" t="s">
        <v>70</v>
      </c>
      <c r="J367" t="s">
        <v>307</v>
      </c>
      <c r="K367" s="5">
        <f>100 / 86400</f>
        <v>1.1574074074074073E-3</v>
      </c>
      <c r="L367" s="5">
        <f>12 / 86400</f>
        <v>1.3888888888888889E-4</v>
      </c>
    </row>
    <row r="368" spans="1:12" x14ac:dyDescent="0.25">
      <c r="A368" s="3">
        <v>45716.575891203705</v>
      </c>
      <c r="B368" t="s">
        <v>77</v>
      </c>
      <c r="C368" s="3">
        <v>45716.579594907409</v>
      </c>
      <c r="D368" t="s">
        <v>96</v>
      </c>
      <c r="E368" s="4">
        <v>3.6569626632928847</v>
      </c>
      <c r="F368" s="4">
        <v>351497.7200591577</v>
      </c>
      <c r="G368" s="4">
        <v>351501.37702182098</v>
      </c>
      <c r="H368" s="5">
        <f t="shared" si="2"/>
        <v>0</v>
      </c>
      <c r="I368" t="s">
        <v>175</v>
      </c>
      <c r="J368" t="s">
        <v>167</v>
      </c>
      <c r="K368" s="5">
        <f>320 / 86400</f>
        <v>3.7037037037037038E-3</v>
      </c>
      <c r="L368" s="5">
        <f>40 / 86400</f>
        <v>4.6296296296296298E-4</v>
      </c>
    </row>
    <row r="369" spans="1:12" x14ac:dyDescent="0.25">
      <c r="A369" s="3">
        <v>45716.580057870371</v>
      </c>
      <c r="B369" t="s">
        <v>96</v>
      </c>
      <c r="C369" s="3">
        <v>45716.582372685181</v>
      </c>
      <c r="D369" t="s">
        <v>208</v>
      </c>
      <c r="E369" s="4">
        <v>1.6978449036478995</v>
      </c>
      <c r="F369" s="4">
        <v>351501.39236362756</v>
      </c>
      <c r="G369" s="4">
        <v>351503.09020853118</v>
      </c>
      <c r="H369" s="5">
        <f t="shared" si="2"/>
        <v>0</v>
      </c>
      <c r="I369" t="s">
        <v>227</v>
      </c>
      <c r="J369" t="s">
        <v>206</v>
      </c>
      <c r="K369" s="5">
        <f>200 / 86400</f>
        <v>2.3148148148148147E-3</v>
      </c>
      <c r="L369" s="5">
        <f>100 / 86400</f>
        <v>1.1574074074074073E-3</v>
      </c>
    </row>
    <row r="370" spans="1:12" x14ac:dyDescent="0.25">
      <c r="A370" s="3">
        <v>45716.583530092597</v>
      </c>
      <c r="B370" t="s">
        <v>96</v>
      </c>
      <c r="C370" s="3">
        <v>45716.583993055552</v>
      </c>
      <c r="D370" t="s">
        <v>96</v>
      </c>
      <c r="E370" s="4">
        <v>0.32030994200706481</v>
      </c>
      <c r="F370" s="4">
        <v>351503.30564792006</v>
      </c>
      <c r="G370" s="4">
        <v>351503.62595786207</v>
      </c>
      <c r="H370" s="5">
        <f t="shared" si="2"/>
        <v>0</v>
      </c>
      <c r="I370" t="s">
        <v>320</v>
      </c>
      <c r="J370" t="s">
        <v>142</v>
      </c>
      <c r="K370" s="5">
        <f>40 / 86400</f>
        <v>4.6296296296296298E-4</v>
      </c>
      <c r="L370" s="5">
        <f>8 / 86400</f>
        <v>9.2592592592592588E-5</v>
      </c>
    </row>
    <row r="371" spans="1:12" x14ac:dyDescent="0.25">
      <c r="A371" s="3">
        <v>45716.584085648152</v>
      </c>
      <c r="B371" t="s">
        <v>96</v>
      </c>
      <c r="C371" s="3">
        <v>45716.585243055553</v>
      </c>
      <c r="D371" t="s">
        <v>99</v>
      </c>
      <c r="E371" s="4">
        <v>1.2753660412430763</v>
      </c>
      <c r="F371" s="4">
        <v>351503.62999244739</v>
      </c>
      <c r="G371" s="4">
        <v>351504.90535848861</v>
      </c>
      <c r="H371" s="5">
        <f t="shared" ref="H371:H434" si="3">0 / 86400</f>
        <v>0</v>
      </c>
      <c r="I371" t="s">
        <v>155</v>
      </c>
      <c r="J371" t="s">
        <v>176</v>
      </c>
      <c r="K371" s="5">
        <f>100 / 86400</f>
        <v>1.1574074074074073E-3</v>
      </c>
      <c r="L371" s="5">
        <f>20 / 86400</f>
        <v>2.3148148148148149E-4</v>
      </c>
    </row>
    <row r="372" spans="1:12" x14ac:dyDescent="0.25">
      <c r="A372" s="3">
        <v>45716.585474537038</v>
      </c>
      <c r="B372" t="s">
        <v>99</v>
      </c>
      <c r="C372" s="3">
        <v>45716.587326388893</v>
      </c>
      <c r="D372" t="s">
        <v>99</v>
      </c>
      <c r="E372" s="4">
        <v>0.92433300888538361</v>
      </c>
      <c r="F372" s="4">
        <v>351504.97506599355</v>
      </c>
      <c r="G372" s="4">
        <v>351505.89939900243</v>
      </c>
      <c r="H372" s="5">
        <f t="shared" si="3"/>
        <v>0</v>
      </c>
      <c r="I372" t="s">
        <v>185</v>
      </c>
      <c r="J372" t="s">
        <v>190</v>
      </c>
      <c r="K372" s="5">
        <f>160 / 86400</f>
        <v>1.8518518518518519E-3</v>
      </c>
      <c r="L372" s="5">
        <f>7 / 86400</f>
        <v>8.1018518518518516E-5</v>
      </c>
    </row>
    <row r="373" spans="1:12" x14ac:dyDescent="0.25">
      <c r="A373" s="3">
        <v>45716.587407407409</v>
      </c>
      <c r="B373" t="s">
        <v>99</v>
      </c>
      <c r="C373" s="3">
        <v>45716.588101851856</v>
      </c>
      <c r="D373" t="s">
        <v>321</v>
      </c>
      <c r="E373" s="4">
        <v>0.33803394526243208</v>
      </c>
      <c r="F373" s="4">
        <v>351505.90706244198</v>
      </c>
      <c r="G373" s="4">
        <v>351506.24509638728</v>
      </c>
      <c r="H373" s="5">
        <f t="shared" si="3"/>
        <v>0</v>
      </c>
      <c r="I373" t="s">
        <v>179</v>
      </c>
      <c r="J373" t="s">
        <v>108</v>
      </c>
      <c r="K373" s="5">
        <f>60 / 86400</f>
        <v>6.9444444444444447E-4</v>
      </c>
      <c r="L373" s="5">
        <f>40 / 86400</f>
        <v>4.6296296296296298E-4</v>
      </c>
    </row>
    <row r="374" spans="1:12" x14ac:dyDescent="0.25">
      <c r="A374" s="3">
        <v>45716.588564814811</v>
      </c>
      <c r="B374" t="s">
        <v>99</v>
      </c>
      <c r="C374" s="3">
        <v>45716.591712962967</v>
      </c>
      <c r="D374" t="s">
        <v>184</v>
      </c>
      <c r="E374" s="4">
        <v>1.0522090908288955</v>
      </c>
      <c r="F374" s="4">
        <v>351506.2737572873</v>
      </c>
      <c r="G374" s="4">
        <v>351507.32596637815</v>
      </c>
      <c r="H374" s="5">
        <f t="shared" si="3"/>
        <v>0</v>
      </c>
      <c r="I374" t="s">
        <v>165</v>
      </c>
      <c r="J374" t="s">
        <v>72</v>
      </c>
      <c r="K374" s="5">
        <f>272 / 86400</f>
        <v>3.1481481481481482E-3</v>
      </c>
      <c r="L374" s="5">
        <f>10 / 86400</f>
        <v>1.1574074074074075E-4</v>
      </c>
    </row>
    <row r="375" spans="1:12" x14ac:dyDescent="0.25">
      <c r="A375" s="3">
        <v>45716.591828703706</v>
      </c>
      <c r="B375" t="s">
        <v>184</v>
      </c>
      <c r="C375" s="3">
        <v>45716.593449074076</v>
      </c>
      <c r="D375" t="s">
        <v>186</v>
      </c>
      <c r="E375" s="4">
        <v>0.33205464786291122</v>
      </c>
      <c r="F375" s="4">
        <v>351507.33400000032</v>
      </c>
      <c r="G375" s="4">
        <v>351507.66605464817</v>
      </c>
      <c r="H375" s="5">
        <f t="shared" si="3"/>
        <v>0</v>
      </c>
      <c r="I375" t="s">
        <v>62</v>
      </c>
      <c r="J375" t="s">
        <v>132</v>
      </c>
      <c r="K375" s="5">
        <f>140 / 86400</f>
        <v>1.6203703703703703E-3</v>
      </c>
      <c r="L375" s="5">
        <f>20 / 86400</f>
        <v>2.3148148148148149E-4</v>
      </c>
    </row>
    <row r="376" spans="1:12" x14ac:dyDescent="0.25">
      <c r="A376" s="3">
        <v>45716.593680555554</v>
      </c>
      <c r="B376" t="s">
        <v>163</v>
      </c>
      <c r="C376" s="3">
        <v>45716.593912037039</v>
      </c>
      <c r="D376" t="s">
        <v>184</v>
      </c>
      <c r="E376" s="4">
        <v>2.3594571709632875E-2</v>
      </c>
      <c r="F376" s="4">
        <v>351507.68769999401</v>
      </c>
      <c r="G376" s="4">
        <v>351507.71129456576</v>
      </c>
      <c r="H376" s="5">
        <f t="shared" si="3"/>
        <v>0</v>
      </c>
      <c r="I376" t="s">
        <v>59</v>
      </c>
      <c r="J376" t="s">
        <v>147</v>
      </c>
      <c r="K376" s="5">
        <f>20 / 86400</f>
        <v>2.3148148148148149E-4</v>
      </c>
      <c r="L376" s="5">
        <f>3 / 86400</f>
        <v>3.4722222222222222E-5</v>
      </c>
    </row>
    <row r="377" spans="1:12" x14ac:dyDescent="0.25">
      <c r="A377" s="3">
        <v>45716.593946759254</v>
      </c>
      <c r="B377" t="s">
        <v>184</v>
      </c>
      <c r="C377" s="3">
        <v>45716.594641203701</v>
      </c>
      <c r="D377" t="s">
        <v>186</v>
      </c>
      <c r="E377" s="4">
        <v>0.87996722769737246</v>
      </c>
      <c r="F377" s="4">
        <v>351507.71663290414</v>
      </c>
      <c r="G377" s="4">
        <v>351508.59660013183</v>
      </c>
      <c r="H377" s="5">
        <f t="shared" si="3"/>
        <v>0</v>
      </c>
      <c r="I377" t="s">
        <v>47</v>
      </c>
      <c r="J377" t="s">
        <v>205</v>
      </c>
      <c r="K377" s="5">
        <f>60 / 86400</f>
        <v>6.9444444444444447E-4</v>
      </c>
      <c r="L377" s="5">
        <f t="shared" ref="L377:L384" si="4">20 / 86400</f>
        <v>2.3148148148148149E-4</v>
      </c>
    </row>
    <row r="378" spans="1:12" x14ac:dyDescent="0.25">
      <c r="A378" s="3">
        <v>45716.594872685186</v>
      </c>
      <c r="B378" t="s">
        <v>186</v>
      </c>
      <c r="C378" s="3">
        <v>45716.595567129625</v>
      </c>
      <c r="D378" t="s">
        <v>186</v>
      </c>
      <c r="E378" s="4">
        <v>0.21806929928064347</v>
      </c>
      <c r="F378" s="4">
        <v>351508.78426459932</v>
      </c>
      <c r="G378" s="4">
        <v>351509.00233389862</v>
      </c>
      <c r="H378" s="5">
        <f t="shared" si="3"/>
        <v>0</v>
      </c>
      <c r="I378" t="s">
        <v>182</v>
      </c>
      <c r="J378" t="s">
        <v>64</v>
      </c>
      <c r="K378" s="5">
        <f>60 / 86400</f>
        <v>6.9444444444444447E-4</v>
      </c>
      <c r="L378" s="5">
        <f t="shared" si="4"/>
        <v>2.3148148148148149E-4</v>
      </c>
    </row>
    <row r="379" spans="1:12" x14ac:dyDescent="0.25">
      <c r="A379" s="3">
        <v>45716.59579861111</v>
      </c>
      <c r="B379" t="s">
        <v>163</v>
      </c>
      <c r="C379" s="3">
        <v>45716.596030092594</v>
      </c>
      <c r="D379" t="s">
        <v>322</v>
      </c>
      <c r="E379" s="4">
        <v>2.7063959002494812E-2</v>
      </c>
      <c r="F379" s="4">
        <v>351509.08442220528</v>
      </c>
      <c r="G379" s="4">
        <v>351509.11148616427</v>
      </c>
      <c r="H379" s="5">
        <f t="shared" si="3"/>
        <v>0</v>
      </c>
      <c r="I379" t="s">
        <v>236</v>
      </c>
      <c r="J379" t="s">
        <v>25</v>
      </c>
      <c r="K379" s="5">
        <f>20 / 86400</f>
        <v>2.3148148148148149E-4</v>
      </c>
      <c r="L379" s="5">
        <f t="shared" si="4"/>
        <v>2.3148148148148149E-4</v>
      </c>
    </row>
    <row r="380" spans="1:12" x14ac:dyDescent="0.25">
      <c r="A380" s="3">
        <v>45716.596261574072</v>
      </c>
      <c r="B380" t="s">
        <v>283</v>
      </c>
      <c r="C380" s="3">
        <v>45716.596956018519</v>
      </c>
      <c r="D380" t="s">
        <v>216</v>
      </c>
      <c r="E380" s="4">
        <v>0.39664117676019667</v>
      </c>
      <c r="F380" s="4">
        <v>351509.14798323496</v>
      </c>
      <c r="G380" s="4">
        <v>351509.54462441168</v>
      </c>
      <c r="H380" s="5">
        <f t="shared" si="3"/>
        <v>0</v>
      </c>
      <c r="I380" t="s">
        <v>179</v>
      </c>
      <c r="J380" t="s">
        <v>37</v>
      </c>
      <c r="K380" s="5">
        <f>60 / 86400</f>
        <v>6.9444444444444447E-4</v>
      </c>
      <c r="L380" s="5">
        <f t="shared" si="4"/>
        <v>2.3148148148148149E-4</v>
      </c>
    </row>
    <row r="381" spans="1:12" x14ac:dyDescent="0.25">
      <c r="A381" s="3">
        <v>45716.597187499996</v>
      </c>
      <c r="B381" t="s">
        <v>186</v>
      </c>
      <c r="C381" s="3">
        <v>45716.599791666667</v>
      </c>
      <c r="D381" t="s">
        <v>279</v>
      </c>
      <c r="E381" s="4">
        <v>1.5931529146432877</v>
      </c>
      <c r="F381" s="4">
        <v>351509.5842324922</v>
      </c>
      <c r="G381" s="4">
        <v>351511.17738540686</v>
      </c>
      <c r="H381" s="5">
        <f t="shared" si="3"/>
        <v>0</v>
      </c>
      <c r="I381" t="s">
        <v>289</v>
      </c>
      <c r="J381" t="s">
        <v>32</v>
      </c>
      <c r="K381" s="5">
        <f>225 / 86400</f>
        <v>2.6041666666666665E-3</v>
      </c>
      <c r="L381" s="5">
        <f t="shared" si="4"/>
        <v>2.3148148148148149E-4</v>
      </c>
    </row>
    <row r="382" spans="1:12" x14ac:dyDescent="0.25">
      <c r="A382" s="3">
        <v>45716.600023148145</v>
      </c>
      <c r="B382" t="s">
        <v>220</v>
      </c>
      <c r="C382" s="3">
        <v>45716.601319444446</v>
      </c>
      <c r="D382" t="s">
        <v>220</v>
      </c>
      <c r="E382" s="4">
        <v>0.53664661830663685</v>
      </c>
      <c r="F382" s="4">
        <v>351511.24529882625</v>
      </c>
      <c r="G382" s="4">
        <v>351511.78194544459</v>
      </c>
      <c r="H382" s="5">
        <f t="shared" si="3"/>
        <v>0</v>
      </c>
      <c r="I382" t="s">
        <v>179</v>
      </c>
      <c r="J382" t="s">
        <v>62</v>
      </c>
      <c r="K382" s="5">
        <f>112 / 86400</f>
        <v>1.2962962962962963E-3</v>
      </c>
      <c r="L382" s="5">
        <f t="shared" si="4"/>
        <v>2.3148148148148149E-4</v>
      </c>
    </row>
    <row r="383" spans="1:12" x14ac:dyDescent="0.25">
      <c r="A383" s="3">
        <v>45716.60155092593</v>
      </c>
      <c r="B383" t="s">
        <v>221</v>
      </c>
      <c r="C383" s="3">
        <v>45716.602476851855</v>
      </c>
      <c r="D383" t="s">
        <v>68</v>
      </c>
      <c r="E383" s="4">
        <v>0.70234980821609494</v>
      </c>
      <c r="F383" s="4">
        <v>351511.8890497575</v>
      </c>
      <c r="G383" s="4">
        <v>351512.59139956569</v>
      </c>
      <c r="H383" s="5">
        <f t="shared" si="3"/>
        <v>0</v>
      </c>
      <c r="I383" t="s">
        <v>176</v>
      </c>
      <c r="J383" t="s">
        <v>164</v>
      </c>
      <c r="K383" s="5">
        <f>80 / 86400</f>
        <v>9.2592592592592596E-4</v>
      </c>
      <c r="L383" s="5">
        <f t="shared" si="4"/>
        <v>2.3148148148148149E-4</v>
      </c>
    </row>
    <row r="384" spans="1:12" x14ac:dyDescent="0.25">
      <c r="A384" s="3">
        <v>45716.602708333332</v>
      </c>
      <c r="B384" t="s">
        <v>68</v>
      </c>
      <c r="C384" s="3">
        <v>45716.603171296301</v>
      </c>
      <c r="D384" t="s">
        <v>121</v>
      </c>
      <c r="E384" s="4">
        <v>0.28498648667335508</v>
      </c>
      <c r="F384" s="4">
        <v>351512.73073655728</v>
      </c>
      <c r="G384" s="4">
        <v>351513.01572304399</v>
      </c>
      <c r="H384" s="5">
        <f t="shared" si="3"/>
        <v>0</v>
      </c>
      <c r="I384" t="s">
        <v>167</v>
      </c>
      <c r="J384" t="s">
        <v>236</v>
      </c>
      <c r="K384" s="5">
        <f>40 / 86400</f>
        <v>4.6296296296296298E-4</v>
      </c>
      <c r="L384" s="5">
        <f t="shared" si="4"/>
        <v>2.3148148148148149E-4</v>
      </c>
    </row>
    <row r="385" spans="1:12" x14ac:dyDescent="0.25">
      <c r="A385" s="3">
        <v>45716.603402777779</v>
      </c>
      <c r="B385" t="s">
        <v>222</v>
      </c>
      <c r="C385" s="3">
        <v>45716.603807870371</v>
      </c>
      <c r="D385" t="s">
        <v>121</v>
      </c>
      <c r="E385" s="4">
        <v>7.4887843489646916E-2</v>
      </c>
      <c r="F385" s="4">
        <v>351513.05987033743</v>
      </c>
      <c r="G385" s="4">
        <v>351513.13475818094</v>
      </c>
      <c r="H385" s="5">
        <f t="shared" si="3"/>
        <v>0</v>
      </c>
      <c r="I385" t="s">
        <v>100</v>
      </c>
      <c r="J385" t="s">
        <v>214</v>
      </c>
      <c r="K385" s="5">
        <f>35 / 86400</f>
        <v>4.0509259259259258E-4</v>
      </c>
      <c r="L385" s="5">
        <f>88 / 86400</f>
        <v>1.0185185185185184E-3</v>
      </c>
    </row>
    <row r="386" spans="1:12" x14ac:dyDescent="0.25">
      <c r="A386" s="3">
        <v>45716.604826388888</v>
      </c>
      <c r="B386" t="s">
        <v>323</v>
      </c>
      <c r="C386" s="3">
        <v>45716.606446759259</v>
      </c>
      <c r="D386" t="s">
        <v>195</v>
      </c>
      <c r="E386" s="4">
        <v>0.86704932671785351</v>
      </c>
      <c r="F386" s="4">
        <v>351513.17062000441</v>
      </c>
      <c r="G386" s="4">
        <v>351514.03766933113</v>
      </c>
      <c r="H386" s="5">
        <f t="shared" si="3"/>
        <v>0</v>
      </c>
      <c r="I386" t="s">
        <v>167</v>
      </c>
      <c r="J386" t="s">
        <v>130</v>
      </c>
      <c r="K386" s="5">
        <f>140 / 86400</f>
        <v>1.6203703703703703E-3</v>
      </c>
      <c r="L386" s="5">
        <f>60 / 86400</f>
        <v>6.9444444444444447E-4</v>
      </c>
    </row>
    <row r="387" spans="1:12" x14ac:dyDescent="0.25">
      <c r="A387" s="3">
        <v>45716.607141203705</v>
      </c>
      <c r="B387" t="s">
        <v>68</v>
      </c>
      <c r="C387" s="3">
        <v>45716.608530092592</v>
      </c>
      <c r="D387" t="s">
        <v>324</v>
      </c>
      <c r="E387" s="4">
        <v>0.77919855761528012</v>
      </c>
      <c r="F387" s="4">
        <v>351514.10411131376</v>
      </c>
      <c r="G387" s="4">
        <v>351514.88330987137</v>
      </c>
      <c r="H387" s="5">
        <f t="shared" si="3"/>
        <v>0</v>
      </c>
      <c r="I387" t="s">
        <v>164</v>
      </c>
      <c r="J387" t="s">
        <v>153</v>
      </c>
      <c r="K387" s="5">
        <f>120 / 86400</f>
        <v>1.3888888888888889E-3</v>
      </c>
      <c r="L387" s="5">
        <f>20 / 86400</f>
        <v>2.3148148148148149E-4</v>
      </c>
    </row>
    <row r="388" spans="1:12" x14ac:dyDescent="0.25">
      <c r="A388" s="3">
        <v>45716.608761574069</v>
      </c>
      <c r="B388" t="s">
        <v>325</v>
      </c>
      <c r="C388" s="3">
        <v>45716.609224537038</v>
      </c>
      <c r="D388" t="s">
        <v>277</v>
      </c>
      <c r="E388" s="4">
        <v>0.33131193721294405</v>
      </c>
      <c r="F388" s="4">
        <v>351515.01935145317</v>
      </c>
      <c r="G388" s="4">
        <v>351515.35066339042</v>
      </c>
      <c r="H388" s="5">
        <f t="shared" si="3"/>
        <v>0</v>
      </c>
      <c r="I388" t="s">
        <v>173</v>
      </c>
      <c r="J388" t="s">
        <v>149</v>
      </c>
      <c r="K388" s="5">
        <f>40 / 86400</f>
        <v>4.6296296296296298E-4</v>
      </c>
      <c r="L388" s="5">
        <f>9 / 86400</f>
        <v>1.0416666666666667E-4</v>
      </c>
    </row>
    <row r="389" spans="1:12" x14ac:dyDescent="0.25">
      <c r="A389" s="3">
        <v>45716.609328703707</v>
      </c>
      <c r="B389" t="s">
        <v>277</v>
      </c>
      <c r="C389" s="3">
        <v>45716.609560185185</v>
      </c>
      <c r="D389" t="s">
        <v>277</v>
      </c>
      <c r="E389" s="4">
        <v>4.1224801361560821E-2</v>
      </c>
      <c r="F389" s="4">
        <v>351515.35441205371</v>
      </c>
      <c r="G389" s="4">
        <v>351515.39563685504</v>
      </c>
      <c r="H389" s="5">
        <f t="shared" si="3"/>
        <v>0</v>
      </c>
      <c r="I389" t="s">
        <v>57</v>
      </c>
      <c r="J389" t="s">
        <v>57</v>
      </c>
      <c r="K389" s="5">
        <f>20 / 86400</f>
        <v>2.3148148148148149E-4</v>
      </c>
      <c r="L389" s="5">
        <f>160 / 86400</f>
        <v>1.8518518518518519E-3</v>
      </c>
    </row>
    <row r="390" spans="1:12" x14ac:dyDescent="0.25">
      <c r="A390" s="3">
        <v>45716.611412037033</v>
      </c>
      <c r="B390" t="s">
        <v>277</v>
      </c>
      <c r="C390" s="3">
        <v>45716.616354166668</v>
      </c>
      <c r="D390" t="s">
        <v>326</v>
      </c>
      <c r="E390" s="4">
        <v>1.9491517710685731</v>
      </c>
      <c r="F390" s="4">
        <v>351515.4866886707</v>
      </c>
      <c r="G390" s="4">
        <v>351517.43584044179</v>
      </c>
      <c r="H390" s="5">
        <f t="shared" si="3"/>
        <v>0</v>
      </c>
      <c r="I390" t="s">
        <v>307</v>
      </c>
      <c r="J390" t="s">
        <v>31</v>
      </c>
      <c r="K390" s="5">
        <f>427 / 86400</f>
        <v>4.9421296296296297E-3</v>
      </c>
      <c r="L390" s="5">
        <f>15 / 86400</f>
        <v>1.7361111111111112E-4</v>
      </c>
    </row>
    <row r="391" spans="1:12" x14ac:dyDescent="0.25">
      <c r="A391" s="3">
        <v>45716.616527777776</v>
      </c>
      <c r="B391" t="s">
        <v>326</v>
      </c>
      <c r="C391" s="3">
        <v>45716.617685185185</v>
      </c>
      <c r="D391" t="s">
        <v>326</v>
      </c>
      <c r="E391" s="4">
        <v>0.19855503970384597</v>
      </c>
      <c r="F391" s="4">
        <v>351517.44767841714</v>
      </c>
      <c r="G391" s="4">
        <v>351517.64623345685</v>
      </c>
      <c r="H391" s="5">
        <f t="shared" si="3"/>
        <v>0</v>
      </c>
      <c r="I391" t="s">
        <v>31</v>
      </c>
      <c r="J391" t="s">
        <v>57</v>
      </c>
      <c r="K391" s="5">
        <f>100 / 86400</f>
        <v>1.1574074074074073E-3</v>
      </c>
      <c r="L391" s="5">
        <f>8 / 86400</f>
        <v>9.2592592592592588E-5</v>
      </c>
    </row>
    <row r="392" spans="1:12" x14ac:dyDescent="0.25">
      <c r="A392" s="3">
        <v>45716.617777777778</v>
      </c>
      <c r="B392" t="s">
        <v>326</v>
      </c>
      <c r="C392" s="3">
        <v>45716.618009259255</v>
      </c>
      <c r="D392" t="s">
        <v>326</v>
      </c>
      <c r="E392" s="4">
        <v>1.2348227143287659E-2</v>
      </c>
      <c r="F392" s="4">
        <v>351517.65657401003</v>
      </c>
      <c r="G392" s="4">
        <v>351517.66892223718</v>
      </c>
      <c r="H392" s="5">
        <f t="shared" si="3"/>
        <v>0</v>
      </c>
      <c r="I392" t="s">
        <v>25</v>
      </c>
      <c r="J392" t="s">
        <v>156</v>
      </c>
      <c r="K392" s="5">
        <f>20 / 86400</f>
        <v>2.3148148148148149E-4</v>
      </c>
      <c r="L392" s="5">
        <f>20 / 86400</f>
        <v>2.3148148148148149E-4</v>
      </c>
    </row>
    <row r="393" spans="1:12" x14ac:dyDescent="0.25">
      <c r="A393" s="3">
        <v>45716.61824074074</v>
      </c>
      <c r="B393" t="s">
        <v>326</v>
      </c>
      <c r="C393" s="3">
        <v>45716.618703703702</v>
      </c>
      <c r="D393" t="s">
        <v>326</v>
      </c>
      <c r="E393" s="4">
        <v>8.6823885500431061E-2</v>
      </c>
      <c r="F393" s="4">
        <v>351517.70043963642</v>
      </c>
      <c r="G393" s="4">
        <v>351517.78726352192</v>
      </c>
      <c r="H393" s="5">
        <f t="shared" si="3"/>
        <v>0</v>
      </c>
      <c r="I393" t="s">
        <v>25</v>
      </c>
      <c r="J393" t="s">
        <v>214</v>
      </c>
      <c r="K393" s="5">
        <f>40 / 86400</f>
        <v>4.6296296296296298E-4</v>
      </c>
      <c r="L393" s="5">
        <f>220 / 86400</f>
        <v>2.5462962962962965E-3</v>
      </c>
    </row>
    <row r="394" spans="1:12" x14ac:dyDescent="0.25">
      <c r="A394" s="3">
        <v>45716.621249999997</v>
      </c>
      <c r="B394" t="s">
        <v>327</v>
      </c>
      <c r="C394" s="3">
        <v>45716.621481481481</v>
      </c>
      <c r="D394" t="s">
        <v>327</v>
      </c>
      <c r="E394" s="4">
        <v>9.1816908121109008E-4</v>
      </c>
      <c r="F394" s="4">
        <v>351517.83150325192</v>
      </c>
      <c r="G394" s="4">
        <v>351517.83242142102</v>
      </c>
      <c r="H394" s="5">
        <f t="shared" si="3"/>
        <v>0</v>
      </c>
      <c r="I394" t="s">
        <v>59</v>
      </c>
      <c r="J394" t="s">
        <v>22</v>
      </c>
      <c r="K394" s="5">
        <f>20 / 86400</f>
        <v>2.3148148148148149E-4</v>
      </c>
      <c r="L394" s="5">
        <f>80 / 86400</f>
        <v>9.2592592592592596E-4</v>
      </c>
    </row>
    <row r="395" spans="1:12" x14ac:dyDescent="0.25">
      <c r="A395" s="3">
        <v>45716.622407407413</v>
      </c>
      <c r="B395" t="s">
        <v>327</v>
      </c>
      <c r="C395" s="3">
        <v>45716.623101851852</v>
      </c>
      <c r="D395" t="s">
        <v>229</v>
      </c>
      <c r="E395" s="4">
        <v>2.9150671362876891E-2</v>
      </c>
      <c r="F395" s="4">
        <v>351517.85152824025</v>
      </c>
      <c r="G395" s="4">
        <v>351517.88067891164</v>
      </c>
      <c r="H395" s="5">
        <f t="shared" si="3"/>
        <v>0</v>
      </c>
      <c r="I395" t="s">
        <v>147</v>
      </c>
      <c r="J395" t="s">
        <v>156</v>
      </c>
      <c r="K395" s="5">
        <f>60 / 86400</f>
        <v>6.9444444444444447E-4</v>
      </c>
      <c r="L395" s="5">
        <f>20 / 86400</f>
        <v>2.3148148148148149E-4</v>
      </c>
    </row>
    <row r="396" spans="1:12" x14ac:dyDescent="0.25">
      <c r="A396" s="3">
        <v>45716.623333333337</v>
      </c>
      <c r="B396" t="s">
        <v>229</v>
      </c>
      <c r="C396" s="3">
        <v>45716.624120370368</v>
      </c>
      <c r="D396" t="s">
        <v>115</v>
      </c>
      <c r="E396" s="4">
        <v>5.1861562192440036E-2</v>
      </c>
      <c r="F396" s="4">
        <v>351517.88559408014</v>
      </c>
      <c r="G396" s="4">
        <v>351517.93745564233</v>
      </c>
      <c r="H396" s="5">
        <f t="shared" si="3"/>
        <v>0</v>
      </c>
      <c r="I396" t="s">
        <v>57</v>
      </c>
      <c r="J396" t="s">
        <v>33</v>
      </c>
      <c r="K396" s="5">
        <f>68 / 86400</f>
        <v>7.8703703703703705E-4</v>
      </c>
      <c r="L396" s="5">
        <f>20 / 86400</f>
        <v>2.3148148148148149E-4</v>
      </c>
    </row>
    <row r="397" spans="1:12" x14ac:dyDescent="0.25">
      <c r="A397" s="3">
        <v>45716.624351851853</v>
      </c>
      <c r="B397" t="s">
        <v>115</v>
      </c>
      <c r="C397" s="3">
        <v>45716.624872685185</v>
      </c>
      <c r="D397" t="s">
        <v>115</v>
      </c>
      <c r="E397" s="4">
        <v>7.4600561380386357E-2</v>
      </c>
      <c r="F397" s="4">
        <v>351517.94735313876</v>
      </c>
      <c r="G397" s="4">
        <v>351518.02195370011</v>
      </c>
      <c r="H397" s="5">
        <f t="shared" si="3"/>
        <v>0</v>
      </c>
      <c r="I397" t="s">
        <v>214</v>
      </c>
      <c r="J397" t="s">
        <v>137</v>
      </c>
      <c r="K397" s="5">
        <f>45 / 86400</f>
        <v>5.2083333333333333E-4</v>
      </c>
      <c r="L397" s="5">
        <f>60 / 86400</f>
        <v>6.9444444444444447E-4</v>
      </c>
    </row>
    <row r="398" spans="1:12" x14ac:dyDescent="0.25">
      <c r="A398" s="3">
        <v>45716.625567129631</v>
      </c>
      <c r="B398" t="s">
        <v>115</v>
      </c>
      <c r="C398" s="3">
        <v>45716.626574074078</v>
      </c>
      <c r="D398" t="s">
        <v>230</v>
      </c>
      <c r="E398" s="4">
        <v>0.15230472946166992</v>
      </c>
      <c r="F398" s="4">
        <v>351518.05310531671</v>
      </c>
      <c r="G398" s="4">
        <v>351518.20541004615</v>
      </c>
      <c r="H398" s="5">
        <f t="shared" si="3"/>
        <v>0</v>
      </c>
      <c r="I398" t="s">
        <v>31</v>
      </c>
      <c r="J398" t="s">
        <v>137</v>
      </c>
      <c r="K398" s="5">
        <f>87 / 86400</f>
        <v>1.0069444444444444E-3</v>
      </c>
      <c r="L398" s="5">
        <f>20 / 86400</f>
        <v>2.3148148148148149E-4</v>
      </c>
    </row>
    <row r="399" spans="1:12" x14ac:dyDescent="0.25">
      <c r="A399" s="3">
        <v>45716.626805555556</v>
      </c>
      <c r="B399" t="s">
        <v>230</v>
      </c>
      <c r="C399" s="3">
        <v>45716.62773148148</v>
      </c>
      <c r="D399" t="s">
        <v>115</v>
      </c>
      <c r="E399" s="4">
        <v>4.1869708657264706E-2</v>
      </c>
      <c r="F399" s="4">
        <v>351518.24194780149</v>
      </c>
      <c r="G399" s="4">
        <v>351518.28381751012</v>
      </c>
      <c r="H399" s="5">
        <f t="shared" si="3"/>
        <v>0</v>
      </c>
      <c r="I399" t="s">
        <v>137</v>
      </c>
      <c r="J399" t="s">
        <v>156</v>
      </c>
      <c r="K399" s="5">
        <f>80 / 86400</f>
        <v>9.2592592592592596E-4</v>
      </c>
      <c r="L399" s="5">
        <f>17 / 86400</f>
        <v>1.9675925925925926E-4</v>
      </c>
    </row>
    <row r="400" spans="1:12" x14ac:dyDescent="0.25">
      <c r="A400" s="3">
        <v>45716.627928240741</v>
      </c>
      <c r="B400" t="s">
        <v>115</v>
      </c>
      <c r="C400" s="3">
        <v>45716.628854166665</v>
      </c>
      <c r="D400" t="s">
        <v>230</v>
      </c>
      <c r="E400" s="4">
        <v>9.7621423244476313E-2</v>
      </c>
      <c r="F400" s="4">
        <v>351518.29953828157</v>
      </c>
      <c r="G400" s="4">
        <v>351518.39715970482</v>
      </c>
      <c r="H400" s="5">
        <f t="shared" si="3"/>
        <v>0</v>
      </c>
      <c r="I400" t="s">
        <v>151</v>
      </c>
      <c r="J400" t="s">
        <v>147</v>
      </c>
      <c r="K400" s="5">
        <f>80 / 86400</f>
        <v>9.2592592592592596E-4</v>
      </c>
      <c r="L400" s="5">
        <f>20 / 86400</f>
        <v>2.3148148148148149E-4</v>
      </c>
    </row>
    <row r="401" spans="1:12" x14ac:dyDescent="0.25">
      <c r="A401" s="3">
        <v>45716.62908564815</v>
      </c>
      <c r="B401" t="s">
        <v>230</v>
      </c>
      <c r="C401" s="3">
        <v>45716.630243055552</v>
      </c>
      <c r="D401" t="s">
        <v>269</v>
      </c>
      <c r="E401" s="4">
        <v>0.16838020688295363</v>
      </c>
      <c r="F401" s="4">
        <v>351518.43094860675</v>
      </c>
      <c r="G401" s="4">
        <v>351518.59932881361</v>
      </c>
      <c r="H401" s="5">
        <f t="shared" si="3"/>
        <v>0</v>
      </c>
      <c r="I401" t="s">
        <v>108</v>
      </c>
      <c r="J401" t="s">
        <v>137</v>
      </c>
      <c r="K401" s="5">
        <f>100 / 86400</f>
        <v>1.1574074074074073E-3</v>
      </c>
      <c r="L401" s="5">
        <f>20 / 86400</f>
        <v>2.3148148148148149E-4</v>
      </c>
    </row>
    <row r="402" spans="1:12" x14ac:dyDescent="0.25">
      <c r="A402" s="3">
        <v>45716.630474537036</v>
      </c>
      <c r="B402" t="s">
        <v>115</v>
      </c>
      <c r="C402" s="3">
        <v>45716.630555555559</v>
      </c>
      <c r="D402" t="s">
        <v>115</v>
      </c>
      <c r="E402" s="4">
        <v>1.1355310440063477E-2</v>
      </c>
      <c r="F402" s="4">
        <v>351518.61083971645</v>
      </c>
      <c r="G402" s="4">
        <v>351518.6221950269</v>
      </c>
      <c r="H402" s="5">
        <f t="shared" si="3"/>
        <v>0</v>
      </c>
      <c r="I402" t="s">
        <v>100</v>
      </c>
      <c r="J402" t="s">
        <v>137</v>
      </c>
      <c r="K402" s="5">
        <f>7 / 86400</f>
        <v>8.1018518518518516E-5</v>
      </c>
      <c r="L402" s="5">
        <f>210 / 86400</f>
        <v>2.4305555555555556E-3</v>
      </c>
    </row>
    <row r="403" spans="1:12" x14ac:dyDescent="0.25">
      <c r="A403" s="3">
        <v>45716.632986111115</v>
      </c>
      <c r="B403" t="s">
        <v>115</v>
      </c>
      <c r="C403" s="3">
        <v>45716.633217592593</v>
      </c>
      <c r="D403" t="s">
        <v>115</v>
      </c>
      <c r="E403" s="4">
        <v>7.4678286314010618E-3</v>
      </c>
      <c r="F403" s="4">
        <v>351518.63066749269</v>
      </c>
      <c r="G403" s="4">
        <v>351518.63813532132</v>
      </c>
      <c r="H403" s="5">
        <f t="shared" si="3"/>
        <v>0</v>
      </c>
      <c r="I403" t="s">
        <v>156</v>
      </c>
      <c r="J403" t="s">
        <v>59</v>
      </c>
      <c r="K403" s="5">
        <f>20 / 86400</f>
        <v>2.3148148148148149E-4</v>
      </c>
      <c r="L403" s="5">
        <f>16 / 86400</f>
        <v>1.8518518518518518E-4</v>
      </c>
    </row>
    <row r="404" spans="1:12" x14ac:dyDescent="0.25">
      <c r="A404" s="3">
        <v>45716.633402777778</v>
      </c>
      <c r="B404" t="s">
        <v>115</v>
      </c>
      <c r="C404" s="3">
        <v>45716.637858796297</v>
      </c>
      <c r="D404" t="s">
        <v>271</v>
      </c>
      <c r="E404" s="4">
        <v>1.0605148149728776</v>
      </c>
      <c r="F404" s="4">
        <v>351518.64176098874</v>
      </c>
      <c r="G404" s="4">
        <v>351519.70227580372</v>
      </c>
      <c r="H404" s="5">
        <f t="shared" si="3"/>
        <v>0</v>
      </c>
      <c r="I404" t="s">
        <v>142</v>
      </c>
      <c r="J404" t="s">
        <v>151</v>
      </c>
      <c r="K404" s="5">
        <f>385 / 86400</f>
        <v>4.4560185185185189E-3</v>
      </c>
      <c r="L404" s="5">
        <f>20 / 86400</f>
        <v>2.3148148148148149E-4</v>
      </c>
    </row>
    <row r="405" spans="1:12" x14ac:dyDescent="0.25">
      <c r="A405" s="3">
        <v>45716.638090277775</v>
      </c>
      <c r="B405" t="s">
        <v>271</v>
      </c>
      <c r="C405" s="3">
        <v>45716.638460648144</v>
      </c>
      <c r="D405" t="s">
        <v>273</v>
      </c>
      <c r="E405" s="4">
        <v>8.7964796841144569E-2</v>
      </c>
      <c r="F405" s="4">
        <v>351519.71057434153</v>
      </c>
      <c r="G405" s="4">
        <v>351519.7985391384</v>
      </c>
      <c r="H405" s="5">
        <f t="shared" si="3"/>
        <v>0</v>
      </c>
      <c r="I405" t="s">
        <v>31</v>
      </c>
      <c r="J405" t="s">
        <v>151</v>
      </c>
      <c r="K405" s="5">
        <f>32 / 86400</f>
        <v>3.7037037037037035E-4</v>
      </c>
      <c r="L405" s="5">
        <f>40 / 86400</f>
        <v>4.6296296296296298E-4</v>
      </c>
    </row>
    <row r="406" spans="1:12" x14ac:dyDescent="0.25">
      <c r="A406" s="3">
        <v>45716.638923611114</v>
      </c>
      <c r="B406" t="s">
        <v>273</v>
      </c>
      <c r="C406" s="3">
        <v>45716.639780092592</v>
      </c>
      <c r="D406" t="s">
        <v>274</v>
      </c>
      <c r="E406" s="4">
        <v>0.4224383439421654</v>
      </c>
      <c r="F406" s="4">
        <v>351519.80529093556</v>
      </c>
      <c r="G406" s="4">
        <v>351520.22772927949</v>
      </c>
      <c r="H406" s="5">
        <f t="shared" si="3"/>
        <v>0</v>
      </c>
      <c r="I406" t="s">
        <v>168</v>
      </c>
      <c r="J406" t="s">
        <v>190</v>
      </c>
      <c r="K406" s="5">
        <f>74 / 86400</f>
        <v>8.564814814814815E-4</v>
      </c>
      <c r="L406" s="5">
        <f>60 / 86400</f>
        <v>6.9444444444444447E-4</v>
      </c>
    </row>
    <row r="407" spans="1:12" x14ac:dyDescent="0.25">
      <c r="A407" s="3">
        <v>45716.640474537038</v>
      </c>
      <c r="B407" t="s">
        <v>274</v>
      </c>
      <c r="C407" s="3">
        <v>45716.6409375</v>
      </c>
      <c r="D407" t="s">
        <v>274</v>
      </c>
      <c r="E407" s="4">
        <v>6.6766993224620819E-2</v>
      </c>
      <c r="F407" s="4">
        <v>351520.23207068269</v>
      </c>
      <c r="G407" s="4">
        <v>351520.29883767595</v>
      </c>
      <c r="H407" s="5">
        <f t="shared" si="3"/>
        <v>0</v>
      </c>
      <c r="I407" t="s">
        <v>214</v>
      </c>
      <c r="J407" t="s">
        <v>137</v>
      </c>
      <c r="K407" s="5">
        <f>40 / 86400</f>
        <v>4.6296296296296298E-4</v>
      </c>
      <c r="L407" s="5">
        <f>70 / 86400</f>
        <v>8.1018518518518516E-4</v>
      </c>
    </row>
    <row r="408" spans="1:12" x14ac:dyDescent="0.25">
      <c r="A408" s="3">
        <v>45716.641747685186</v>
      </c>
      <c r="B408" t="s">
        <v>274</v>
      </c>
      <c r="C408" s="3">
        <v>45716.643125000002</v>
      </c>
      <c r="D408" t="s">
        <v>328</v>
      </c>
      <c r="E408" s="4">
        <v>1.1772942185401916</v>
      </c>
      <c r="F408" s="4">
        <v>351520.30533203686</v>
      </c>
      <c r="G408" s="4">
        <v>351521.48262625537</v>
      </c>
      <c r="H408" s="5">
        <f t="shared" si="3"/>
        <v>0</v>
      </c>
      <c r="I408" t="s">
        <v>289</v>
      </c>
      <c r="J408" t="s">
        <v>207</v>
      </c>
      <c r="K408" s="5">
        <f>119 / 86400</f>
        <v>1.3773148148148147E-3</v>
      </c>
      <c r="L408" s="5">
        <f>20 / 86400</f>
        <v>2.3148148148148149E-4</v>
      </c>
    </row>
    <row r="409" spans="1:12" x14ac:dyDescent="0.25">
      <c r="A409" s="3">
        <v>45716.64335648148</v>
      </c>
      <c r="B409" t="s">
        <v>328</v>
      </c>
      <c r="C409" s="3">
        <v>45716.644282407404</v>
      </c>
      <c r="D409" t="s">
        <v>276</v>
      </c>
      <c r="E409" s="4">
        <v>0.32524701011180879</v>
      </c>
      <c r="F409" s="4">
        <v>351521.48989093659</v>
      </c>
      <c r="G409" s="4">
        <v>351521.81513794675</v>
      </c>
      <c r="H409" s="5">
        <f t="shared" si="3"/>
        <v>0</v>
      </c>
      <c r="I409" t="s">
        <v>32</v>
      </c>
      <c r="J409" t="s">
        <v>35</v>
      </c>
      <c r="K409" s="5">
        <f>80 / 86400</f>
        <v>9.2592592592592596E-4</v>
      </c>
      <c r="L409" s="5">
        <f>20 / 86400</f>
        <v>2.3148148148148149E-4</v>
      </c>
    </row>
    <row r="410" spans="1:12" x14ac:dyDescent="0.25">
      <c r="A410" s="3">
        <v>45716.644513888888</v>
      </c>
      <c r="B410" t="s">
        <v>329</v>
      </c>
      <c r="C410" s="3">
        <v>45716.646365740744</v>
      </c>
      <c r="D410" t="s">
        <v>330</v>
      </c>
      <c r="E410" s="4">
        <v>0.90164593219757083</v>
      </c>
      <c r="F410" s="4">
        <v>351521.86109829257</v>
      </c>
      <c r="G410" s="4">
        <v>351522.7627442248</v>
      </c>
      <c r="H410" s="5">
        <f t="shared" si="3"/>
        <v>0</v>
      </c>
      <c r="I410" t="s">
        <v>165</v>
      </c>
      <c r="J410" t="s">
        <v>108</v>
      </c>
      <c r="K410" s="5">
        <f>160 / 86400</f>
        <v>1.8518518518518519E-3</v>
      </c>
      <c r="L410" s="5">
        <f>20 / 86400</f>
        <v>2.3148148148148149E-4</v>
      </c>
    </row>
    <row r="411" spans="1:12" x14ac:dyDescent="0.25">
      <c r="A411" s="3">
        <v>45716.646597222221</v>
      </c>
      <c r="B411" t="s">
        <v>330</v>
      </c>
      <c r="C411" s="3">
        <v>45716.646828703699</v>
      </c>
      <c r="D411" t="s">
        <v>277</v>
      </c>
      <c r="E411" s="4">
        <v>6.9326040267944339E-2</v>
      </c>
      <c r="F411" s="4">
        <v>351522.7687060496</v>
      </c>
      <c r="G411" s="4">
        <v>351522.83803208987</v>
      </c>
      <c r="H411" s="5">
        <f t="shared" si="3"/>
        <v>0</v>
      </c>
      <c r="I411" t="s">
        <v>28</v>
      </c>
      <c r="J411" t="s">
        <v>28</v>
      </c>
      <c r="K411" s="5">
        <f>20 / 86400</f>
        <v>2.3148148148148149E-4</v>
      </c>
      <c r="L411" s="5">
        <f>7 / 86400</f>
        <v>8.1018518518518516E-5</v>
      </c>
    </row>
    <row r="412" spans="1:12" x14ac:dyDescent="0.25">
      <c r="A412" s="3">
        <v>45716.646909722222</v>
      </c>
      <c r="B412" t="s">
        <v>277</v>
      </c>
      <c r="C412" s="3">
        <v>45716.648842592593</v>
      </c>
      <c r="D412" t="s">
        <v>331</v>
      </c>
      <c r="E412" s="4">
        <v>0.66680487060546878</v>
      </c>
      <c r="F412" s="4">
        <v>351522.84088475181</v>
      </c>
      <c r="G412" s="4">
        <v>351523.50768962241</v>
      </c>
      <c r="H412" s="5">
        <f t="shared" si="3"/>
        <v>0</v>
      </c>
      <c r="I412" t="s">
        <v>97</v>
      </c>
      <c r="J412" t="s">
        <v>72</v>
      </c>
      <c r="K412" s="5">
        <f>167 / 86400</f>
        <v>1.9328703703703704E-3</v>
      </c>
      <c r="L412" s="5">
        <f>140 / 86400</f>
        <v>1.6203703703703703E-3</v>
      </c>
    </row>
    <row r="413" spans="1:12" x14ac:dyDescent="0.25">
      <c r="A413" s="3">
        <v>45716.650462962964</v>
      </c>
      <c r="B413" t="s">
        <v>332</v>
      </c>
      <c r="C413" s="3">
        <v>45716.652303240742</v>
      </c>
      <c r="D413" t="s">
        <v>121</v>
      </c>
      <c r="E413" s="4">
        <v>0.36890804690122603</v>
      </c>
      <c r="F413" s="4">
        <v>351523.5748206795</v>
      </c>
      <c r="G413" s="4">
        <v>351523.94372872642</v>
      </c>
      <c r="H413" s="5">
        <f t="shared" si="3"/>
        <v>0</v>
      </c>
      <c r="I413" t="s">
        <v>179</v>
      </c>
      <c r="J413" t="s">
        <v>214</v>
      </c>
      <c r="K413" s="5">
        <f>159 / 86400</f>
        <v>1.8402777777777777E-3</v>
      </c>
      <c r="L413" s="5">
        <f>40 / 86400</f>
        <v>4.6296296296296298E-4</v>
      </c>
    </row>
    <row r="414" spans="1:12" x14ac:dyDescent="0.25">
      <c r="A414" s="3">
        <v>45716.652766203704</v>
      </c>
      <c r="B414" t="s">
        <v>121</v>
      </c>
      <c r="C414" s="3">
        <v>45716.652997685189</v>
      </c>
      <c r="D414" t="s">
        <v>121</v>
      </c>
      <c r="E414" s="4">
        <v>1.8693218827247619E-2</v>
      </c>
      <c r="F414" s="4">
        <v>351524.08750366402</v>
      </c>
      <c r="G414" s="4">
        <v>351524.10619688284</v>
      </c>
      <c r="H414" s="5">
        <f t="shared" si="3"/>
        <v>0</v>
      </c>
      <c r="I414" t="s">
        <v>59</v>
      </c>
      <c r="J414" t="s">
        <v>33</v>
      </c>
      <c r="K414" s="5">
        <f>20 / 86400</f>
        <v>2.3148148148148149E-4</v>
      </c>
      <c r="L414" s="5">
        <f>20 / 86400</f>
        <v>2.3148148148148149E-4</v>
      </c>
    </row>
    <row r="415" spans="1:12" x14ac:dyDescent="0.25">
      <c r="A415" s="3">
        <v>45716.653229166666</v>
      </c>
      <c r="B415" t="s">
        <v>121</v>
      </c>
      <c r="C415" s="3">
        <v>45716.65415509259</v>
      </c>
      <c r="D415" t="s">
        <v>333</v>
      </c>
      <c r="E415" s="4">
        <v>0.48210657030344012</v>
      </c>
      <c r="F415" s="4">
        <v>351524.11293446284</v>
      </c>
      <c r="G415" s="4">
        <v>351524.59504103317</v>
      </c>
      <c r="H415" s="5">
        <f t="shared" si="3"/>
        <v>0</v>
      </c>
      <c r="I415" t="s">
        <v>242</v>
      </c>
      <c r="J415" t="s">
        <v>130</v>
      </c>
      <c r="K415" s="5">
        <f>80 / 86400</f>
        <v>9.2592592592592596E-4</v>
      </c>
      <c r="L415" s="5">
        <f>20 / 86400</f>
        <v>2.3148148148148149E-4</v>
      </c>
    </row>
    <row r="416" spans="1:12" x14ac:dyDescent="0.25">
      <c r="A416" s="3">
        <v>45716.654386574075</v>
      </c>
      <c r="B416" t="s">
        <v>121</v>
      </c>
      <c r="C416" s="3">
        <v>45716.655393518522</v>
      </c>
      <c r="D416" t="s">
        <v>121</v>
      </c>
      <c r="E416" s="4">
        <v>0.40993425750732421</v>
      </c>
      <c r="F416" s="4">
        <v>351524.6124264223</v>
      </c>
      <c r="G416" s="4">
        <v>351525.02236067981</v>
      </c>
      <c r="H416" s="5">
        <f t="shared" si="3"/>
        <v>0</v>
      </c>
      <c r="I416" t="s">
        <v>97</v>
      </c>
      <c r="J416" t="s">
        <v>62</v>
      </c>
      <c r="K416" s="5">
        <f>87 / 86400</f>
        <v>1.0069444444444444E-3</v>
      </c>
      <c r="L416" s="5">
        <f>24 / 86400</f>
        <v>2.7777777777777778E-4</v>
      </c>
    </row>
    <row r="417" spans="1:12" x14ac:dyDescent="0.25">
      <c r="A417" s="3">
        <v>45716.655671296292</v>
      </c>
      <c r="B417" t="s">
        <v>121</v>
      </c>
      <c r="C417" s="3">
        <v>45716.658391203702</v>
      </c>
      <c r="D417" t="s">
        <v>279</v>
      </c>
      <c r="E417" s="4">
        <v>1.5430075814723969</v>
      </c>
      <c r="F417" s="4">
        <v>351525.04677844286</v>
      </c>
      <c r="G417" s="4">
        <v>351526.58978602436</v>
      </c>
      <c r="H417" s="5">
        <f t="shared" si="3"/>
        <v>0</v>
      </c>
      <c r="I417" t="s">
        <v>183</v>
      </c>
      <c r="J417" t="s">
        <v>37</v>
      </c>
      <c r="K417" s="5">
        <f>235 / 86400</f>
        <v>2.7199074074074074E-3</v>
      </c>
      <c r="L417" s="5">
        <f>31 / 86400</f>
        <v>3.5879629629629629E-4</v>
      </c>
    </row>
    <row r="418" spans="1:12" x14ac:dyDescent="0.25">
      <c r="A418" s="3">
        <v>45716.658750000002</v>
      </c>
      <c r="B418" t="s">
        <v>279</v>
      </c>
      <c r="C418" s="3">
        <v>45716.659675925926</v>
      </c>
      <c r="D418" t="s">
        <v>281</v>
      </c>
      <c r="E418" s="4">
        <v>0.34700257194042206</v>
      </c>
      <c r="F418" s="4">
        <v>351526.60016399552</v>
      </c>
      <c r="G418" s="4">
        <v>351526.94716656744</v>
      </c>
      <c r="H418" s="5">
        <f t="shared" si="3"/>
        <v>0</v>
      </c>
      <c r="I418" t="s">
        <v>32</v>
      </c>
      <c r="J418" t="s">
        <v>31</v>
      </c>
      <c r="K418" s="5">
        <f>80 / 86400</f>
        <v>9.2592592592592596E-4</v>
      </c>
      <c r="L418" s="5">
        <f>40 / 86400</f>
        <v>4.6296296296296298E-4</v>
      </c>
    </row>
    <row r="419" spans="1:12" x14ac:dyDescent="0.25">
      <c r="A419" s="3">
        <v>45716.660138888888</v>
      </c>
      <c r="B419" t="s">
        <v>282</v>
      </c>
      <c r="C419" s="3">
        <v>45716.66106481482</v>
      </c>
      <c r="D419" t="s">
        <v>186</v>
      </c>
      <c r="E419" s="4">
        <v>0.70801285606622699</v>
      </c>
      <c r="F419" s="4">
        <v>351526.98988941696</v>
      </c>
      <c r="G419" s="4">
        <v>351527.69790227298</v>
      </c>
      <c r="H419" s="5">
        <f t="shared" si="3"/>
        <v>0</v>
      </c>
      <c r="I419" t="s">
        <v>242</v>
      </c>
      <c r="J419" t="s">
        <v>164</v>
      </c>
      <c r="K419" s="5">
        <f>80 / 86400</f>
        <v>9.2592592592592596E-4</v>
      </c>
      <c r="L419" s="5">
        <f>20 / 86400</f>
        <v>2.3148148148148149E-4</v>
      </c>
    </row>
    <row r="420" spans="1:12" x14ac:dyDescent="0.25">
      <c r="A420" s="3">
        <v>45716.661296296297</v>
      </c>
      <c r="B420" t="s">
        <v>186</v>
      </c>
      <c r="C420" s="3">
        <v>45716.661527777775</v>
      </c>
      <c r="D420" t="s">
        <v>186</v>
      </c>
      <c r="E420" s="4">
        <v>6.5162590146064757E-3</v>
      </c>
      <c r="F420" s="4">
        <v>351527.7138622544</v>
      </c>
      <c r="G420" s="4">
        <v>351527.72037851339</v>
      </c>
      <c r="H420" s="5">
        <f t="shared" si="3"/>
        <v>0</v>
      </c>
      <c r="I420" t="s">
        <v>156</v>
      </c>
      <c r="J420" t="s">
        <v>59</v>
      </c>
      <c r="K420" s="5">
        <f>20 / 86400</f>
        <v>2.3148148148148149E-4</v>
      </c>
      <c r="L420" s="5">
        <f>100 / 86400</f>
        <v>1.1574074074074073E-3</v>
      </c>
    </row>
    <row r="421" spans="1:12" x14ac:dyDescent="0.25">
      <c r="A421" s="3">
        <v>45716.662685185191</v>
      </c>
      <c r="B421" t="s">
        <v>186</v>
      </c>
      <c r="C421" s="3">
        <v>45716.662916666668</v>
      </c>
      <c r="D421" t="s">
        <v>186</v>
      </c>
      <c r="E421" s="4">
        <v>0.10545231795310975</v>
      </c>
      <c r="F421" s="4">
        <v>351527.85234983946</v>
      </c>
      <c r="G421" s="4">
        <v>351527.95780215738</v>
      </c>
      <c r="H421" s="5">
        <f t="shared" si="3"/>
        <v>0</v>
      </c>
      <c r="I421" t="s">
        <v>149</v>
      </c>
      <c r="J421" t="s">
        <v>85</v>
      </c>
      <c r="K421" s="5">
        <f>20 / 86400</f>
        <v>2.3148148148148149E-4</v>
      </c>
      <c r="L421" s="5">
        <f>20 / 86400</f>
        <v>2.3148148148148149E-4</v>
      </c>
    </row>
    <row r="422" spans="1:12" x14ac:dyDescent="0.25">
      <c r="A422" s="3">
        <v>45716.663148148145</v>
      </c>
      <c r="B422" t="s">
        <v>334</v>
      </c>
      <c r="C422" s="3">
        <v>45716.66337962963</v>
      </c>
      <c r="D422" t="s">
        <v>186</v>
      </c>
      <c r="E422" s="4">
        <v>0.13108994323015213</v>
      </c>
      <c r="F422" s="4">
        <v>351528.00181492569</v>
      </c>
      <c r="G422" s="4">
        <v>351528.13290486892</v>
      </c>
      <c r="H422" s="5">
        <f t="shared" si="3"/>
        <v>0</v>
      </c>
      <c r="I422" t="s">
        <v>190</v>
      </c>
      <c r="J422" t="s">
        <v>37</v>
      </c>
      <c r="K422" s="5">
        <f>20 / 86400</f>
        <v>2.3148148148148149E-4</v>
      </c>
      <c r="L422" s="5">
        <f>2 / 86400</f>
        <v>2.3148148148148147E-5</v>
      </c>
    </row>
    <row r="423" spans="1:12" x14ac:dyDescent="0.25">
      <c r="A423" s="3">
        <v>45716.663402777776</v>
      </c>
      <c r="B423" t="s">
        <v>186</v>
      </c>
      <c r="C423" s="3">
        <v>45716.66615740741</v>
      </c>
      <c r="D423" t="s">
        <v>163</v>
      </c>
      <c r="E423" s="4">
        <v>1.4177619621157647</v>
      </c>
      <c r="F423" s="4">
        <v>351528.13590753538</v>
      </c>
      <c r="G423" s="4">
        <v>351529.55366949749</v>
      </c>
      <c r="H423" s="5">
        <f t="shared" si="3"/>
        <v>0</v>
      </c>
      <c r="I423" t="s">
        <v>176</v>
      </c>
      <c r="J423" t="s">
        <v>190</v>
      </c>
      <c r="K423" s="5">
        <f>238 / 86400</f>
        <v>2.7546296296296294E-3</v>
      </c>
      <c r="L423" s="5">
        <f>20 / 86400</f>
        <v>2.3148148148148149E-4</v>
      </c>
    </row>
    <row r="424" spans="1:12" x14ac:dyDescent="0.25">
      <c r="A424" s="3">
        <v>45716.666388888887</v>
      </c>
      <c r="B424" t="s">
        <v>335</v>
      </c>
      <c r="C424" s="3">
        <v>45716.666620370372</v>
      </c>
      <c r="D424" t="s">
        <v>335</v>
      </c>
      <c r="E424" s="4">
        <v>0</v>
      </c>
      <c r="F424" s="4">
        <v>351530.1160862472</v>
      </c>
      <c r="G424" s="4">
        <v>351530.1160862472</v>
      </c>
      <c r="H424" s="5">
        <f t="shared" si="3"/>
        <v>0</v>
      </c>
      <c r="I424" t="s">
        <v>164</v>
      </c>
      <c r="J424" t="s">
        <v>22</v>
      </c>
      <c r="K424" s="5">
        <f>20 / 86400</f>
        <v>2.3148148148148149E-4</v>
      </c>
      <c r="L424" s="5">
        <f>21 / 86400</f>
        <v>2.4305555555555555E-4</v>
      </c>
    </row>
    <row r="425" spans="1:12" x14ac:dyDescent="0.25">
      <c r="A425" s="3">
        <v>45716.666863425926</v>
      </c>
      <c r="B425" t="s">
        <v>335</v>
      </c>
      <c r="C425" s="3">
        <v>45716.667291666672</v>
      </c>
      <c r="D425" t="s">
        <v>163</v>
      </c>
      <c r="E425" s="4">
        <v>0.15589941275119781</v>
      </c>
      <c r="F425" s="4">
        <v>351530.1160862472</v>
      </c>
      <c r="G425" s="4">
        <v>351530.27198565996</v>
      </c>
      <c r="H425" s="5">
        <f t="shared" si="3"/>
        <v>0</v>
      </c>
      <c r="I425" t="s">
        <v>72</v>
      </c>
      <c r="J425" t="s">
        <v>35</v>
      </c>
      <c r="K425" s="5">
        <f>37 / 86400</f>
        <v>4.2824074074074075E-4</v>
      </c>
      <c r="L425" s="5">
        <f>20 / 86400</f>
        <v>2.3148148148148149E-4</v>
      </c>
    </row>
    <row r="426" spans="1:12" x14ac:dyDescent="0.25">
      <c r="A426" s="3">
        <v>45716.667523148149</v>
      </c>
      <c r="B426" t="s">
        <v>196</v>
      </c>
      <c r="C426" s="3">
        <v>45716.669386574074</v>
      </c>
      <c r="D426" t="s">
        <v>335</v>
      </c>
      <c r="E426" s="4">
        <v>0.34531670486927035</v>
      </c>
      <c r="F426" s="4">
        <v>351530.27583463356</v>
      </c>
      <c r="G426" s="4">
        <v>351530.62115133845</v>
      </c>
      <c r="H426" s="5">
        <f t="shared" si="3"/>
        <v>0</v>
      </c>
      <c r="I426" t="s">
        <v>20</v>
      </c>
      <c r="J426" t="s">
        <v>214</v>
      </c>
      <c r="K426" s="5">
        <f>161 / 86400</f>
        <v>1.8634259259259259E-3</v>
      </c>
      <c r="L426" s="5">
        <f>20 / 86400</f>
        <v>2.3148148148148149E-4</v>
      </c>
    </row>
    <row r="427" spans="1:12" x14ac:dyDescent="0.25">
      <c r="A427" s="3">
        <v>45716.669618055559</v>
      </c>
      <c r="B427" t="s">
        <v>336</v>
      </c>
      <c r="C427" s="3">
        <v>45716.670543981483</v>
      </c>
      <c r="D427" t="s">
        <v>337</v>
      </c>
      <c r="E427" s="4">
        <v>0.10143145215511322</v>
      </c>
      <c r="F427" s="4">
        <v>351530.64420741878</v>
      </c>
      <c r="G427" s="4">
        <v>351530.74563887098</v>
      </c>
      <c r="H427" s="5">
        <f t="shared" si="3"/>
        <v>0</v>
      </c>
      <c r="I427" t="s">
        <v>100</v>
      </c>
      <c r="J427" t="s">
        <v>25</v>
      </c>
      <c r="K427" s="5">
        <f>80 / 86400</f>
        <v>9.2592592592592596E-4</v>
      </c>
      <c r="L427" s="5">
        <f>20 / 86400</f>
        <v>2.3148148148148149E-4</v>
      </c>
    </row>
    <row r="428" spans="1:12" x14ac:dyDescent="0.25">
      <c r="A428" s="3">
        <v>45716.670775462961</v>
      </c>
      <c r="B428" t="s">
        <v>338</v>
      </c>
      <c r="C428" s="3">
        <v>45716.671006944445</v>
      </c>
      <c r="D428" t="s">
        <v>198</v>
      </c>
      <c r="E428" s="4">
        <v>2.537185311317444E-3</v>
      </c>
      <c r="F428" s="4">
        <v>351530.7957901</v>
      </c>
      <c r="G428" s="4">
        <v>351530.79832728527</v>
      </c>
      <c r="H428" s="5">
        <f t="shared" si="3"/>
        <v>0</v>
      </c>
      <c r="I428" t="s">
        <v>156</v>
      </c>
      <c r="J428" t="s">
        <v>22</v>
      </c>
      <c r="K428" s="5">
        <f>20 / 86400</f>
        <v>2.3148148148148149E-4</v>
      </c>
      <c r="L428" s="5">
        <f>13 / 86400</f>
        <v>1.5046296296296297E-4</v>
      </c>
    </row>
    <row r="429" spans="1:12" x14ac:dyDescent="0.25">
      <c r="A429" s="3">
        <v>45716.671157407407</v>
      </c>
      <c r="B429" t="s">
        <v>198</v>
      </c>
      <c r="C429" s="3">
        <v>45716.673009259262</v>
      </c>
      <c r="D429" t="s">
        <v>339</v>
      </c>
      <c r="E429" s="4">
        <v>0.40491747975349424</v>
      </c>
      <c r="F429" s="4">
        <v>351530.80229580536</v>
      </c>
      <c r="G429" s="4">
        <v>351531.20721328509</v>
      </c>
      <c r="H429" s="5">
        <f t="shared" si="3"/>
        <v>0</v>
      </c>
      <c r="I429" t="s">
        <v>85</v>
      </c>
      <c r="J429" t="s">
        <v>132</v>
      </c>
      <c r="K429" s="5">
        <f>160 / 86400</f>
        <v>1.8518518518518519E-3</v>
      </c>
      <c r="L429" s="5">
        <f>57 / 86400</f>
        <v>6.5972222222222224E-4</v>
      </c>
    </row>
    <row r="430" spans="1:12" x14ac:dyDescent="0.25">
      <c r="A430" s="3">
        <v>45716.673668981486</v>
      </c>
      <c r="B430" t="s">
        <v>339</v>
      </c>
      <c r="C430" s="3">
        <v>45716.674363425926</v>
      </c>
      <c r="D430" t="s">
        <v>186</v>
      </c>
      <c r="E430" s="4">
        <v>0.12990604937076569</v>
      </c>
      <c r="F430" s="4">
        <v>351531.22076456691</v>
      </c>
      <c r="G430" s="4">
        <v>351531.35067061626</v>
      </c>
      <c r="H430" s="5">
        <f t="shared" si="3"/>
        <v>0</v>
      </c>
      <c r="I430" t="s">
        <v>151</v>
      </c>
      <c r="J430" t="s">
        <v>214</v>
      </c>
      <c r="K430" s="5">
        <f>60 / 86400</f>
        <v>6.9444444444444447E-4</v>
      </c>
      <c r="L430" s="5">
        <f>40 / 86400</f>
        <v>4.6296296296296298E-4</v>
      </c>
    </row>
    <row r="431" spans="1:12" x14ac:dyDescent="0.25">
      <c r="A431" s="3">
        <v>45716.674826388888</v>
      </c>
      <c r="B431" t="s">
        <v>340</v>
      </c>
      <c r="C431" s="3">
        <v>45716.675057870365</v>
      </c>
      <c r="D431" t="s">
        <v>341</v>
      </c>
      <c r="E431" s="4">
        <v>1.8209471285343171E-2</v>
      </c>
      <c r="F431" s="4">
        <v>351531.40199496178</v>
      </c>
      <c r="G431" s="4">
        <v>351531.42020443309</v>
      </c>
      <c r="H431" s="5">
        <f t="shared" si="3"/>
        <v>0</v>
      </c>
      <c r="I431" t="s">
        <v>151</v>
      </c>
      <c r="J431" t="s">
        <v>33</v>
      </c>
      <c r="K431" s="5">
        <f>20 / 86400</f>
        <v>2.3148148148148149E-4</v>
      </c>
      <c r="L431" s="5">
        <f>20 / 86400</f>
        <v>2.3148148148148149E-4</v>
      </c>
    </row>
    <row r="432" spans="1:12" x14ac:dyDescent="0.25">
      <c r="A432" s="3">
        <v>45716.675289351857</v>
      </c>
      <c r="B432" t="s">
        <v>184</v>
      </c>
      <c r="C432" s="3">
        <v>45716.677141203705</v>
      </c>
      <c r="D432" t="s">
        <v>99</v>
      </c>
      <c r="E432" s="4">
        <v>0.85458520394563675</v>
      </c>
      <c r="F432" s="4">
        <v>351531.46270443592</v>
      </c>
      <c r="G432" s="4">
        <v>351532.3172896399</v>
      </c>
      <c r="H432" s="5">
        <f t="shared" si="3"/>
        <v>0</v>
      </c>
      <c r="I432" t="s">
        <v>164</v>
      </c>
      <c r="J432" t="s">
        <v>85</v>
      </c>
      <c r="K432" s="5">
        <f>160 / 86400</f>
        <v>1.8518518518518519E-3</v>
      </c>
      <c r="L432" s="5">
        <f>3 / 86400</f>
        <v>3.4722222222222222E-5</v>
      </c>
    </row>
    <row r="433" spans="1:12" x14ac:dyDescent="0.25">
      <c r="A433" s="3">
        <v>45716.677175925928</v>
      </c>
      <c r="B433" t="s">
        <v>99</v>
      </c>
      <c r="C433" s="3">
        <v>45716.678564814814</v>
      </c>
      <c r="D433" t="s">
        <v>99</v>
      </c>
      <c r="E433" s="4">
        <v>0.71754207837581629</v>
      </c>
      <c r="F433" s="4">
        <v>351532.32091449806</v>
      </c>
      <c r="G433" s="4">
        <v>351533.03845657647</v>
      </c>
      <c r="H433" s="5">
        <f t="shared" si="3"/>
        <v>0</v>
      </c>
      <c r="I433" t="s">
        <v>171</v>
      </c>
      <c r="J433" t="s">
        <v>130</v>
      </c>
      <c r="K433" s="5">
        <f>120 / 86400</f>
        <v>1.3888888888888889E-3</v>
      </c>
      <c r="L433" s="5">
        <f>20 / 86400</f>
        <v>2.3148148148148149E-4</v>
      </c>
    </row>
    <row r="434" spans="1:12" x14ac:dyDescent="0.25">
      <c r="A434" s="3">
        <v>45716.678796296299</v>
      </c>
      <c r="B434" t="s">
        <v>99</v>
      </c>
      <c r="C434" s="3">
        <v>45716.682268518518</v>
      </c>
      <c r="D434" t="s">
        <v>96</v>
      </c>
      <c r="E434" s="4">
        <v>1.7696832671761513</v>
      </c>
      <c r="F434" s="4">
        <v>351533.06560792081</v>
      </c>
      <c r="G434" s="4">
        <v>351534.83529118798</v>
      </c>
      <c r="H434" s="5">
        <f t="shared" si="3"/>
        <v>0</v>
      </c>
      <c r="I434" t="s">
        <v>289</v>
      </c>
      <c r="J434" t="s">
        <v>190</v>
      </c>
      <c r="K434" s="5">
        <f>300 / 86400</f>
        <v>3.472222222222222E-3</v>
      </c>
      <c r="L434" s="5">
        <f>20 / 86400</f>
        <v>2.3148148148148149E-4</v>
      </c>
    </row>
    <row r="435" spans="1:12" x14ac:dyDescent="0.25">
      <c r="A435" s="3">
        <v>45716.682499999995</v>
      </c>
      <c r="B435" t="s">
        <v>96</v>
      </c>
      <c r="C435" s="3">
        <v>45716.683194444442</v>
      </c>
      <c r="D435" t="s">
        <v>96</v>
      </c>
      <c r="E435" s="4">
        <v>0.47180480080842974</v>
      </c>
      <c r="F435" s="4">
        <v>351534.84508096398</v>
      </c>
      <c r="G435" s="4">
        <v>351535.31688576477</v>
      </c>
      <c r="H435" s="5">
        <f t="shared" ref="H435:H498" si="5">0 / 86400</f>
        <v>0</v>
      </c>
      <c r="I435" t="s">
        <v>176</v>
      </c>
      <c r="J435" t="s">
        <v>145</v>
      </c>
      <c r="K435" s="5">
        <f>60 / 86400</f>
        <v>6.9444444444444447E-4</v>
      </c>
      <c r="L435" s="5">
        <f>20 / 86400</f>
        <v>2.3148148148148149E-4</v>
      </c>
    </row>
    <row r="436" spans="1:12" x14ac:dyDescent="0.25">
      <c r="A436" s="3">
        <v>45716.683425925927</v>
      </c>
      <c r="B436" t="s">
        <v>342</v>
      </c>
      <c r="C436" s="3">
        <v>45716.686203703706</v>
      </c>
      <c r="D436" t="s">
        <v>96</v>
      </c>
      <c r="E436" s="4">
        <v>1.7996072080731391</v>
      </c>
      <c r="F436" s="4">
        <v>351535.37586527236</v>
      </c>
      <c r="G436" s="4">
        <v>351537.17547248042</v>
      </c>
      <c r="H436" s="5">
        <f t="shared" si="5"/>
        <v>0</v>
      </c>
      <c r="I436" t="s">
        <v>242</v>
      </c>
      <c r="J436" t="s">
        <v>140</v>
      </c>
      <c r="K436" s="5">
        <f>240 / 86400</f>
        <v>2.7777777777777779E-3</v>
      </c>
      <c r="L436" s="5">
        <f>20 / 86400</f>
        <v>2.3148148148148149E-4</v>
      </c>
    </row>
    <row r="437" spans="1:12" x14ac:dyDescent="0.25">
      <c r="A437" s="3">
        <v>45716.686435185184</v>
      </c>
      <c r="B437" t="s">
        <v>96</v>
      </c>
      <c r="C437" s="3">
        <v>45716.687592592592</v>
      </c>
      <c r="D437" t="s">
        <v>96</v>
      </c>
      <c r="E437" s="4">
        <v>1.1777435897588731</v>
      </c>
      <c r="F437" s="4">
        <v>351537.17775177595</v>
      </c>
      <c r="G437" s="4">
        <v>351538.35549536569</v>
      </c>
      <c r="H437" s="5">
        <f t="shared" si="5"/>
        <v>0</v>
      </c>
      <c r="I437" t="s">
        <v>264</v>
      </c>
      <c r="J437" t="s">
        <v>165</v>
      </c>
      <c r="K437" s="5">
        <f>100 / 86400</f>
        <v>1.1574074074074073E-3</v>
      </c>
      <c r="L437" s="5">
        <f>20 / 86400</f>
        <v>2.3148148148148149E-4</v>
      </c>
    </row>
    <row r="438" spans="1:12" x14ac:dyDescent="0.25">
      <c r="A438" s="3">
        <v>45716.687824074077</v>
      </c>
      <c r="B438" t="s">
        <v>96</v>
      </c>
      <c r="C438" s="3">
        <v>45716.688055555554</v>
      </c>
      <c r="D438" t="s">
        <v>285</v>
      </c>
      <c r="E438" s="4">
        <v>6.8491358160972599E-2</v>
      </c>
      <c r="F438" s="4">
        <v>351538.3802119958</v>
      </c>
      <c r="G438" s="4">
        <v>351538.44870335393</v>
      </c>
      <c r="H438" s="5">
        <f t="shared" si="5"/>
        <v>0</v>
      </c>
      <c r="I438" t="s">
        <v>72</v>
      </c>
      <c r="J438" t="s">
        <v>28</v>
      </c>
      <c r="K438" s="5">
        <f>20 / 86400</f>
        <v>2.3148148148148149E-4</v>
      </c>
      <c r="L438" s="5">
        <f>40 / 86400</f>
        <v>4.6296296296296298E-4</v>
      </c>
    </row>
    <row r="439" spans="1:12" x14ac:dyDescent="0.25">
      <c r="A439" s="3">
        <v>45716.688518518524</v>
      </c>
      <c r="B439" t="s">
        <v>285</v>
      </c>
      <c r="C439" s="3">
        <v>45716.689444444448</v>
      </c>
      <c r="D439" t="s">
        <v>343</v>
      </c>
      <c r="E439" s="4">
        <v>0.80124063211679464</v>
      </c>
      <c r="F439" s="4">
        <v>351538.47091939248</v>
      </c>
      <c r="G439" s="4">
        <v>351539.27216002456</v>
      </c>
      <c r="H439" s="5">
        <f t="shared" si="5"/>
        <v>0</v>
      </c>
      <c r="I439" t="s">
        <v>56</v>
      </c>
      <c r="J439" t="s">
        <v>207</v>
      </c>
      <c r="K439" s="5">
        <f>80 / 86400</f>
        <v>9.2592592592592596E-4</v>
      </c>
      <c r="L439" s="5">
        <f>20 / 86400</f>
        <v>2.3148148148148149E-4</v>
      </c>
    </row>
    <row r="440" spans="1:12" x14ac:dyDescent="0.25">
      <c r="A440" s="3">
        <v>45716.689675925925</v>
      </c>
      <c r="B440" t="s">
        <v>343</v>
      </c>
      <c r="C440" s="3">
        <v>45716.690370370372</v>
      </c>
      <c r="D440" t="s">
        <v>286</v>
      </c>
      <c r="E440" s="4">
        <v>9.0450763702392578E-2</v>
      </c>
      <c r="F440" s="4">
        <v>351539.28631727031</v>
      </c>
      <c r="G440" s="4">
        <v>351539.37676803401</v>
      </c>
      <c r="H440" s="5">
        <f t="shared" si="5"/>
        <v>0</v>
      </c>
      <c r="I440" t="s">
        <v>31</v>
      </c>
      <c r="J440" t="s">
        <v>25</v>
      </c>
      <c r="K440" s="5">
        <f>60 / 86400</f>
        <v>6.9444444444444447E-4</v>
      </c>
      <c r="L440" s="5">
        <f>20 / 86400</f>
        <v>2.3148148148148149E-4</v>
      </c>
    </row>
    <row r="441" spans="1:12" x14ac:dyDescent="0.25">
      <c r="A441" s="3">
        <v>45716.690601851849</v>
      </c>
      <c r="B441" t="s">
        <v>286</v>
      </c>
      <c r="C441" s="3">
        <v>45716.691759259258</v>
      </c>
      <c r="D441" t="s">
        <v>89</v>
      </c>
      <c r="E441" s="4">
        <v>0.7740570645928383</v>
      </c>
      <c r="F441" s="4">
        <v>351539.3806677098</v>
      </c>
      <c r="G441" s="4">
        <v>351540.15472477442</v>
      </c>
      <c r="H441" s="5">
        <f t="shared" si="5"/>
        <v>0</v>
      </c>
      <c r="I441" t="s">
        <v>56</v>
      </c>
      <c r="J441" t="s">
        <v>145</v>
      </c>
      <c r="K441" s="5">
        <f>100 / 86400</f>
        <v>1.1574074074074073E-3</v>
      </c>
      <c r="L441" s="5">
        <f>40 / 86400</f>
        <v>4.6296296296296298E-4</v>
      </c>
    </row>
    <row r="442" spans="1:12" x14ac:dyDescent="0.25">
      <c r="A442" s="3">
        <v>45716.69222222222</v>
      </c>
      <c r="B442" t="s">
        <v>89</v>
      </c>
      <c r="C442" s="3">
        <v>45716.692453703705</v>
      </c>
      <c r="D442" t="s">
        <v>287</v>
      </c>
      <c r="E442" s="4">
        <v>5.5238441228866574E-3</v>
      </c>
      <c r="F442" s="4">
        <v>351540.1798501765</v>
      </c>
      <c r="G442" s="4">
        <v>351540.18537402066</v>
      </c>
      <c r="H442" s="5">
        <f t="shared" si="5"/>
        <v>0</v>
      </c>
      <c r="I442" t="s">
        <v>156</v>
      </c>
      <c r="J442" t="s">
        <v>59</v>
      </c>
      <c r="K442" s="5">
        <f>20 / 86400</f>
        <v>2.3148148148148149E-4</v>
      </c>
      <c r="L442" s="5">
        <f>20 / 86400</f>
        <v>2.3148148148148149E-4</v>
      </c>
    </row>
    <row r="443" spans="1:12" x14ac:dyDescent="0.25">
      <c r="A443" s="3">
        <v>45716.692685185189</v>
      </c>
      <c r="B443" t="s">
        <v>287</v>
      </c>
      <c r="C443" s="3">
        <v>45716.693148148144</v>
      </c>
      <c r="D443" t="s">
        <v>77</v>
      </c>
      <c r="E443" s="4">
        <v>2.0071721374988555E-2</v>
      </c>
      <c r="F443" s="4">
        <v>351540.188119467</v>
      </c>
      <c r="G443" s="4">
        <v>351540.2081911884</v>
      </c>
      <c r="H443" s="5">
        <f t="shared" si="5"/>
        <v>0</v>
      </c>
      <c r="I443" t="s">
        <v>33</v>
      </c>
      <c r="J443" t="s">
        <v>156</v>
      </c>
      <c r="K443" s="5">
        <f>40 / 86400</f>
        <v>4.6296296296296298E-4</v>
      </c>
      <c r="L443" s="5">
        <f>73 / 86400</f>
        <v>8.4490740740740739E-4</v>
      </c>
    </row>
    <row r="444" spans="1:12" x14ac:dyDescent="0.25">
      <c r="A444" s="3">
        <v>45716.693993055553</v>
      </c>
      <c r="B444" t="s">
        <v>288</v>
      </c>
      <c r="C444" s="3">
        <v>45716.697696759264</v>
      </c>
      <c r="D444" t="s">
        <v>172</v>
      </c>
      <c r="E444" s="4">
        <v>2.4589680210947988</v>
      </c>
      <c r="F444" s="4">
        <v>351540.22743027005</v>
      </c>
      <c r="G444" s="4">
        <v>351542.68639829115</v>
      </c>
      <c r="H444" s="5">
        <f t="shared" si="5"/>
        <v>0</v>
      </c>
      <c r="I444" t="s">
        <v>235</v>
      </c>
      <c r="J444" t="s">
        <v>145</v>
      </c>
      <c r="K444" s="5">
        <f>320 / 86400</f>
        <v>3.7037037037037038E-3</v>
      </c>
      <c r="L444" s="5">
        <f>29 / 86400</f>
        <v>3.3564814814814812E-4</v>
      </c>
    </row>
    <row r="445" spans="1:12" x14ac:dyDescent="0.25">
      <c r="A445" s="3">
        <v>45716.69803240741</v>
      </c>
      <c r="B445" t="s">
        <v>172</v>
      </c>
      <c r="C445" s="3">
        <v>45716.698263888888</v>
      </c>
      <c r="D445" t="s">
        <v>170</v>
      </c>
      <c r="E445" s="4">
        <v>3.3445793211460115E-2</v>
      </c>
      <c r="F445" s="4">
        <v>351542.7025485718</v>
      </c>
      <c r="G445" s="4">
        <v>351542.73599436501</v>
      </c>
      <c r="H445" s="5">
        <f t="shared" si="5"/>
        <v>0</v>
      </c>
      <c r="I445" t="s">
        <v>25</v>
      </c>
      <c r="J445" t="s">
        <v>137</v>
      </c>
      <c r="K445" s="5">
        <f>20 / 86400</f>
        <v>2.3148148148148149E-4</v>
      </c>
      <c r="L445" s="5">
        <f>20 / 86400</f>
        <v>2.3148148148148149E-4</v>
      </c>
    </row>
    <row r="446" spans="1:12" x14ac:dyDescent="0.25">
      <c r="A446" s="3">
        <v>45716.698495370365</v>
      </c>
      <c r="B446" t="s">
        <v>170</v>
      </c>
      <c r="C446" s="3">
        <v>45716.700810185182</v>
      </c>
      <c r="D446" t="s">
        <v>169</v>
      </c>
      <c r="E446" s="4">
        <v>1.3293104503750801</v>
      </c>
      <c r="F446" s="4">
        <v>351542.74167198793</v>
      </c>
      <c r="G446" s="4">
        <v>351544.07098243834</v>
      </c>
      <c r="H446" s="5">
        <f t="shared" si="5"/>
        <v>0</v>
      </c>
      <c r="I446" t="s">
        <v>307</v>
      </c>
      <c r="J446" t="s">
        <v>37</v>
      </c>
      <c r="K446" s="5">
        <f>200 / 86400</f>
        <v>2.3148148148148147E-3</v>
      </c>
      <c r="L446" s="5">
        <f>20 / 86400</f>
        <v>2.3148148148148149E-4</v>
      </c>
    </row>
    <row r="447" spans="1:12" x14ac:dyDescent="0.25">
      <c r="A447" s="3">
        <v>45716.701041666667</v>
      </c>
      <c r="B447" t="s">
        <v>169</v>
      </c>
      <c r="C447" s="3">
        <v>45716.701967592591</v>
      </c>
      <c r="D447" t="s">
        <v>169</v>
      </c>
      <c r="E447" s="4">
        <v>1.1091304640173911</v>
      </c>
      <c r="F447" s="4">
        <v>351544.12902802468</v>
      </c>
      <c r="G447" s="4">
        <v>351545.2381584887</v>
      </c>
      <c r="H447" s="5">
        <f t="shared" si="5"/>
        <v>0</v>
      </c>
      <c r="I447" t="s">
        <v>129</v>
      </c>
      <c r="J447" t="s">
        <v>110</v>
      </c>
      <c r="K447" s="5">
        <f>80 / 86400</f>
        <v>9.2592592592592596E-4</v>
      </c>
      <c r="L447" s="5">
        <f>20 / 86400</f>
        <v>2.3148148148148149E-4</v>
      </c>
    </row>
    <row r="448" spans="1:12" x14ac:dyDescent="0.25">
      <c r="A448" s="3">
        <v>45716.702199074076</v>
      </c>
      <c r="B448" t="s">
        <v>169</v>
      </c>
      <c r="C448" s="3">
        <v>45716.702662037038</v>
      </c>
      <c r="D448" t="s">
        <v>169</v>
      </c>
      <c r="E448" s="4">
        <v>0.27100035685300827</v>
      </c>
      <c r="F448" s="4">
        <v>351545.35396478378</v>
      </c>
      <c r="G448" s="4">
        <v>351545.62496514065</v>
      </c>
      <c r="H448" s="5">
        <f t="shared" si="5"/>
        <v>0</v>
      </c>
      <c r="I448" t="s">
        <v>167</v>
      </c>
      <c r="J448" t="s">
        <v>37</v>
      </c>
      <c r="K448" s="5">
        <f>40 / 86400</f>
        <v>4.6296296296296298E-4</v>
      </c>
      <c r="L448" s="5">
        <f>20 / 86400</f>
        <v>2.3148148148148149E-4</v>
      </c>
    </row>
    <row r="449" spans="1:12" x14ac:dyDescent="0.25">
      <c r="A449" s="3">
        <v>45716.702893518523</v>
      </c>
      <c r="B449" t="s">
        <v>169</v>
      </c>
      <c r="C449" s="3">
        <v>45716.704050925924</v>
      </c>
      <c r="D449" t="s">
        <v>169</v>
      </c>
      <c r="E449" s="4">
        <v>0.96881290787458418</v>
      </c>
      <c r="F449" s="4">
        <v>351545.66668541741</v>
      </c>
      <c r="G449" s="4">
        <v>351546.63549832528</v>
      </c>
      <c r="H449" s="5">
        <f t="shared" si="5"/>
        <v>0</v>
      </c>
      <c r="I449" t="s">
        <v>264</v>
      </c>
      <c r="J449" t="s">
        <v>97</v>
      </c>
      <c r="K449" s="5">
        <f>100 / 86400</f>
        <v>1.1574074074074073E-3</v>
      </c>
      <c r="L449" s="5">
        <f>40 / 86400</f>
        <v>4.6296296296296298E-4</v>
      </c>
    </row>
    <row r="450" spans="1:12" x14ac:dyDescent="0.25">
      <c r="A450" s="3">
        <v>45716.704513888893</v>
      </c>
      <c r="B450" t="s">
        <v>169</v>
      </c>
      <c r="C450" s="3">
        <v>45716.708541666667</v>
      </c>
      <c r="D450" t="s">
        <v>36</v>
      </c>
      <c r="E450" s="4">
        <v>2.3235598309636116</v>
      </c>
      <c r="F450" s="4">
        <v>351546.6728683766</v>
      </c>
      <c r="G450" s="4">
        <v>351548.99642820755</v>
      </c>
      <c r="H450" s="5">
        <f t="shared" si="5"/>
        <v>0</v>
      </c>
      <c r="I450" t="s">
        <v>205</v>
      </c>
      <c r="J450" t="s">
        <v>37</v>
      </c>
      <c r="K450" s="5">
        <f>348 / 86400</f>
        <v>4.0277777777777777E-3</v>
      </c>
      <c r="L450" s="5">
        <f>20 / 86400</f>
        <v>2.3148148148148149E-4</v>
      </c>
    </row>
    <row r="451" spans="1:12" x14ac:dyDescent="0.25">
      <c r="A451" s="3">
        <v>45716.708773148144</v>
      </c>
      <c r="B451" t="s">
        <v>36</v>
      </c>
      <c r="C451" s="3">
        <v>45716.711319444439</v>
      </c>
      <c r="D451" t="s">
        <v>36</v>
      </c>
      <c r="E451" s="4">
        <v>1.9007687141895295</v>
      </c>
      <c r="F451" s="4">
        <v>351549.12274943502</v>
      </c>
      <c r="G451" s="4">
        <v>351551.02351814922</v>
      </c>
      <c r="H451" s="5">
        <f t="shared" si="5"/>
        <v>0</v>
      </c>
      <c r="I451" t="s">
        <v>307</v>
      </c>
      <c r="J451" t="s">
        <v>206</v>
      </c>
      <c r="K451" s="5">
        <f>220 / 86400</f>
        <v>2.5462962962962965E-3</v>
      </c>
      <c r="L451" s="5">
        <f>13 / 86400</f>
        <v>1.5046296296296297E-4</v>
      </c>
    </row>
    <row r="452" spans="1:12" x14ac:dyDescent="0.25">
      <c r="A452" s="3">
        <v>45716.711469907408</v>
      </c>
      <c r="B452" t="s">
        <v>36</v>
      </c>
      <c r="C452" s="3">
        <v>45716.714016203703</v>
      </c>
      <c r="D452" t="s">
        <v>344</v>
      </c>
      <c r="E452" s="4">
        <v>2.2358611547946929</v>
      </c>
      <c r="F452" s="4">
        <v>351551.0567556122</v>
      </c>
      <c r="G452" s="4">
        <v>351553.29261676699</v>
      </c>
      <c r="H452" s="5">
        <f t="shared" si="5"/>
        <v>0</v>
      </c>
      <c r="I452" t="s">
        <v>56</v>
      </c>
      <c r="J452" t="s">
        <v>200</v>
      </c>
      <c r="K452" s="5">
        <f>220 / 86400</f>
        <v>2.5462962962962965E-3</v>
      </c>
      <c r="L452" s="5">
        <f>20 / 86400</f>
        <v>2.3148148148148149E-4</v>
      </c>
    </row>
    <row r="453" spans="1:12" x14ac:dyDescent="0.25">
      <c r="A453" s="3">
        <v>45716.714247685188</v>
      </c>
      <c r="B453" t="s">
        <v>344</v>
      </c>
      <c r="C453" s="3">
        <v>45716.717453703706</v>
      </c>
      <c r="D453" t="s">
        <v>297</v>
      </c>
      <c r="E453" s="4">
        <v>2.4981686090230943</v>
      </c>
      <c r="F453" s="4">
        <v>351553.45800672448</v>
      </c>
      <c r="G453" s="4">
        <v>351555.95617533347</v>
      </c>
      <c r="H453" s="5">
        <f t="shared" si="5"/>
        <v>0</v>
      </c>
      <c r="I453" t="s">
        <v>289</v>
      </c>
      <c r="J453" t="s">
        <v>164</v>
      </c>
      <c r="K453" s="5">
        <f>277 / 86400</f>
        <v>3.2060185185185186E-3</v>
      </c>
      <c r="L453" s="5">
        <f>20 / 86400</f>
        <v>2.3148148148148149E-4</v>
      </c>
    </row>
    <row r="454" spans="1:12" x14ac:dyDescent="0.25">
      <c r="A454" s="3">
        <v>45716.717685185184</v>
      </c>
      <c r="B454" t="s">
        <v>297</v>
      </c>
      <c r="C454" s="3">
        <v>45716.718333333338</v>
      </c>
      <c r="D454" t="s">
        <v>319</v>
      </c>
      <c r="E454" s="4">
        <v>0.34491862475872037</v>
      </c>
      <c r="F454" s="4">
        <v>351555.96267232852</v>
      </c>
      <c r="G454" s="4">
        <v>351556.30759095331</v>
      </c>
      <c r="H454" s="5">
        <f t="shared" si="5"/>
        <v>0</v>
      </c>
      <c r="I454" t="s">
        <v>183</v>
      </c>
      <c r="J454" t="s">
        <v>130</v>
      </c>
      <c r="K454" s="5">
        <f>56 / 86400</f>
        <v>6.4814814814814813E-4</v>
      </c>
      <c r="L454" s="5">
        <f>20 / 86400</f>
        <v>2.3148148148148149E-4</v>
      </c>
    </row>
    <row r="455" spans="1:12" x14ac:dyDescent="0.25">
      <c r="A455" s="3">
        <v>45716.718564814815</v>
      </c>
      <c r="B455" t="s">
        <v>319</v>
      </c>
      <c r="C455" s="3">
        <v>45716.719027777777</v>
      </c>
      <c r="D455" t="s">
        <v>345</v>
      </c>
      <c r="E455" s="4">
        <v>0.30850244748592376</v>
      </c>
      <c r="F455" s="4">
        <v>351556.31333846936</v>
      </c>
      <c r="G455" s="4">
        <v>351556.62184091687</v>
      </c>
      <c r="H455" s="5">
        <f t="shared" si="5"/>
        <v>0</v>
      </c>
      <c r="I455" t="s">
        <v>167</v>
      </c>
      <c r="J455" t="s">
        <v>145</v>
      </c>
      <c r="K455" s="5">
        <f>40 / 86400</f>
        <v>4.6296296296296298E-4</v>
      </c>
      <c r="L455" s="5">
        <f>20 / 86400</f>
        <v>2.3148148148148149E-4</v>
      </c>
    </row>
    <row r="456" spans="1:12" x14ac:dyDescent="0.25">
      <c r="A456" s="3">
        <v>45716.719259259262</v>
      </c>
      <c r="B456" t="s">
        <v>345</v>
      </c>
      <c r="C456" s="3">
        <v>45716.720648148148</v>
      </c>
      <c r="D456" t="s">
        <v>346</v>
      </c>
      <c r="E456" s="4">
        <v>0.64516618722677233</v>
      </c>
      <c r="F456" s="4">
        <v>351556.62587657175</v>
      </c>
      <c r="G456" s="4">
        <v>351557.27104275901</v>
      </c>
      <c r="H456" s="5">
        <f t="shared" si="5"/>
        <v>0</v>
      </c>
      <c r="I456" t="s">
        <v>97</v>
      </c>
      <c r="J456" t="s">
        <v>85</v>
      </c>
      <c r="K456" s="5">
        <f>120 / 86400</f>
        <v>1.3888888888888889E-3</v>
      </c>
      <c r="L456" s="5">
        <f>20 / 86400</f>
        <v>2.3148148148148149E-4</v>
      </c>
    </row>
    <row r="457" spans="1:12" x14ac:dyDescent="0.25">
      <c r="A457" s="3">
        <v>45716.720879629633</v>
      </c>
      <c r="B457" t="s">
        <v>347</v>
      </c>
      <c r="C457" s="3">
        <v>45716.72111111111</v>
      </c>
      <c r="D457" t="s">
        <v>348</v>
      </c>
      <c r="E457" s="4">
        <v>2.4310590744018555E-2</v>
      </c>
      <c r="F457" s="4">
        <v>351557.30807204335</v>
      </c>
      <c r="G457" s="4">
        <v>351557.33238263411</v>
      </c>
      <c r="H457" s="5">
        <f t="shared" si="5"/>
        <v>0</v>
      </c>
      <c r="I457" t="s">
        <v>214</v>
      </c>
      <c r="J457" t="s">
        <v>147</v>
      </c>
      <c r="K457" s="5">
        <f>20 / 86400</f>
        <v>2.3148148148148149E-4</v>
      </c>
      <c r="L457" s="5">
        <f>140 / 86400</f>
        <v>1.6203703703703703E-3</v>
      </c>
    </row>
    <row r="458" spans="1:12" x14ac:dyDescent="0.25">
      <c r="A458" s="3">
        <v>45716.722731481481</v>
      </c>
      <c r="B458" t="s">
        <v>348</v>
      </c>
      <c r="C458" s="3">
        <v>45716.725613425922</v>
      </c>
      <c r="D458" t="s">
        <v>304</v>
      </c>
      <c r="E458" s="4">
        <v>0.78932983547449109</v>
      </c>
      <c r="F458" s="4">
        <v>351557.4267741667</v>
      </c>
      <c r="G458" s="4">
        <v>351558.2161040022</v>
      </c>
      <c r="H458" s="5">
        <f t="shared" si="5"/>
        <v>0</v>
      </c>
      <c r="I458" t="s">
        <v>108</v>
      </c>
      <c r="J458" t="s">
        <v>100</v>
      </c>
      <c r="K458" s="5">
        <f>249 / 86400</f>
        <v>2.8819444444444444E-3</v>
      </c>
      <c r="L458" s="5">
        <f>9 / 86400</f>
        <v>1.0416666666666667E-4</v>
      </c>
    </row>
    <row r="459" spans="1:12" x14ac:dyDescent="0.25">
      <c r="A459" s="3">
        <v>45716.725717592592</v>
      </c>
      <c r="B459" t="s">
        <v>304</v>
      </c>
      <c r="C459" s="3">
        <v>45716.726712962962</v>
      </c>
      <c r="D459" t="s">
        <v>305</v>
      </c>
      <c r="E459" s="4">
        <v>0.14271066683530809</v>
      </c>
      <c r="F459" s="4">
        <v>351558.22180374298</v>
      </c>
      <c r="G459" s="4">
        <v>351558.36451440986</v>
      </c>
      <c r="H459" s="5">
        <f t="shared" si="5"/>
        <v>0</v>
      </c>
      <c r="I459" t="s">
        <v>57</v>
      </c>
      <c r="J459" t="s">
        <v>137</v>
      </c>
      <c r="K459" s="5">
        <f>86 / 86400</f>
        <v>9.9537037037037042E-4</v>
      </c>
      <c r="L459" s="5">
        <f>20 / 86400</f>
        <v>2.3148148148148149E-4</v>
      </c>
    </row>
    <row r="460" spans="1:12" x14ac:dyDescent="0.25">
      <c r="A460" s="3">
        <v>45716.726944444439</v>
      </c>
      <c r="B460" t="s">
        <v>297</v>
      </c>
      <c r="C460" s="3">
        <v>45716.729583333334</v>
      </c>
      <c r="D460" t="s">
        <v>348</v>
      </c>
      <c r="E460" s="4">
        <v>0.84475140619277955</v>
      </c>
      <c r="F460" s="4">
        <v>351558.40129443677</v>
      </c>
      <c r="G460" s="4">
        <v>351559.24604584294</v>
      </c>
      <c r="H460" s="5">
        <f t="shared" si="5"/>
        <v>0</v>
      </c>
      <c r="I460" t="s">
        <v>85</v>
      </c>
      <c r="J460" t="s">
        <v>64</v>
      </c>
      <c r="K460" s="5">
        <f>228 / 86400</f>
        <v>2.638888888888889E-3</v>
      </c>
      <c r="L460" s="5">
        <f>40 / 86400</f>
        <v>4.6296296296296298E-4</v>
      </c>
    </row>
    <row r="461" spans="1:12" x14ac:dyDescent="0.25">
      <c r="A461" s="3">
        <v>45716.730046296296</v>
      </c>
      <c r="B461" t="s">
        <v>347</v>
      </c>
      <c r="C461" s="3">
        <v>45716.730740740742</v>
      </c>
      <c r="D461" t="s">
        <v>349</v>
      </c>
      <c r="E461" s="4">
        <v>0.38773664128780366</v>
      </c>
      <c r="F461" s="4">
        <v>351559.26679008623</v>
      </c>
      <c r="G461" s="4">
        <v>351559.65452672751</v>
      </c>
      <c r="H461" s="5">
        <f t="shared" si="5"/>
        <v>0</v>
      </c>
      <c r="I461" t="s">
        <v>145</v>
      </c>
      <c r="J461" t="s">
        <v>153</v>
      </c>
      <c r="K461" s="5">
        <f>60 / 86400</f>
        <v>6.9444444444444447E-4</v>
      </c>
      <c r="L461" s="5">
        <f>40 / 86400</f>
        <v>4.6296296296296298E-4</v>
      </c>
    </row>
    <row r="462" spans="1:12" x14ac:dyDescent="0.25">
      <c r="A462" s="3">
        <v>45716.731203703705</v>
      </c>
      <c r="B462" t="s">
        <v>299</v>
      </c>
      <c r="C462" s="3">
        <v>45716.732129629629</v>
      </c>
      <c r="D462" t="s">
        <v>319</v>
      </c>
      <c r="E462" s="4">
        <v>0.54667862570285797</v>
      </c>
      <c r="F462" s="4">
        <v>351559.67814924556</v>
      </c>
      <c r="G462" s="4">
        <v>351560.22482787125</v>
      </c>
      <c r="H462" s="5">
        <f t="shared" si="5"/>
        <v>0</v>
      </c>
      <c r="I462" t="s">
        <v>211</v>
      </c>
      <c r="J462" t="s">
        <v>32</v>
      </c>
      <c r="K462" s="5">
        <f>80 / 86400</f>
        <v>9.2592592592592596E-4</v>
      </c>
      <c r="L462" s="5">
        <f>20 / 86400</f>
        <v>2.3148148148148149E-4</v>
      </c>
    </row>
    <row r="463" spans="1:12" x14ac:dyDescent="0.25">
      <c r="A463" s="3">
        <v>45716.732361111106</v>
      </c>
      <c r="B463" t="s">
        <v>319</v>
      </c>
      <c r="C463" s="3">
        <v>45716.735995370371</v>
      </c>
      <c r="D463" t="s">
        <v>344</v>
      </c>
      <c r="E463" s="4">
        <v>2.9121540582776069</v>
      </c>
      <c r="F463" s="4">
        <v>351560.37173513114</v>
      </c>
      <c r="G463" s="4">
        <v>351563.28388918942</v>
      </c>
      <c r="H463" s="5">
        <f t="shared" si="5"/>
        <v>0</v>
      </c>
      <c r="I463" t="s">
        <v>289</v>
      </c>
      <c r="J463" t="s">
        <v>179</v>
      </c>
      <c r="K463" s="5">
        <f>314 / 86400</f>
        <v>3.6342592592592594E-3</v>
      </c>
      <c r="L463" s="5">
        <f>20 / 86400</f>
        <v>2.3148148148148149E-4</v>
      </c>
    </row>
    <row r="464" spans="1:12" x14ac:dyDescent="0.25">
      <c r="A464" s="3">
        <v>45716.736226851848</v>
      </c>
      <c r="B464" t="s">
        <v>344</v>
      </c>
      <c r="C464" s="3">
        <v>45716.740370370375</v>
      </c>
      <c r="D464" t="s">
        <v>36</v>
      </c>
      <c r="E464" s="4">
        <v>3.7448736677765848</v>
      </c>
      <c r="F464" s="4">
        <v>351563.48050642328</v>
      </c>
      <c r="G464" s="4">
        <v>351567.22538009105</v>
      </c>
      <c r="H464" s="5">
        <f t="shared" si="5"/>
        <v>0</v>
      </c>
      <c r="I464" t="s">
        <v>34</v>
      </c>
      <c r="J464" t="s">
        <v>180</v>
      </c>
      <c r="K464" s="5">
        <f>358 / 86400</f>
        <v>4.1435185185185186E-3</v>
      </c>
      <c r="L464" s="5">
        <f>25 / 86400</f>
        <v>2.8935185185185184E-4</v>
      </c>
    </row>
    <row r="465" spans="1:12" x14ac:dyDescent="0.25">
      <c r="A465" s="3">
        <v>45716.740659722222</v>
      </c>
      <c r="B465" t="s">
        <v>36</v>
      </c>
      <c r="C465" s="3">
        <v>45716.742280092592</v>
      </c>
      <c r="D465" t="s">
        <v>203</v>
      </c>
      <c r="E465" s="4">
        <v>1.0954715302586555</v>
      </c>
      <c r="F465" s="4">
        <v>351567.23075982922</v>
      </c>
      <c r="G465" s="4">
        <v>351568.3262313595</v>
      </c>
      <c r="H465" s="5">
        <f t="shared" si="5"/>
        <v>0</v>
      </c>
      <c r="I465" t="s">
        <v>160</v>
      </c>
      <c r="J465" t="s">
        <v>145</v>
      </c>
      <c r="K465" s="5">
        <f>140 / 86400</f>
        <v>1.6203703703703703E-3</v>
      </c>
      <c r="L465" s="5">
        <f>20 / 86400</f>
        <v>2.3148148148148149E-4</v>
      </c>
    </row>
    <row r="466" spans="1:12" x14ac:dyDescent="0.25">
      <c r="A466" s="3">
        <v>45716.742511574077</v>
      </c>
      <c r="B466" t="s">
        <v>203</v>
      </c>
      <c r="C466" s="3">
        <v>45716.742743055554</v>
      </c>
      <c r="D466" t="s">
        <v>203</v>
      </c>
      <c r="E466" s="4">
        <v>0.16878566581010818</v>
      </c>
      <c r="F466" s="4">
        <v>351568.40522152884</v>
      </c>
      <c r="G466" s="4">
        <v>351568.57400719466</v>
      </c>
      <c r="H466" s="5">
        <f t="shared" si="5"/>
        <v>0</v>
      </c>
      <c r="I466" t="s">
        <v>165</v>
      </c>
      <c r="J466" t="s">
        <v>149</v>
      </c>
      <c r="K466" s="5">
        <f>20 / 86400</f>
        <v>2.3148148148148149E-4</v>
      </c>
      <c r="L466" s="5">
        <f>20 / 86400</f>
        <v>2.3148148148148149E-4</v>
      </c>
    </row>
    <row r="467" spans="1:12" x14ac:dyDescent="0.25">
      <c r="A467" s="3">
        <v>45716.742974537032</v>
      </c>
      <c r="B467" t="s">
        <v>203</v>
      </c>
      <c r="C467" s="3">
        <v>45716.744849537034</v>
      </c>
      <c r="D467" t="s">
        <v>166</v>
      </c>
      <c r="E467" s="4">
        <v>1.0876587336659431</v>
      </c>
      <c r="F467" s="4">
        <v>351568.57867754367</v>
      </c>
      <c r="G467" s="4">
        <v>351569.66633627738</v>
      </c>
      <c r="H467" s="5">
        <f t="shared" si="5"/>
        <v>0</v>
      </c>
      <c r="I467" t="s">
        <v>289</v>
      </c>
      <c r="J467" t="s">
        <v>37</v>
      </c>
      <c r="K467" s="5">
        <f>162 / 86400</f>
        <v>1.8749999999999999E-3</v>
      </c>
      <c r="L467" s="5">
        <f>20 / 86400</f>
        <v>2.3148148148148149E-4</v>
      </c>
    </row>
    <row r="468" spans="1:12" x14ac:dyDescent="0.25">
      <c r="A468" s="3">
        <v>45716.745081018518</v>
      </c>
      <c r="B468" t="s">
        <v>38</v>
      </c>
      <c r="C468" s="3">
        <v>45716.746238425927</v>
      </c>
      <c r="D468" t="s">
        <v>166</v>
      </c>
      <c r="E468" s="4">
        <v>1.4517677111625671</v>
      </c>
      <c r="F468" s="4">
        <v>351569.85957275517</v>
      </c>
      <c r="G468" s="4">
        <v>351571.31134046632</v>
      </c>
      <c r="H468" s="5">
        <f t="shared" si="5"/>
        <v>0</v>
      </c>
      <c r="I468" t="s">
        <v>75</v>
      </c>
      <c r="J468" t="s">
        <v>219</v>
      </c>
      <c r="K468" s="5">
        <f>100 / 86400</f>
        <v>1.1574074074074073E-3</v>
      </c>
      <c r="L468" s="5">
        <f>20 / 86400</f>
        <v>2.3148148148148149E-4</v>
      </c>
    </row>
    <row r="469" spans="1:12" x14ac:dyDescent="0.25">
      <c r="A469" s="3">
        <v>45716.746469907404</v>
      </c>
      <c r="B469" t="s">
        <v>166</v>
      </c>
      <c r="C469" s="3">
        <v>45716.748865740738</v>
      </c>
      <c r="D469" t="s">
        <v>350</v>
      </c>
      <c r="E469" s="4">
        <v>1.9948670848011971</v>
      </c>
      <c r="F469" s="4">
        <v>351571.4398565226</v>
      </c>
      <c r="G469" s="4">
        <v>351573.43472360744</v>
      </c>
      <c r="H469" s="5">
        <f t="shared" si="5"/>
        <v>0</v>
      </c>
      <c r="I469" t="s">
        <v>52</v>
      </c>
      <c r="J469" t="s">
        <v>97</v>
      </c>
      <c r="K469" s="5">
        <f>207 / 86400</f>
        <v>2.3958333333333331E-3</v>
      </c>
      <c r="L469" s="5">
        <f>20 / 86400</f>
        <v>2.3148148148148149E-4</v>
      </c>
    </row>
    <row r="470" spans="1:12" x14ac:dyDescent="0.25">
      <c r="A470" s="3">
        <v>45716.749097222222</v>
      </c>
      <c r="B470" t="s">
        <v>350</v>
      </c>
      <c r="C470" s="3">
        <v>45716.752083333333</v>
      </c>
      <c r="D470" t="s">
        <v>350</v>
      </c>
      <c r="E470" s="4">
        <v>0.89702084887027744</v>
      </c>
      <c r="F470" s="4">
        <v>351573.54245233419</v>
      </c>
      <c r="G470" s="4">
        <v>351574.43947318301</v>
      </c>
      <c r="H470" s="5">
        <f t="shared" si="5"/>
        <v>0</v>
      </c>
      <c r="I470" t="s">
        <v>207</v>
      </c>
      <c r="J470" t="s">
        <v>64</v>
      </c>
      <c r="K470" s="5">
        <f>258 / 86400</f>
        <v>2.9861111111111113E-3</v>
      </c>
      <c r="L470" s="5">
        <f>9 / 86400</f>
        <v>1.0416666666666667E-4</v>
      </c>
    </row>
    <row r="471" spans="1:12" x14ac:dyDescent="0.25">
      <c r="A471" s="3">
        <v>45716.752187499995</v>
      </c>
      <c r="B471" t="s">
        <v>169</v>
      </c>
      <c r="C471" s="3">
        <v>45716.752442129626</v>
      </c>
      <c r="D471" t="s">
        <v>169</v>
      </c>
      <c r="E471" s="4">
        <v>0.14158680641651153</v>
      </c>
      <c r="F471" s="4">
        <v>351574.452167221</v>
      </c>
      <c r="G471" s="4">
        <v>351574.59375402745</v>
      </c>
      <c r="H471" s="5">
        <f t="shared" si="5"/>
        <v>0</v>
      </c>
      <c r="I471" t="s">
        <v>35</v>
      </c>
      <c r="J471" t="s">
        <v>153</v>
      </c>
      <c r="K471" s="5">
        <f>22 / 86400</f>
        <v>2.5462962962962961E-4</v>
      </c>
      <c r="L471" s="5">
        <f>20 / 86400</f>
        <v>2.3148148148148149E-4</v>
      </c>
    </row>
    <row r="472" spans="1:12" x14ac:dyDescent="0.25">
      <c r="A472" s="3">
        <v>45716.75267361111</v>
      </c>
      <c r="B472" t="s">
        <v>169</v>
      </c>
      <c r="C472" s="3">
        <v>45716.753136574072</v>
      </c>
      <c r="D472" t="s">
        <v>170</v>
      </c>
      <c r="E472" s="4">
        <v>0.37464072775840757</v>
      </c>
      <c r="F472" s="4">
        <v>351574.78911159612</v>
      </c>
      <c r="G472" s="4">
        <v>351575.16375232389</v>
      </c>
      <c r="H472" s="5">
        <f t="shared" si="5"/>
        <v>0</v>
      </c>
      <c r="I472" t="s">
        <v>143</v>
      </c>
      <c r="J472" t="s">
        <v>182</v>
      </c>
      <c r="K472" s="5">
        <f>40 / 86400</f>
        <v>4.6296296296296298E-4</v>
      </c>
      <c r="L472" s="5">
        <f>140 / 86400</f>
        <v>1.6203703703703703E-3</v>
      </c>
    </row>
    <row r="473" spans="1:12" x14ac:dyDescent="0.25">
      <c r="A473" s="3">
        <v>45716.754756944443</v>
      </c>
      <c r="B473" t="s">
        <v>170</v>
      </c>
      <c r="C473" s="3">
        <v>45716.75545138889</v>
      </c>
      <c r="D473" t="s">
        <v>172</v>
      </c>
      <c r="E473" s="4">
        <v>0.41905685341358184</v>
      </c>
      <c r="F473" s="4">
        <v>351575.19665022602</v>
      </c>
      <c r="G473" s="4">
        <v>351575.61570707941</v>
      </c>
      <c r="H473" s="5">
        <f t="shared" si="5"/>
        <v>0</v>
      </c>
      <c r="I473" t="s">
        <v>211</v>
      </c>
      <c r="J473" t="s">
        <v>32</v>
      </c>
      <c r="K473" s="5">
        <f>60 / 86400</f>
        <v>6.9444444444444447E-4</v>
      </c>
      <c r="L473" s="5">
        <f>20 / 86400</f>
        <v>2.3148148148148149E-4</v>
      </c>
    </row>
    <row r="474" spans="1:12" x14ac:dyDescent="0.25">
      <c r="A474" s="3">
        <v>45716.755682870367</v>
      </c>
      <c r="B474" t="s">
        <v>172</v>
      </c>
      <c r="C474" s="3">
        <v>45716.758472222224</v>
      </c>
      <c r="D474" t="s">
        <v>177</v>
      </c>
      <c r="E474" s="4">
        <v>2.5886645110845565</v>
      </c>
      <c r="F474" s="4">
        <v>351575.64832019241</v>
      </c>
      <c r="G474" s="4">
        <v>351578.23698470346</v>
      </c>
      <c r="H474" s="5">
        <f t="shared" si="5"/>
        <v>0</v>
      </c>
      <c r="I474" t="s">
        <v>84</v>
      </c>
      <c r="J474" t="s">
        <v>211</v>
      </c>
      <c r="K474" s="5">
        <f>241 / 86400</f>
        <v>2.7893518518518519E-3</v>
      </c>
      <c r="L474" s="5">
        <f>40 / 86400</f>
        <v>4.6296296296296298E-4</v>
      </c>
    </row>
    <row r="475" spans="1:12" x14ac:dyDescent="0.25">
      <c r="A475" s="3">
        <v>45716.758935185186</v>
      </c>
      <c r="B475" t="s">
        <v>177</v>
      </c>
      <c r="C475" s="3">
        <v>45716.75916666667</v>
      </c>
      <c r="D475" t="s">
        <v>177</v>
      </c>
      <c r="E475" s="4">
        <v>7.6773314654827118E-2</v>
      </c>
      <c r="F475" s="4">
        <v>351578.2810530928</v>
      </c>
      <c r="G475" s="4">
        <v>351578.35782640742</v>
      </c>
      <c r="H475" s="5">
        <f t="shared" si="5"/>
        <v>0</v>
      </c>
      <c r="I475" t="s">
        <v>20</v>
      </c>
      <c r="J475" t="s">
        <v>72</v>
      </c>
      <c r="K475" s="5">
        <f>20 / 86400</f>
        <v>2.3148148148148149E-4</v>
      </c>
      <c r="L475" s="5">
        <f>40 / 86400</f>
        <v>4.6296296296296298E-4</v>
      </c>
    </row>
    <row r="476" spans="1:12" x14ac:dyDescent="0.25">
      <c r="A476" s="3">
        <v>45716.759629629625</v>
      </c>
      <c r="B476" t="s">
        <v>177</v>
      </c>
      <c r="C476" s="3">
        <v>45716.75986111111</v>
      </c>
      <c r="D476" t="s">
        <v>177</v>
      </c>
      <c r="E476" s="4">
        <v>5.7833732068538667E-2</v>
      </c>
      <c r="F476" s="4">
        <v>351578.37906035717</v>
      </c>
      <c r="G476" s="4">
        <v>351578.43689408922</v>
      </c>
      <c r="H476" s="5">
        <f t="shared" si="5"/>
        <v>0</v>
      </c>
      <c r="I476" t="s">
        <v>108</v>
      </c>
      <c r="J476" t="s">
        <v>151</v>
      </c>
      <c r="K476" s="5">
        <f>20 / 86400</f>
        <v>2.3148148148148149E-4</v>
      </c>
      <c r="L476" s="5">
        <f>40 / 86400</f>
        <v>4.6296296296296298E-4</v>
      </c>
    </row>
    <row r="477" spans="1:12" x14ac:dyDescent="0.25">
      <c r="A477" s="3">
        <v>45716.760324074072</v>
      </c>
      <c r="B477" t="s">
        <v>177</v>
      </c>
      <c r="C477" s="3">
        <v>45716.760555555556</v>
      </c>
      <c r="D477" t="s">
        <v>177</v>
      </c>
      <c r="E477" s="4">
        <v>3.5931814312934874E-3</v>
      </c>
      <c r="F477" s="4">
        <v>351578.45418536523</v>
      </c>
      <c r="G477" s="4">
        <v>351578.45777854667</v>
      </c>
      <c r="H477" s="5">
        <f t="shared" si="5"/>
        <v>0</v>
      </c>
      <c r="I477" t="s">
        <v>59</v>
      </c>
      <c r="J477" t="s">
        <v>59</v>
      </c>
      <c r="K477" s="5">
        <f>20 / 86400</f>
        <v>2.3148148148148149E-4</v>
      </c>
      <c r="L477" s="5">
        <f>20 / 86400</f>
        <v>2.3148148148148149E-4</v>
      </c>
    </row>
    <row r="478" spans="1:12" x14ac:dyDescent="0.25">
      <c r="A478" s="3">
        <v>45716.760787037041</v>
      </c>
      <c r="B478" t="s">
        <v>177</v>
      </c>
      <c r="C478" s="3">
        <v>45716.761712962965</v>
      </c>
      <c r="D478" t="s">
        <v>343</v>
      </c>
      <c r="E478" s="4">
        <v>0.94111011284589763</v>
      </c>
      <c r="F478" s="4">
        <v>351578.49279473891</v>
      </c>
      <c r="G478" s="4">
        <v>351579.43390485173</v>
      </c>
      <c r="H478" s="5">
        <f t="shared" si="5"/>
        <v>0</v>
      </c>
      <c r="I478" t="s">
        <v>70</v>
      </c>
      <c r="J478" t="s">
        <v>165</v>
      </c>
      <c r="K478" s="5">
        <f>80 / 86400</f>
        <v>9.2592592592592596E-4</v>
      </c>
      <c r="L478" s="5">
        <f>24 / 86400</f>
        <v>2.7777777777777778E-4</v>
      </c>
    </row>
    <row r="479" spans="1:12" x14ac:dyDescent="0.25">
      <c r="A479" s="3">
        <v>45716.761990740742</v>
      </c>
      <c r="B479" t="s">
        <v>177</v>
      </c>
      <c r="C479" s="3">
        <v>45716.762222222227</v>
      </c>
      <c r="D479" t="s">
        <v>177</v>
      </c>
      <c r="E479" s="4">
        <v>3.3531569004058841E-2</v>
      </c>
      <c r="F479" s="4">
        <v>351579.44051847083</v>
      </c>
      <c r="G479" s="4">
        <v>351579.47405003983</v>
      </c>
      <c r="H479" s="5">
        <f t="shared" si="5"/>
        <v>0</v>
      </c>
      <c r="I479" t="s">
        <v>25</v>
      </c>
      <c r="J479" t="s">
        <v>137</v>
      </c>
      <c r="K479" s="5">
        <f>20 / 86400</f>
        <v>2.3148148148148149E-4</v>
      </c>
      <c r="L479" s="5">
        <f>32 / 86400</f>
        <v>3.7037037037037035E-4</v>
      </c>
    </row>
    <row r="480" spans="1:12" x14ac:dyDescent="0.25">
      <c r="A480" s="3">
        <v>45716.762592592597</v>
      </c>
      <c r="B480" t="s">
        <v>177</v>
      </c>
      <c r="C480" s="3">
        <v>45716.763032407413</v>
      </c>
      <c r="D480" t="s">
        <v>199</v>
      </c>
      <c r="E480" s="4">
        <v>5.4586474537849428E-2</v>
      </c>
      <c r="F480" s="4">
        <v>351579.48006679863</v>
      </c>
      <c r="G480" s="4">
        <v>351579.53465327318</v>
      </c>
      <c r="H480" s="5">
        <f t="shared" si="5"/>
        <v>0</v>
      </c>
      <c r="I480" t="s">
        <v>57</v>
      </c>
      <c r="J480" t="s">
        <v>25</v>
      </c>
      <c r="K480" s="5">
        <f>38 / 86400</f>
        <v>4.3981481481481481E-4</v>
      </c>
      <c r="L480" s="5">
        <f>584 / 86400</f>
        <v>6.7592592592592591E-3</v>
      </c>
    </row>
    <row r="481" spans="1:12" x14ac:dyDescent="0.25">
      <c r="A481" s="3">
        <v>45716.769791666666</v>
      </c>
      <c r="B481" t="s">
        <v>199</v>
      </c>
      <c r="C481" s="3">
        <v>45716.770057870366</v>
      </c>
      <c r="D481" t="s">
        <v>343</v>
      </c>
      <c r="E481" s="4">
        <v>4.9159789681434633E-2</v>
      </c>
      <c r="F481" s="4">
        <v>351579.54721133632</v>
      </c>
      <c r="G481" s="4">
        <v>351579.59637112601</v>
      </c>
      <c r="H481" s="5">
        <f t="shared" si="5"/>
        <v>0</v>
      </c>
      <c r="I481" t="s">
        <v>214</v>
      </c>
      <c r="J481" t="s">
        <v>214</v>
      </c>
      <c r="K481" s="5">
        <f>23 / 86400</f>
        <v>2.6620370370370372E-4</v>
      </c>
      <c r="L481" s="5">
        <f>435 / 86400</f>
        <v>5.0347222222222225E-3</v>
      </c>
    </row>
    <row r="482" spans="1:12" x14ac:dyDescent="0.25">
      <c r="A482" s="3">
        <v>45716.775092592594</v>
      </c>
      <c r="B482" t="s">
        <v>343</v>
      </c>
      <c r="C482" s="3">
        <v>45716.77516203704</v>
      </c>
      <c r="D482" t="s">
        <v>343</v>
      </c>
      <c r="E482" s="4">
        <v>4.4185985922813413E-3</v>
      </c>
      <c r="F482" s="4">
        <v>351579.60478971567</v>
      </c>
      <c r="G482" s="4">
        <v>351579.60920831421</v>
      </c>
      <c r="H482" s="5">
        <f t="shared" si="5"/>
        <v>0</v>
      </c>
      <c r="I482" t="s">
        <v>147</v>
      </c>
      <c r="J482" t="s">
        <v>33</v>
      </c>
      <c r="K482" s="5">
        <f>6 / 86400</f>
        <v>6.9444444444444444E-5</v>
      </c>
      <c r="L482" s="5">
        <f>108 / 86400</f>
        <v>1.25E-3</v>
      </c>
    </row>
    <row r="483" spans="1:12" x14ac:dyDescent="0.25">
      <c r="A483" s="3">
        <v>45716.776412037041</v>
      </c>
      <c r="B483" t="s">
        <v>343</v>
      </c>
      <c r="C483" s="3">
        <v>45716.777800925927</v>
      </c>
      <c r="D483" t="s">
        <v>286</v>
      </c>
      <c r="E483" s="4">
        <v>0.85884895670413974</v>
      </c>
      <c r="F483" s="4">
        <v>351579.61736792442</v>
      </c>
      <c r="G483" s="4">
        <v>351580.47621688113</v>
      </c>
      <c r="H483" s="5">
        <f t="shared" si="5"/>
        <v>0</v>
      </c>
      <c r="I483" t="s">
        <v>171</v>
      </c>
      <c r="J483" t="s">
        <v>236</v>
      </c>
      <c r="K483" s="5">
        <f>120 / 86400</f>
        <v>1.3888888888888889E-3</v>
      </c>
      <c r="L483" s="5">
        <f>60 / 86400</f>
        <v>6.9444444444444447E-4</v>
      </c>
    </row>
    <row r="484" spans="1:12" x14ac:dyDescent="0.25">
      <c r="A484" s="3">
        <v>45716.778495370367</v>
      </c>
      <c r="B484" t="s">
        <v>351</v>
      </c>
      <c r="C484" s="3">
        <v>45716.779421296298</v>
      </c>
      <c r="D484" t="s">
        <v>77</v>
      </c>
      <c r="E484" s="4">
        <v>0.79192261135578157</v>
      </c>
      <c r="F484" s="4">
        <v>351580.50468595489</v>
      </c>
      <c r="G484" s="4">
        <v>351581.29660856625</v>
      </c>
      <c r="H484" s="5">
        <f t="shared" si="5"/>
        <v>0</v>
      </c>
      <c r="I484" t="s">
        <v>143</v>
      </c>
      <c r="J484" t="s">
        <v>207</v>
      </c>
      <c r="K484" s="5">
        <f>80 / 86400</f>
        <v>9.2592592592592596E-4</v>
      </c>
      <c r="L484" s="5">
        <f>27 / 86400</f>
        <v>3.1250000000000001E-4</v>
      </c>
    </row>
    <row r="485" spans="1:12" x14ac:dyDescent="0.25">
      <c r="A485" s="3">
        <v>45716.779733796298</v>
      </c>
      <c r="B485" t="s">
        <v>77</v>
      </c>
      <c r="C485" s="3">
        <v>45716.781122685185</v>
      </c>
      <c r="D485" t="s">
        <v>172</v>
      </c>
      <c r="E485" s="4">
        <v>1.3798736373782159</v>
      </c>
      <c r="F485" s="4">
        <v>351581.30010720307</v>
      </c>
      <c r="G485" s="4">
        <v>351582.67998084042</v>
      </c>
      <c r="H485" s="5">
        <f t="shared" si="5"/>
        <v>0</v>
      </c>
      <c r="I485" t="s">
        <v>175</v>
      </c>
      <c r="J485" t="s">
        <v>167</v>
      </c>
      <c r="K485" s="5">
        <f>120 / 86400</f>
        <v>1.3888888888888889E-3</v>
      </c>
      <c r="L485" s="5">
        <f>40 / 86400</f>
        <v>4.6296296296296298E-4</v>
      </c>
    </row>
    <row r="486" spans="1:12" x14ac:dyDescent="0.25">
      <c r="A486" s="3">
        <v>45716.781585648147</v>
      </c>
      <c r="B486" t="s">
        <v>174</v>
      </c>
      <c r="C486" s="3">
        <v>45716.782696759255</v>
      </c>
      <c r="D486" t="s">
        <v>174</v>
      </c>
      <c r="E486" s="4">
        <v>0.81802074956893922</v>
      </c>
      <c r="F486" s="4">
        <v>351582.84696216398</v>
      </c>
      <c r="G486" s="4">
        <v>351583.66498291353</v>
      </c>
      <c r="H486" s="5">
        <f t="shared" si="5"/>
        <v>0</v>
      </c>
      <c r="I486" t="s">
        <v>219</v>
      </c>
      <c r="J486" t="s">
        <v>206</v>
      </c>
      <c r="K486" s="5">
        <f>96 / 86400</f>
        <v>1.1111111111111111E-3</v>
      </c>
      <c r="L486" s="5">
        <f>20 / 86400</f>
        <v>2.3148148148148149E-4</v>
      </c>
    </row>
    <row r="487" spans="1:12" x14ac:dyDescent="0.25">
      <c r="A487" s="3">
        <v>45716.78292824074</v>
      </c>
      <c r="B487" t="s">
        <v>174</v>
      </c>
      <c r="C487" s="3">
        <v>45716.783796296295</v>
      </c>
      <c r="D487" t="s">
        <v>172</v>
      </c>
      <c r="E487" s="4">
        <v>0.10567339462041855</v>
      </c>
      <c r="F487" s="4">
        <v>351583.66589853173</v>
      </c>
      <c r="G487" s="4">
        <v>351583.77157192637</v>
      </c>
      <c r="H487" s="5">
        <f t="shared" si="5"/>
        <v>0</v>
      </c>
      <c r="I487" t="s">
        <v>151</v>
      </c>
      <c r="J487" t="s">
        <v>25</v>
      </c>
      <c r="K487" s="5">
        <f>75 / 86400</f>
        <v>8.6805555555555551E-4</v>
      </c>
      <c r="L487" s="5">
        <f>40 / 86400</f>
        <v>4.6296296296296298E-4</v>
      </c>
    </row>
    <row r="488" spans="1:12" x14ac:dyDescent="0.25">
      <c r="A488" s="3">
        <v>45716.784259259264</v>
      </c>
      <c r="B488" t="s">
        <v>172</v>
      </c>
      <c r="C488" s="3">
        <v>45716.784490740742</v>
      </c>
      <c r="D488" t="s">
        <v>170</v>
      </c>
      <c r="E488" s="4">
        <v>2.3665888726711274E-2</v>
      </c>
      <c r="F488" s="4">
        <v>351583.77666140208</v>
      </c>
      <c r="G488" s="4">
        <v>351583.80032729084</v>
      </c>
      <c r="H488" s="5">
        <f t="shared" si="5"/>
        <v>0</v>
      </c>
      <c r="I488" t="s">
        <v>156</v>
      </c>
      <c r="J488" t="s">
        <v>147</v>
      </c>
      <c r="K488" s="5">
        <f>20 / 86400</f>
        <v>2.3148148148148149E-4</v>
      </c>
      <c r="L488" s="5">
        <f>20 / 86400</f>
        <v>2.3148148148148149E-4</v>
      </c>
    </row>
    <row r="489" spans="1:12" x14ac:dyDescent="0.25">
      <c r="A489" s="3">
        <v>45716.784722222219</v>
      </c>
      <c r="B489" t="s">
        <v>170</v>
      </c>
      <c r="C489" s="3">
        <v>45716.788888888885</v>
      </c>
      <c r="D489" t="s">
        <v>38</v>
      </c>
      <c r="E489" s="4">
        <v>2.5026582845449448</v>
      </c>
      <c r="F489" s="4">
        <v>351583.81767876475</v>
      </c>
      <c r="G489" s="4">
        <v>351586.32033704931</v>
      </c>
      <c r="H489" s="5">
        <f t="shared" si="5"/>
        <v>0</v>
      </c>
      <c r="I489" t="s">
        <v>70</v>
      </c>
      <c r="J489" t="s">
        <v>32</v>
      </c>
      <c r="K489" s="5">
        <f>360 / 86400</f>
        <v>4.1666666666666666E-3</v>
      </c>
      <c r="L489" s="5">
        <f>11 / 86400</f>
        <v>1.273148148148148E-4</v>
      </c>
    </row>
    <row r="490" spans="1:12" x14ac:dyDescent="0.25">
      <c r="A490" s="3">
        <v>45716.789016203707</v>
      </c>
      <c r="B490" t="s">
        <v>38</v>
      </c>
      <c r="C490" s="3">
        <v>45716.790405092594</v>
      </c>
      <c r="D490" t="s">
        <v>169</v>
      </c>
      <c r="E490" s="4">
        <v>1.4119165574312209</v>
      </c>
      <c r="F490" s="4">
        <v>351586.32571878226</v>
      </c>
      <c r="G490" s="4">
        <v>351587.73763533967</v>
      </c>
      <c r="H490" s="5">
        <f t="shared" si="5"/>
        <v>0</v>
      </c>
      <c r="I490" t="s">
        <v>129</v>
      </c>
      <c r="J490" t="s">
        <v>165</v>
      </c>
      <c r="K490" s="5">
        <f>120 / 86400</f>
        <v>1.3888888888888889E-3</v>
      </c>
      <c r="L490" s="5">
        <f>97 / 86400</f>
        <v>1.1226851851851851E-3</v>
      </c>
    </row>
    <row r="491" spans="1:12" x14ac:dyDescent="0.25">
      <c r="A491" s="3">
        <v>45716.791527777779</v>
      </c>
      <c r="B491" t="s">
        <v>38</v>
      </c>
      <c r="C491" s="3">
        <v>45716.792685185181</v>
      </c>
      <c r="D491" t="s">
        <v>290</v>
      </c>
      <c r="E491" s="4">
        <v>0.67180830556154247</v>
      </c>
      <c r="F491" s="4">
        <v>351587.74975584174</v>
      </c>
      <c r="G491" s="4">
        <v>351588.42156414728</v>
      </c>
      <c r="H491" s="5">
        <f t="shared" si="5"/>
        <v>0</v>
      </c>
      <c r="I491" t="s">
        <v>242</v>
      </c>
      <c r="J491" t="s">
        <v>37</v>
      </c>
      <c r="K491" s="5">
        <f>100 / 86400</f>
        <v>1.1574074074074073E-3</v>
      </c>
      <c r="L491" s="5">
        <f>2 / 86400</f>
        <v>2.3148148148148147E-5</v>
      </c>
    </row>
    <row r="492" spans="1:12" x14ac:dyDescent="0.25">
      <c r="A492" s="3">
        <v>45716.792708333334</v>
      </c>
      <c r="B492" t="s">
        <v>290</v>
      </c>
      <c r="C492" s="3">
        <v>45716.793402777781</v>
      </c>
      <c r="D492" t="s">
        <v>36</v>
      </c>
      <c r="E492" s="4">
        <v>0.42033788496255875</v>
      </c>
      <c r="F492" s="4">
        <v>351588.42311468016</v>
      </c>
      <c r="G492" s="4">
        <v>351588.84345256514</v>
      </c>
      <c r="H492" s="5">
        <f t="shared" si="5"/>
        <v>0</v>
      </c>
      <c r="I492" t="s">
        <v>185</v>
      </c>
      <c r="J492" t="s">
        <v>32</v>
      </c>
      <c r="K492" s="5">
        <f>60 / 86400</f>
        <v>6.9444444444444447E-4</v>
      </c>
      <c r="L492" s="5">
        <f>1 / 86400</f>
        <v>1.1574074074074073E-5</v>
      </c>
    </row>
    <row r="493" spans="1:12" x14ac:dyDescent="0.25">
      <c r="A493" s="3">
        <v>45716.793414351851</v>
      </c>
      <c r="B493" t="s">
        <v>36</v>
      </c>
      <c r="C493" s="3">
        <v>45716.794340277775</v>
      </c>
      <c r="D493" t="s">
        <v>36</v>
      </c>
      <c r="E493" s="4">
        <v>0.47170057249069214</v>
      </c>
      <c r="F493" s="4">
        <v>351588.84437588783</v>
      </c>
      <c r="G493" s="4">
        <v>351589.31607646029</v>
      </c>
      <c r="H493" s="5">
        <f t="shared" si="5"/>
        <v>0</v>
      </c>
      <c r="I493" t="s">
        <v>164</v>
      </c>
      <c r="J493" t="s">
        <v>190</v>
      </c>
      <c r="K493" s="5">
        <f>80 / 86400</f>
        <v>9.2592592592592596E-4</v>
      </c>
      <c r="L493" s="5">
        <f>12 / 86400</f>
        <v>1.3888888888888889E-4</v>
      </c>
    </row>
    <row r="494" spans="1:12" x14ac:dyDescent="0.25">
      <c r="A494" s="3">
        <v>45716.794479166667</v>
      </c>
      <c r="B494" t="s">
        <v>36</v>
      </c>
      <c r="C494" s="3">
        <v>45716.796331018515</v>
      </c>
      <c r="D494" t="s">
        <v>352</v>
      </c>
      <c r="E494" s="4">
        <v>1.6470478253364562</v>
      </c>
      <c r="F494" s="4">
        <v>351589.3214519826</v>
      </c>
      <c r="G494" s="4">
        <v>351590.96849980793</v>
      </c>
      <c r="H494" s="5">
        <f t="shared" si="5"/>
        <v>0</v>
      </c>
      <c r="I494" t="s">
        <v>104</v>
      </c>
      <c r="J494" t="s">
        <v>200</v>
      </c>
      <c r="K494" s="5">
        <f>160 / 86400</f>
        <v>1.8518518518518519E-3</v>
      </c>
      <c r="L494" s="5">
        <f>20 / 86400</f>
        <v>2.3148148148148149E-4</v>
      </c>
    </row>
    <row r="495" spans="1:12" x14ac:dyDescent="0.25">
      <c r="A495" s="3">
        <v>45716.7965625</v>
      </c>
      <c r="B495" t="s">
        <v>353</v>
      </c>
      <c r="C495" s="3">
        <v>45716.797951388886</v>
      </c>
      <c r="D495" t="s">
        <v>36</v>
      </c>
      <c r="E495" s="4">
        <v>0.81796737343072889</v>
      </c>
      <c r="F495" s="4">
        <v>351591.11329437222</v>
      </c>
      <c r="G495" s="4">
        <v>351591.93126174563</v>
      </c>
      <c r="H495" s="5">
        <f t="shared" si="5"/>
        <v>0</v>
      </c>
      <c r="I495" t="s">
        <v>165</v>
      </c>
      <c r="J495" t="s">
        <v>32</v>
      </c>
      <c r="K495" s="5">
        <f>120 / 86400</f>
        <v>1.3888888888888889E-3</v>
      </c>
      <c r="L495" s="5">
        <f>26 / 86400</f>
        <v>3.0092592592592595E-4</v>
      </c>
    </row>
    <row r="496" spans="1:12" x14ac:dyDescent="0.25">
      <c r="A496" s="3">
        <v>45716.798252314809</v>
      </c>
      <c r="B496" t="s">
        <v>36</v>
      </c>
      <c r="C496" s="3">
        <v>45716.801215277781</v>
      </c>
      <c r="D496" t="s">
        <v>344</v>
      </c>
      <c r="E496" s="4">
        <v>2.6011271379590033</v>
      </c>
      <c r="F496" s="4">
        <v>351591.93577170814</v>
      </c>
      <c r="G496" s="4">
        <v>351594.5368988461</v>
      </c>
      <c r="H496" s="5">
        <f t="shared" si="5"/>
        <v>0</v>
      </c>
      <c r="I496" t="s">
        <v>289</v>
      </c>
      <c r="J496" t="s">
        <v>200</v>
      </c>
      <c r="K496" s="5">
        <f>256 / 86400</f>
        <v>2.9629629629629628E-3</v>
      </c>
      <c r="L496" s="5">
        <f>20 / 86400</f>
        <v>2.3148148148148149E-4</v>
      </c>
    </row>
    <row r="497" spans="1:12" x14ac:dyDescent="0.25">
      <c r="A497" s="3">
        <v>45716.801446759258</v>
      </c>
      <c r="B497" t="s">
        <v>344</v>
      </c>
      <c r="C497" s="3">
        <v>45716.804224537038</v>
      </c>
      <c r="D497" t="s">
        <v>354</v>
      </c>
      <c r="E497" s="4">
        <v>2.3650340328216553</v>
      </c>
      <c r="F497" s="4">
        <v>351594.60562372778</v>
      </c>
      <c r="G497" s="4">
        <v>351596.97065776063</v>
      </c>
      <c r="H497" s="5">
        <f t="shared" si="5"/>
        <v>0</v>
      </c>
      <c r="I497" t="s">
        <v>39</v>
      </c>
      <c r="J497" t="s">
        <v>97</v>
      </c>
      <c r="K497" s="5">
        <f>240 / 86400</f>
        <v>2.7777777777777779E-3</v>
      </c>
      <c r="L497" s="5">
        <f>20 / 86400</f>
        <v>2.3148148148148149E-4</v>
      </c>
    </row>
    <row r="498" spans="1:12" x14ac:dyDescent="0.25">
      <c r="A498" s="3">
        <v>45716.804456018523</v>
      </c>
      <c r="B498" t="s">
        <v>297</v>
      </c>
      <c r="C498" s="3">
        <v>45716.806550925925</v>
      </c>
      <c r="D498" t="s">
        <v>297</v>
      </c>
      <c r="E498" s="4">
        <v>0.83942408424615855</v>
      </c>
      <c r="F498" s="4">
        <v>351597.01259474905</v>
      </c>
      <c r="G498" s="4">
        <v>351597.85201883328</v>
      </c>
      <c r="H498" s="5">
        <f t="shared" si="5"/>
        <v>0</v>
      </c>
      <c r="I498" t="s">
        <v>207</v>
      </c>
      <c r="J498" t="s">
        <v>62</v>
      </c>
      <c r="K498" s="5">
        <f>181 / 86400</f>
        <v>2.0949074074074073E-3</v>
      </c>
      <c r="L498" s="5">
        <f>16 / 86400</f>
        <v>1.8518518518518518E-4</v>
      </c>
    </row>
    <row r="499" spans="1:12" x14ac:dyDescent="0.25">
      <c r="A499" s="3">
        <v>45716.80673611111</v>
      </c>
      <c r="B499" t="s">
        <v>297</v>
      </c>
      <c r="C499" s="3">
        <v>45716.807662037041</v>
      </c>
      <c r="D499" t="s">
        <v>347</v>
      </c>
      <c r="E499" s="4">
        <v>0.51938616687059402</v>
      </c>
      <c r="F499" s="4">
        <v>351597.87514066964</v>
      </c>
      <c r="G499" s="4">
        <v>351598.39452683652</v>
      </c>
      <c r="H499" s="5">
        <f t="shared" ref="H499:H562" si="6">0 / 86400</f>
        <v>0</v>
      </c>
      <c r="I499" t="s">
        <v>176</v>
      </c>
      <c r="J499" t="s">
        <v>153</v>
      </c>
      <c r="K499" s="5">
        <f>80 / 86400</f>
        <v>9.2592592592592596E-4</v>
      </c>
      <c r="L499" s="5">
        <f>20 / 86400</f>
        <v>2.3148148148148149E-4</v>
      </c>
    </row>
    <row r="500" spans="1:12" x14ac:dyDescent="0.25">
      <c r="A500" s="3">
        <v>45716.807893518519</v>
      </c>
      <c r="B500" t="s">
        <v>355</v>
      </c>
      <c r="C500" s="3">
        <v>45716.808124999996</v>
      </c>
      <c r="D500" t="s">
        <v>355</v>
      </c>
      <c r="E500" s="4">
        <v>2.4102401316165926E-2</v>
      </c>
      <c r="F500" s="4">
        <v>351598.46439874341</v>
      </c>
      <c r="G500" s="4">
        <v>351598.48850114469</v>
      </c>
      <c r="H500" s="5">
        <f t="shared" si="6"/>
        <v>0</v>
      </c>
      <c r="I500" t="s">
        <v>35</v>
      </c>
      <c r="J500" t="s">
        <v>147</v>
      </c>
      <c r="K500" s="5">
        <f>20 / 86400</f>
        <v>2.3148148148148149E-4</v>
      </c>
      <c r="L500" s="5">
        <f>18 / 86400</f>
        <v>2.0833333333333335E-4</v>
      </c>
    </row>
    <row r="501" spans="1:12" x14ac:dyDescent="0.25">
      <c r="A501" s="3">
        <v>45716.808333333334</v>
      </c>
      <c r="B501" t="s">
        <v>348</v>
      </c>
      <c r="C501" s="3">
        <v>45716.808564814812</v>
      </c>
      <c r="D501" t="s">
        <v>297</v>
      </c>
      <c r="E501" s="4">
        <v>0.100489293217659</v>
      </c>
      <c r="F501" s="4">
        <v>351598.49975741928</v>
      </c>
      <c r="G501" s="4">
        <v>351598.60024671251</v>
      </c>
      <c r="H501" s="5">
        <f t="shared" si="6"/>
        <v>0</v>
      </c>
      <c r="I501" t="s">
        <v>214</v>
      </c>
      <c r="J501" t="s">
        <v>20</v>
      </c>
      <c r="K501" s="5">
        <f>20 / 86400</f>
        <v>2.3148148148148149E-4</v>
      </c>
      <c r="L501" s="5">
        <f>20 / 86400</f>
        <v>2.3148148148148149E-4</v>
      </c>
    </row>
    <row r="502" spans="1:12" x14ac:dyDescent="0.25">
      <c r="A502" s="3">
        <v>45716.808796296296</v>
      </c>
      <c r="B502" t="s">
        <v>297</v>
      </c>
      <c r="C502" s="3">
        <v>45716.810416666667</v>
      </c>
      <c r="D502" t="s">
        <v>356</v>
      </c>
      <c r="E502" s="4">
        <v>0.23558139693737029</v>
      </c>
      <c r="F502" s="4">
        <v>351598.61178024538</v>
      </c>
      <c r="G502" s="4">
        <v>351598.84736164229</v>
      </c>
      <c r="H502" s="5">
        <f t="shared" si="6"/>
        <v>0</v>
      </c>
      <c r="I502" t="s">
        <v>100</v>
      </c>
      <c r="J502" t="s">
        <v>137</v>
      </c>
      <c r="K502" s="5">
        <f>140 / 86400</f>
        <v>1.6203703703703703E-3</v>
      </c>
      <c r="L502" s="5">
        <f>20 / 86400</f>
        <v>2.3148148148148149E-4</v>
      </c>
    </row>
    <row r="503" spans="1:12" x14ac:dyDescent="0.25">
      <c r="A503" s="3">
        <v>45716.810648148152</v>
      </c>
      <c r="B503" t="s">
        <v>356</v>
      </c>
      <c r="C503" s="3">
        <v>45716.810879629629</v>
      </c>
      <c r="D503" t="s">
        <v>356</v>
      </c>
      <c r="E503" s="4">
        <v>1.9039346516132354E-2</v>
      </c>
      <c r="F503" s="4">
        <v>351598.88135402743</v>
      </c>
      <c r="G503" s="4">
        <v>351598.90039337397</v>
      </c>
      <c r="H503" s="5">
        <f t="shared" si="6"/>
        <v>0</v>
      </c>
      <c r="I503" t="s">
        <v>156</v>
      </c>
      <c r="J503" t="s">
        <v>33</v>
      </c>
      <c r="K503" s="5">
        <f>20 / 86400</f>
        <v>2.3148148148148149E-4</v>
      </c>
      <c r="L503" s="5">
        <f>25 / 86400</f>
        <v>2.8935185185185184E-4</v>
      </c>
    </row>
    <row r="504" spans="1:12" x14ac:dyDescent="0.25">
      <c r="A504" s="3">
        <v>45716.811168981483</v>
      </c>
      <c r="B504" t="s">
        <v>356</v>
      </c>
      <c r="C504" s="3">
        <v>45716.811631944445</v>
      </c>
      <c r="D504" t="s">
        <v>356</v>
      </c>
      <c r="E504" s="4">
        <v>3.7160207092761993E-2</v>
      </c>
      <c r="F504" s="4">
        <v>351598.91838770721</v>
      </c>
      <c r="G504" s="4">
        <v>351598.95554791432</v>
      </c>
      <c r="H504" s="5">
        <f t="shared" si="6"/>
        <v>0</v>
      </c>
      <c r="I504" t="s">
        <v>137</v>
      </c>
      <c r="J504" t="s">
        <v>33</v>
      </c>
      <c r="K504" s="5">
        <f>40 / 86400</f>
        <v>4.6296296296296298E-4</v>
      </c>
      <c r="L504" s="5">
        <f>49 / 86400</f>
        <v>5.6712962962962967E-4</v>
      </c>
    </row>
    <row r="505" spans="1:12" x14ac:dyDescent="0.25">
      <c r="A505" s="3">
        <v>45716.812199074076</v>
      </c>
      <c r="B505" t="s">
        <v>297</v>
      </c>
      <c r="C505" s="3">
        <v>45716.812430555554</v>
      </c>
      <c r="D505" t="s">
        <v>297</v>
      </c>
      <c r="E505" s="4">
        <v>3.7998196423053743E-2</v>
      </c>
      <c r="F505" s="4">
        <v>351598.96563245909</v>
      </c>
      <c r="G505" s="4">
        <v>351599.00363065553</v>
      </c>
      <c r="H505" s="5">
        <f t="shared" si="6"/>
        <v>0</v>
      </c>
      <c r="I505" t="s">
        <v>137</v>
      </c>
      <c r="J505" t="s">
        <v>57</v>
      </c>
      <c r="K505" s="5">
        <f>20 / 86400</f>
        <v>2.3148148148148149E-4</v>
      </c>
      <c r="L505" s="5">
        <f>20 / 86400</f>
        <v>2.3148148148148149E-4</v>
      </c>
    </row>
    <row r="506" spans="1:12" x14ac:dyDescent="0.25">
      <c r="A506" s="3">
        <v>45716.812662037039</v>
      </c>
      <c r="B506" t="s">
        <v>297</v>
      </c>
      <c r="C506" s="3">
        <v>45716.813356481478</v>
      </c>
      <c r="D506" t="s">
        <v>305</v>
      </c>
      <c r="E506" s="4">
        <v>0.10532103818655014</v>
      </c>
      <c r="F506" s="4">
        <v>351599.01203479379</v>
      </c>
      <c r="G506" s="4">
        <v>351599.11735583196</v>
      </c>
      <c r="H506" s="5">
        <f t="shared" si="6"/>
        <v>0</v>
      </c>
      <c r="I506" t="s">
        <v>57</v>
      </c>
      <c r="J506" t="s">
        <v>137</v>
      </c>
      <c r="K506" s="5">
        <f>60 / 86400</f>
        <v>6.9444444444444447E-4</v>
      </c>
      <c r="L506" s="5">
        <f>20 / 86400</f>
        <v>2.3148148148148149E-4</v>
      </c>
    </row>
    <row r="507" spans="1:12" x14ac:dyDescent="0.25">
      <c r="A507" s="3">
        <v>45716.813587962963</v>
      </c>
      <c r="B507" t="s">
        <v>297</v>
      </c>
      <c r="C507" s="3">
        <v>45716.813819444447</v>
      </c>
      <c r="D507" t="s">
        <v>297</v>
      </c>
      <c r="E507" s="4">
        <v>3.4706499814987184E-2</v>
      </c>
      <c r="F507" s="4">
        <v>351599.21702417411</v>
      </c>
      <c r="G507" s="4">
        <v>351599.25173067389</v>
      </c>
      <c r="H507" s="5">
        <f t="shared" si="6"/>
        <v>0</v>
      </c>
      <c r="I507" t="s">
        <v>100</v>
      </c>
      <c r="J507" t="s">
        <v>137</v>
      </c>
      <c r="K507" s="5">
        <f>20 / 86400</f>
        <v>2.3148148148148149E-4</v>
      </c>
      <c r="L507" s="5">
        <f>40 / 86400</f>
        <v>4.6296296296296298E-4</v>
      </c>
    </row>
    <row r="508" spans="1:12" x14ac:dyDescent="0.25">
      <c r="A508" s="3">
        <v>45716.814282407402</v>
      </c>
      <c r="B508" t="s">
        <v>297</v>
      </c>
      <c r="C508" s="3">
        <v>45716.816435185188</v>
      </c>
      <c r="D508" t="s">
        <v>21</v>
      </c>
      <c r="E508" s="4">
        <v>0.71111631983518597</v>
      </c>
      <c r="F508" s="4">
        <v>351599.26300414058</v>
      </c>
      <c r="G508" s="4">
        <v>351599.97412046039</v>
      </c>
      <c r="H508" s="5">
        <f t="shared" si="6"/>
        <v>0</v>
      </c>
      <c r="I508" t="s">
        <v>207</v>
      </c>
      <c r="J508" t="s">
        <v>72</v>
      </c>
      <c r="K508" s="5">
        <f>186 / 86400</f>
        <v>2.1527777777777778E-3</v>
      </c>
      <c r="L508" s="5">
        <f>7 / 86400</f>
        <v>8.1018518518518516E-5</v>
      </c>
    </row>
    <row r="509" spans="1:12" x14ac:dyDescent="0.25">
      <c r="A509" s="3">
        <v>45716.816516203704</v>
      </c>
      <c r="B509" t="s">
        <v>21</v>
      </c>
      <c r="C509" s="3">
        <v>45716.817210648151</v>
      </c>
      <c r="D509" t="s">
        <v>21</v>
      </c>
      <c r="E509" s="4">
        <v>0.10441682827472687</v>
      </c>
      <c r="F509" s="4">
        <v>351599.97948660591</v>
      </c>
      <c r="G509" s="4">
        <v>351600.08390343416</v>
      </c>
      <c r="H509" s="5">
        <f t="shared" si="6"/>
        <v>0</v>
      </c>
      <c r="I509" t="s">
        <v>151</v>
      </c>
      <c r="J509" t="s">
        <v>137</v>
      </c>
      <c r="K509" s="5">
        <f>60 / 86400</f>
        <v>6.9444444444444447E-4</v>
      </c>
      <c r="L509" s="5">
        <f>5 / 86400</f>
        <v>5.7870370370370373E-5</v>
      </c>
    </row>
    <row r="510" spans="1:12" x14ac:dyDescent="0.25">
      <c r="A510" s="3">
        <v>45716.81726851852</v>
      </c>
      <c r="B510" t="s">
        <v>21</v>
      </c>
      <c r="C510" s="3">
        <v>45716.819050925929</v>
      </c>
      <c r="D510" t="s">
        <v>21</v>
      </c>
      <c r="E510" s="4">
        <v>0.71668627744913105</v>
      </c>
      <c r="F510" s="4">
        <v>351600.08881330531</v>
      </c>
      <c r="G510" s="4">
        <v>351600.80549958278</v>
      </c>
      <c r="H510" s="5">
        <f t="shared" si="6"/>
        <v>0</v>
      </c>
      <c r="I510" t="s">
        <v>32</v>
      </c>
      <c r="J510" t="s">
        <v>62</v>
      </c>
      <c r="K510" s="5">
        <f>154 / 86400</f>
        <v>1.7824074074074075E-3</v>
      </c>
      <c r="L510" s="5">
        <f>3 / 86400</f>
        <v>3.4722222222222222E-5</v>
      </c>
    </row>
    <row r="511" spans="1:12" x14ac:dyDescent="0.25">
      <c r="A511" s="3">
        <v>45716.819085648152</v>
      </c>
      <c r="B511" t="s">
        <v>21</v>
      </c>
      <c r="C511" s="3">
        <v>45716.820081018523</v>
      </c>
      <c r="D511" t="s">
        <v>21</v>
      </c>
      <c r="E511" s="4">
        <v>0.18658842837810516</v>
      </c>
      <c r="F511" s="4">
        <v>351600.81079476047</v>
      </c>
      <c r="G511" s="4">
        <v>351600.99738318886</v>
      </c>
      <c r="H511" s="5">
        <f t="shared" si="6"/>
        <v>0</v>
      </c>
      <c r="I511" t="s">
        <v>108</v>
      </c>
      <c r="J511" t="s">
        <v>214</v>
      </c>
      <c r="K511" s="5">
        <f>86 / 86400</f>
        <v>9.9537037037037042E-4</v>
      </c>
      <c r="L511" s="5">
        <f>12 / 86400</f>
        <v>1.3888888888888889E-4</v>
      </c>
    </row>
    <row r="512" spans="1:12" x14ac:dyDescent="0.25">
      <c r="A512" s="3">
        <v>45716.820219907408</v>
      </c>
      <c r="B512" t="s">
        <v>21</v>
      </c>
      <c r="C512" s="3">
        <v>45716.82068287037</v>
      </c>
      <c r="D512" t="s">
        <v>21</v>
      </c>
      <c r="E512" s="4">
        <v>8.7001419901847843E-2</v>
      </c>
      <c r="F512" s="4">
        <v>351600.99756018352</v>
      </c>
      <c r="G512" s="4">
        <v>351601.08456160343</v>
      </c>
      <c r="H512" s="5">
        <f t="shared" si="6"/>
        <v>0</v>
      </c>
      <c r="I512" t="s">
        <v>57</v>
      </c>
      <c r="J512" t="s">
        <v>214</v>
      </c>
      <c r="K512" s="5">
        <f>40 / 86400</f>
        <v>4.6296296296296298E-4</v>
      </c>
      <c r="L512" s="5">
        <f>20 / 86400</f>
        <v>2.3148148148148149E-4</v>
      </c>
    </row>
    <row r="513" spans="1:12" x14ac:dyDescent="0.25">
      <c r="A513" s="3">
        <v>45716.820914351847</v>
      </c>
      <c r="B513" t="s">
        <v>21</v>
      </c>
      <c r="C513" s="3">
        <v>45716.821331018524</v>
      </c>
      <c r="D513" t="s">
        <v>357</v>
      </c>
      <c r="E513" s="4">
        <v>0.10692850708961486</v>
      </c>
      <c r="F513" s="4">
        <v>351601.11834831594</v>
      </c>
      <c r="G513" s="4">
        <v>351601.22527682304</v>
      </c>
      <c r="H513" s="5">
        <f t="shared" si="6"/>
        <v>0</v>
      </c>
      <c r="I513" t="s">
        <v>20</v>
      </c>
      <c r="J513" t="s">
        <v>100</v>
      </c>
      <c r="K513" s="5">
        <f>36 / 86400</f>
        <v>4.1666666666666669E-4</v>
      </c>
      <c r="L513" s="5">
        <f>20 / 86400</f>
        <v>2.3148148148148149E-4</v>
      </c>
    </row>
    <row r="514" spans="1:12" x14ac:dyDescent="0.25">
      <c r="A514" s="3">
        <v>45716.821562500001</v>
      </c>
      <c r="B514" t="s">
        <v>357</v>
      </c>
      <c r="C514" s="3">
        <v>45716.822083333333</v>
      </c>
      <c r="D514" t="s">
        <v>312</v>
      </c>
      <c r="E514" s="4">
        <v>0.18854146659374238</v>
      </c>
      <c r="F514" s="4">
        <v>351601.25776313001</v>
      </c>
      <c r="G514" s="4">
        <v>351601.44630459661</v>
      </c>
      <c r="H514" s="5">
        <f t="shared" si="6"/>
        <v>0</v>
      </c>
      <c r="I514" t="s">
        <v>32</v>
      </c>
      <c r="J514" t="s">
        <v>35</v>
      </c>
      <c r="K514" s="5">
        <f>45 / 86400</f>
        <v>5.2083333333333333E-4</v>
      </c>
      <c r="L514" s="5">
        <f>4 / 86400</f>
        <v>4.6296296296296294E-5</v>
      </c>
    </row>
    <row r="515" spans="1:12" x14ac:dyDescent="0.25">
      <c r="A515" s="3">
        <v>45716.822129629625</v>
      </c>
      <c r="B515" t="s">
        <v>312</v>
      </c>
      <c r="C515" s="3">
        <v>45716.823946759258</v>
      </c>
      <c r="D515" t="s">
        <v>311</v>
      </c>
      <c r="E515" s="4">
        <v>1.0320823894143105</v>
      </c>
      <c r="F515" s="4">
        <v>351601.45035296382</v>
      </c>
      <c r="G515" s="4">
        <v>351602.48243535322</v>
      </c>
      <c r="H515" s="5">
        <f t="shared" si="6"/>
        <v>0</v>
      </c>
      <c r="I515" t="s">
        <v>307</v>
      </c>
      <c r="J515" t="s">
        <v>37</v>
      </c>
      <c r="K515" s="5">
        <f>157 / 86400</f>
        <v>1.8171296296296297E-3</v>
      </c>
      <c r="L515" s="5">
        <f>6 / 86400</f>
        <v>6.9444444444444444E-5</v>
      </c>
    </row>
    <row r="516" spans="1:12" x14ac:dyDescent="0.25">
      <c r="A516" s="3">
        <v>45716.824016203704</v>
      </c>
      <c r="B516" t="s">
        <v>311</v>
      </c>
      <c r="C516" s="3">
        <v>45716.82540509259</v>
      </c>
      <c r="D516" t="s">
        <v>134</v>
      </c>
      <c r="E516" s="4">
        <v>0.65895877516269685</v>
      </c>
      <c r="F516" s="4">
        <v>351602.48535590712</v>
      </c>
      <c r="G516" s="4">
        <v>351603.14431468229</v>
      </c>
      <c r="H516" s="5">
        <f t="shared" si="6"/>
        <v>0</v>
      </c>
      <c r="I516" t="s">
        <v>182</v>
      </c>
      <c r="J516" t="s">
        <v>108</v>
      </c>
      <c r="K516" s="5">
        <f>120 / 86400</f>
        <v>1.3888888888888889E-3</v>
      </c>
      <c r="L516" s="5">
        <f>20 / 86400</f>
        <v>2.3148148148148149E-4</v>
      </c>
    </row>
    <row r="517" spans="1:12" x14ac:dyDescent="0.25">
      <c r="A517" s="3">
        <v>45716.825636574074</v>
      </c>
      <c r="B517" t="s">
        <v>88</v>
      </c>
      <c r="C517" s="3">
        <v>45716.825868055559</v>
      </c>
      <c r="D517" t="s">
        <v>146</v>
      </c>
      <c r="E517" s="4">
        <v>0.10536092519760132</v>
      </c>
      <c r="F517" s="4">
        <v>351603.25527862005</v>
      </c>
      <c r="G517" s="4">
        <v>351603.36063954525</v>
      </c>
      <c r="H517" s="5">
        <f t="shared" si="6"/>
        <v>0</v>
      </c>
      <c r="I517" t="s">
        <v>160</v>
      </c>
      <c r="J517" t="s">
        <v>85</v>
      </c>
      <c r="K517" s="5">
        <f>20 / 86400</f>
        <v>2.3148148148148149E-4</v>
      </c>
      <c r="L517" s="5">
        <f>40 / 86400</f>
        <v>4.6296296296296298E-4</v>
      </c>
    </row>
    <row r="518" spans="1:12" x14ac:dyDescent="0.25">
      <c r="A518" s="3">
        <v>45716.826331018514</v>
      </c>
      <c r="B518" t="s">
        <v>146</v>
      </c>
      <c r="C518" s="3">
        <v>45716.826678240745</v>
      </c>
      <c r="D518" t="s">
        <v>144</v>
      </c>
      <c r="E518" s="4">
        <v>1.0417592108249664E-2</v>
      </c>
      <c r="F518" s="4">
        <v>351603.36783657497</v>
      </c>
      <c r="G518" s="4">
        <v>351603.3782541671</v>
      </c>
      <c r="H518" s="5">
        <f t="shared" si="6"/>
        <v>0</v>
      </c>
      <c r="I518" t="s">
        <v>25</v>
      </c>
      <c r="J518" t="s">
        <v>59</v>
      </c>
      <c r="K518" s="5">
        <f>30 / 86400</f>
        <v>3.4722222222222224E-4</v>
      </c>
      <c r="L518" s="5">
        <f>260 / 86400</f>
        <v>3.0092592592592593E-3</v>
      </c>
    </row>
    <row r="519" spans="1:12" x14ac:dyDescent="0.25">
      <c r="A519" s="3">
        <v>45716.829687500001</v>
      </c>
      <c r="B519" t="s">
        <v>146</v>
      </c>
      <c r="C519" s="3">
        <v>45716.830462962964</v>
      </c>
      <c r="D519" t="s">
        <v>134</v>
      </c>
      <c r="E519" s="4">
        <v>0.37782499277591708</v>
      </c>
      <c r="F519" s="4">
        <v>351603.39362005104</v>
      </c>
      <c r="G519" s="4">
        <v>351603.77144504379</v>
      </c>
      <c r="H519" s="5">
        <f t="shared" si="6"/>
        <v>0</v>
      </c>
      <c r="I519" t="s">
        <v>142</v>
      </c>
      <c r="J519" t="s">
        <v>108</v>
      </c>
      <c r="K519" s="5">
        <f>67 / 86400</f>
        <v>7.7546296296296293E-4</v>
      </c>
      <c r="L519" s="5">
        <f>20 / 86400</f>
        <v>2.3148148148148149E-4</v>
      </c>
    </row>
    <row r="520" spans="1:12" x14ac:dyDescent="0.25">
      <c r="A520" s="3">
        <v>45716.830694444448</v>
      </c>
      <c r="B520" t="s">
        <v>134</v>
      </c>
      <c r="C520" s="3">
        <v>45716.832314814819</v>
      </c>
      <c r="D520" t="s">
        <v>311</v>
      </c>
      <c r="E520" s="4">
        <v>0.80906566220521925</v>
      </c>
      <c r="F520" s="4">
        <v>351603.77544292039</v>
      </c>
      <c r="G520" s="4">
        <v>351604.5845085826</v>
      </c>
      <c r="H520" s="5">
        <f t="shared" si="6"/>
        <v>0</v>
      </c>
      <c r="I520" t="s">
        <v>97</v>
      </c>
      <c r="J520" t="s">
        <v>190</v>
      </c>
      <c r="K520" s="5">
        <f>140 / 86400</f>
        <v>1.6203703703703703E-3</v>
      </c>
      <c r="L520" s="5">
        <f>20 / 86400</f>
        <v>2.3148148148148149E-4</v>
      </c>
    </row>
    <row r="521" spans="1:12" x14ac:dyDescent="0.25">
      <c r="A521" s="3">
        <v>45716.832546296297</v>
      </c>
      <c r="B521" t="s">
        <v>21</v>
      </c>
      <c r="C521" s="3">
        <v>45716.833009259259</v>
      </c>
      <c r="D521" t="s">
        <v>306</v>
      </c>
      <c r="E521" s="4">
        <v>0.23257872712612152</v>
      </c>
      <c r="F521" s="4">
        <v>351604.71201725391</v>
      </c>
      <c r="G521" s="4">
        <v>351604.94459598104</v>
      </c>
      <c r="H521" s="5">
        <f t="shared" si="6"/>
        <v>0</v>
      </c>
      <c r="I521" t="s">
        <v>167</v>
      </c>
      <c r="J521" t="s">
        <v>190</v>
      </c>
      <c r="K521" s="5">
        <f>40 / 86400</f>
        <v>4.6296296296296298E-4</v>
      </c>
      <c r="L521" s="5">
        <f>20 / 86400</f>
        <v>2.3148148148148149E-4</v>
      </c>
    </row>
    <row r="522" spans="1:12" x14ac:dyDescent="0.25">
      <c r="A522" s="3">
        <v>45716.833240740743</v>
      </c>
      <c r="B522" t="s">
        <v>306</v>
      </c>
      <c r="C522" s="3">
        <v>45716.83393518519</v>
      </c>
      <c r="D522" t="s">
        <v>312</v>
      </c>
      <c r="E522" s="4">
        <v>0.36311578953266144</v>
      </c>
      <c r="F522" s="4">
        <v>351605.00533779076</v>
      </c>
      <c r="G522" s="4">
        <v>351605.3684535803</v>
      </c>
      <c r="H522" s="5">
        <f t="shared" si="6"/>
        <v>0</v>
      </c>
      <c r="I522" t="s">
        <v>219</v>
      </c>
      <c r="J522" t="s">
        <v>130</v>
      </c>
      <c r="K522" s="5">
        <f>60 / 86400</f>
        <v>6.9444444444444447E-4</v>
      </c>
      <c r="L522" s="5">
        <f>20 / 86400</f>
        <v>2.3148148148148149E-4</v>
      </c>
    </row>
    <row r="523" spans="1:12" x14ac:dyDescent="0.25">
      <c r="A523" s="3">
        <v>45716.834166666667</v>
      </c>
      <c r="B523" t="s">
        <v>357</v>
      </c>
      <c r="C523" s="3">
        <v>45716.835405092592</v>
      </c>
      <c r="D523" t="s">
        <v>21</v>
      </c>
      <c r="E523" s="4">
        <v>0.64178629285097122</v>
      </c>
      <c r="F523" s="4">
        <v>351605.4710493827</v>
      </c>
      <c r="G523" s="4">
        <v>351606.11283567554</v>
      </c>
      <c r="H523" s="5">
        <f t="shared" si="6"/>
        <v>0</v>
      </c>
      <c r="I523" t="s">
        <v>182</v>
      </c>
      <c r="J523" t="s">
        <v>130</v>
      </c>
      <c r="K523" s="5">
        <f>107 / 86400</f>
        <v>1.238425925925926E-3</v>
      </c>
      <c r="L523" s="5">
        <f>40 / 86400</f>
        <v>4.6296296296296298E-4</v>
      </c>
    </row>
    <row r="524" spans="1:12" x14ac:dyDescent="0.25">
      <c r="A524" s="3">
        <v>45716.835868055554</v>
      </c>
      <c r="B524" t="s">
        <v>358</v>
      </c>
      <c r="C524" s="3">
        <v>45716.838842592595</v>
      </c>
      <c r="D524" t="s">
        <v>314</v>
      </c>
      <c r="E524" s="4">
        <v>1.4290219171643257</v>
      </c>
      <c r="F524" s="4">
        <v>351606.20826244779</v>
      </c>
      <c r="G524" s="4">
        <v>351607.63728436496</v>
      </c>
      <c r="H524" s="5">
        <f t="shared" si="6"/>
        <v>0</v>
      </c>
      <c r="I524" t="s">
        <v>183</v>
      </c>
      <c r="J524" t="s">
        <v>108</v>
      </c>
      <c r="K524" s="5">
        <f>257 / 86400</f>
        <v>2.9745370370370373E-3</v>
      </c>
      <c r="L524" s="5">
        <f>47 / 86400</f>
        <v>5.4398148148148144E-4</v>
      </c>
    </row>
    <row r="525" spans="1:12" x14ac:dyDescent="0.25">
      <c r="A525" s="3">
        <v>45716.839386574073</v>
      </c>
      <c r="B525" t="s">
        <v>314</v>
      </c>
      <c r="C525" s="3">
        <v>45716.839849537035</v>
      </c>
      <c r="D525" t="s">
        <v>303</v>
      </c>
      <c r="E525" s="4">
        <v>9.2764536738395686E-2</v>
      </c>
      <c r="F525" s="4">
        <v>351607.67544277041</v>
      </c>
      <c r="G525" s="4">
        <v>351607.76820730715</v>
      </c>
      <c r="H525" s="5">
        <f t="shared" si="6"/>
        <v>0</v>
      </c>
      <c r="I525" t="s">
        <v>20</v>
      </c>
      <c r="J525" t="s">
        <v>214</v>
      </c>
      <c r="K525" s="5">
        <f>40 / 86400</f>
        <v>4.6296296296296298E-4</v>
      </c>
      <c r="L525" s="5">
        <f>2 / 86400</f>
        <v>2.3148148148148147E-5</v>
      </c>
    </row>
    <row r="526" spans="1:12" x14ac:dyDescent="0.25">
      <c r="A526" s="3">
        <v>45716.839872685188</v>
      </c>
      <c r="B526" t="s">
        <v>303</v>
      </c>
      <c r="C526" s="3">
        <v>45716.841249999998</v>
      </c>
      <c r="D526" t="s">
        <v>120</v>
      </c>
      <c r="E526" s="4">
        <v>0.48140589594841005</v>
      </c>
      <c r="F526" s="4">
        <v>351607.77227540757</v>
      </c>
      <c r="G526" s="4">
        <v>351608.25368130353</v>
      </c>
      <c r="H526" s="5">
        <f t="shared" si="6"/>
        <v>0</v>
      </c>
      <c r="I526" t="s">
        <v>108</v>
      </c>
      <c r="J526" t="s">
        <v>35</v>
      </c>
      <c r="K526" s="5">
        <f>119 / 86400</f>
        <v>1.3773148148148147E-3</v>
      </c>
      <c r="L526" s="5">
        <f>20 / 86400</f>
        <v>2.3148148148148149E-4</v>
      </c>
    </row>
    <row r="527" spans="1:12" x14ac:dyDescent="0.25">
      <c r="A527" s="3">
        <v>45716.841481481482</v>
      </c>
      <c r="B527" t="s">
        <v>120</v>
      </c>
      <c r="C527" s="3">
        <v>45716.841712962967</v>
      </c>
      <c r="D527" t="s">
        <v>359</v>
      </c>
      <c r="E527" s="4">
        <v>1.398825067281723E-2</v>
      </c>
      <c r="F527" s="4">
        <v>351608.25551192055</v>
      </c>
      <c r="G527" s="4">
        <v>351608.26950017124</v>
      </c>
      <c r="H527" s="5">
        <f t="shared" si="6"/>
        <v>0</v>
      </c>
      <c r="I527" t="s">
        <v>59</v>
      </c>
      <c r="J527" t="s">
        <v>33</v>
      </c>
      <c r="K527" s="5">
        <f>20 / 86400</f>
        <v>2.3148148148148149E-4</v>
      </c>
      <c r="L527" s="5">
        <f>20 / 86400</f>
        <v>2.3148148148148149E-4</v>
      </c>
    </row>
    <row r="528" spans="1:12" x14ac:dyDescent="0.25">
      <c r="A528" s="3">
        <v>45716.841944444444</v>
      </c>
      <c r="B528" t="s">
        <v>359</v>
      </c>
      <c r="C528" s="3">
        <v>45716.843275462961</v>
      </c>
      <c r="D528" t="s">
        <v>120</v>
      </c>
      <c r="E528" s="4">
        <v>4.8625393569469454E-2</v>
      </c>
      <c r="F528" s="4">
        <v>351608.27440375666</v>
      </c>
      <c r="G528" s="4">
        <v>351608.32302915026</v>
      </c>
      <c r="H528" s="5">
        <f t="shared" si="6"/>
        <v>0</v>
      </c>
      <c r="I528" t="s">
        <v>57</v>
      </c>
      <c r="J528" t="s">
        <v>156</v>
      </c>
      <c r="K528" s="5">
        <f>115 / 86400</f>
        <v>1.3310185185185185E-3</v>
      </c>
      <c r="L528" s="5">
        <f>20 / 86400</f>
        <v>2.3148148148148149E-4</v>
      </c>
    </row>
    <row r="529" spans="1:12" x14ac:dyDescent="0.25">
      <c r="A529" s="3">
        <v>45716.843506944446</v>
      </c>
      <c r="B529" t="s">
        <v>120</v>
      </c>
      <c r="C529" s="3">
        <v>45716.844131944439</v>
      </c>
      <c r="D529" t="s">
        <v>301</v>
      </c>
      <c r="E529" s="4">
        <v>0.13082874995470048</v>
      </c>
      <c r="F529" s="4">
        <v>351608.3248233092</v>
      </c>
      <c r="G529" s="4">
        <v>351608.45565205911</v>
      </c>
      <c r="H529" s="5">
        <f t="shared" si="6"/>
        <v>0</v>
      </c>
      <c r="I529" t="s">
        <v>137</v>
      </c>
      <c r="J529" t="s">
        <v>132</v>
      </c>
      <c r="K529" s="5">
        <f>54 / 86400</f>
        <v>6.2500000000000001E-4</v>
      </c>
      <c r="L529" s="5">
        <f>2 / 86400</f>
        <v>2.3148148148148147E-5</v>
      </c>
    </row>
    <row r="530" spans="1:12" x14ac:dyDescent="0.25">
      <c r="A530" s="3">
        <v>45716.844155092593</v>
      </c>
      <c r="B530" t="s">
        <v>301</v>
      </c>
      <c r="C530" s="3">
        <v>45716.845358796301</v>
      </c>
      <c r="D530" t="s">
        <v>297</v>
      </c>
      <c r="E530" s="4">
        <v>0.52312806874513629</v>
      </c>
      <c r="F530" s="4">
        <v>351608.4603210747</v>
      </c>
      <c r="G530" s="4">
        <v>351608.98344914347</v>
      </c>
      <c r="H530" s="5">
        <f t="shared" si="6"/>
        <v>0</v>
      </c>
      <c r="I530" t="s">
        <v>165</v>
      </c>
      <c r="J530" t="s">
        <v>20</v>
      </c>
      <c r="K530" s="5">
        <f>104 / 86400</f>
        <v>1.2037037037037038E-3</v>
      </c>
      <c r="L530" s="5">
        <f>20 / 86400</f>
        <v>2.3148148148148149E-4</v>
      </c>
    </row>
    <row r="531" spans="1:12" x14ac:dyDescent="0.25">
      <c r="A531" s="3">
        <v>45716.845590277779</v>
      </c>
      <c r="B531" t="s">
        <v>297</v>
      </c>
      <c r="C531" s="3">
        <v>45716.845821759256</v>
      </c>
      <c r="D531" t="s">
        <v>299</v>
      </c>
      <c r="E531" s="4">
        <v>5.7670485377311707E-3</v>
      </c>
      <c r="F531" s="4">
        <v>351608.99580556754</v>
      </c>
      <c r="G531" s="4">
        <v>351609.00157261611</v>
      </c>
      <c r="H531" s="5">
        <f t="shared" si="6"/>
        <v>0</v>
      </c>
      <c r="I531" t="s">
        <v>33</v>
      </c>
      <c r="J531" t="s">
        <v>59</v>
      </c>
      <c r="K531" s="5">
        <f>20 / 86400</f>
        <v>2.3148148148148149E-4</v>
      </c>
      <c r="L531" s="5">
        <f>20 / 86400</f>
        <v>2.3148148148148149E-4</v>
      </c>
    </row>
    <row r="532" spans="1:12" x14ac:dyDescent="0.25">
      <c r="A532" s="3">
        <v>45716.846053240741</v>
      </c>
      <c r="B532" t="s">
        <v>299</v>
      </c>
      <c r="C532" s="3">
        <v>45716.84756944445</v>
      </c>
      <c r="D532" t="s">
        <v>297</v>
      </c>
      <c r="E532" s="4">
        <v>0.86355266332626346</v>
      </c>
      <c r="F532" s="4">
        <v>351609.03945873724</v>
      </c>
      <c r="G532" s="4">
        <v>351609.9030114006</v>
      </c>
      <c r="H532" s="5">
        <f t="shared" si="6"/>
        <v>0</v>
      </c>
      <c r="I532" t="s">
        <v>200</v>
      </c>
      <c r="J532" t="s">
        <v>37</v>
      </c>
      <c r="K532" s="5">
        <f>131 / 86400</f>
        <v>1.5162037037037036E-3</v>
      </c>
      <c r="L532" s="5">
        <f>20 / 86400</f>
        <v>2.3148148148148149E-4</v>
      </c>
    </row>
    <row r="533" spans="1:12" x14ac:dyDescent="0.25">
      <c r="A533" s="3">
        <v>45716.847800925927</v>
      </c>
      <c r="B533" t="s">
        <v>297</v>
      </c>
      <c r="C533" s="3">
        <v>45716.848611111112</v>
      </c>
      <c r="D533" t="s">
        <v>296</v>
      </c>
      <c r="E533" s="4">
        <v>0.78262905484437939</v>
      </c>
      <c r="F533" s="4">
        <v>351609.9877037101</v>
      </c>
      <c r="G533" s="4">
        <v>351610.77033276495</v>
      </c>
      <c r="H533" s="5">
        <f t="shared" si="6"/>
        <v>0</v>
      </c>
      <c r="I533" t="s">
        <v>160</v>
      </c>
      <c r="J533" t="s">
        <v>183</v>
      </c>
      <c r="K533" s="5">
        <f>70 / 86400</f>
        <v>8.1018518518518516E-4</v>
      </c>
      <c r="L533" s="5">
        <f>20 / 86400</f>
        <v>2.3148148148148149E-4</v>
      </c>
    </row>
    <row r="534" spans="1:12" x14ac:dyDescent="0.25">
      <c r="A534" s="3">
        <v>45716.84884259259</v>
      </c>
      <c r="B534" t="s">
        <v>296</v>
      </c>
      <c r="C534" s="3">
        <v>45716.856400462959</v>
      </c>
      <c r="D534" t="s">
        <v>203</v>
      </c>
      <c r="E534" s="4">
        <v>7.1307588983774188</v>
      </c>
      <c r="F534" s="4">
        <v>351610.77124847384</v>
      </c>
      <c r="G534" s="4">
        <v>351617.90200737218</v>
      </c>
      <c r="H534" s="5">
        <f t="shared" si="6"/>
        <v>0</v>
      </c>
      <c r="I534" t="s">
        <v>54</v>
      </c>
      <c r="J534" t="s">
        <v>211</v>
      </c>
      <c r="K534" s="5">
        <f>653 / 86400</f>
        <v>7.5578703703703702E-3</v>
      </c>
      <c r="L534" s="5">
        <f>5 / 86400</f>
        <v>5.7870370370370373E-5</v>
      </c>
    </row>
    <row r="535" spans="1:12" x14ac:dyDescent="0.25">
      <c r="A535" s="3">
        <v>45716.856458333335</v>
      </c>
      <c r="B535" t="s">
        <v>203</v>
      </c>
      <c r="C535" s="3">
        <v>45716.860810185186</v>
      </c>
      <c r="D535" t="s">
        <v>169</v>
      </c>
      <c r="E535" s="4">
        <v>4.9648942853212352</v>
      </c>
      <c r="F535" s="4">
        <v>351617.90585922648</v>
      </c>
      <c r="G535" s="4">
        <v>351622.87075351179</v>
      </c>
      <c r="H535" s="5">
        <f t="shared" si="6"/>
        <v>0</v>
      </c>
      <c r="I535" t="s">
        <v>52</v>
      </c>
      <c r="J535" t="s">
        <v>307</v>
      </c>
      <c r="K535" s="5">
        <f>376 / 86400</f>
        <v>4.3518518518518515E-3</v>
      </c>
      <c r="L535" s="5">
        <f>80 / 86400</f>
        <v>9.2592592592592596E-4</v>
      </c>
    </row>
    <row r="536" spans="1:12" x14ac:dyDescent="0.25">
      <c r="A536" s="3">
        <v>45716.86173611111</v>
      </c>
      <c r="B536" t="s">
        <v>169</v>
      </c>
      <c r="C536" s="3">
        <v>45716.862199074079</v>
      </c>
      <c r="D536" t="s">
        <v>169</v>
      </c>
      <c r="E536" s="4">
        <v>7.9802228331565861E-2</v>
      </c>
      <c r="F536" s="4">
        <v>351622.90018595342</v>
      </c>
      <c r="G536" s="4">
        <v>351622.97998818179</v>
      </c>
      <c r="H536" s="5">
        <f t="shared" si="6"/>
        <v>0</v>
      </c>
      <c r="I536" t="s">
        <v>28</v>
      </c>
      <c r="J536" t="s">
        <v>57</v>
      </c>
      <c r="K536" s="5">
        <f>40 / 86400</f>
        <v>4.6296296296296298E-4</v>
      </c>
      <c r="L536" s="5">
        <f>20 / 86400</f>
        <v>2.3148148148148149E-4</v>
      </c>
    </row>
    <row r="537" spans="1:12" x14ac:dyDescent="0.25">
      <c r="A537" s="3">
        <v>45716.862430555557</v>
      </c>
      <c r="B537" t="s">
        <v>169</v>
      </c>
      <c r="C537" s="3">
        <v>45716.862662037034</v>
      </c>
      <c r="D537" t="s">
        <v>169</v>
      </c>
      <c r="E537" s="4">
        <v>1.4592388272285462E-3</v>
      </c>
      <c r="F537" s="4">
        <v>351622.98454367655</v>
      </c>
      <c r="G537" s="4">
        <v>351622.98600291536</v>
      </c>
      <c r="H537" s="5">
        <f t="shared" si="6"/>
        <v>0</v>
      </c>
      <c r="I537" t="s">
        <v>156</v>
      </c>
      <c r="J537" t="s">
        <v>22</v>
      </c>
      <c r="K537" s="5">
        <f>20 / 86400</f>
        <v>2.3148148148148149E-4</v>
      </c>
      <c r="L537" s="5">
        <f>40 / 86400</f>
        <v>4.6296296296296298E-4</v>
      </c>
    </row>
    <row r="538" spans="1:12" x14ac:dyDescent="0.25">
      <c r="A538" s="3">
        <v>45716.863125000003</v>
      </c>
      <c r="B538" t="s">
        <v>169</v>
      </c>
      <c r="C538" s="3">
        <v>45716.863587962958</v>
      </c>
      <c r="D538" t="s">
        <v>172</v>
      </c>
      <c r="E538" s="4">
        <v>5.6346397817134859E-2</v>
      </c>
      <c r="F538" s="4">
        <v>351623.01266977697</v>
      </c>
      <c r="G538" s="4">
        <v>351623.06901617482</v>
      </c>
      <c r="H538" s="5">
        <f t="shared" si="6"/>
        <v>0</v>
      </c>
      <c r="I538" t="s">
        <v>151</v>
      </c>
      <c r="J538" t="s">
        <v>25</v>
      </c>
      <c r="K538" s="5">
        <f>40 / 86400</f>
        <v>4.6296296296296298E-4</v>
      </c>
      <c r="L538" s="5">
        <f>80 / 86400</f>
        <v>9.2592592592592596E-4</v>
      </c>
    </row>
    <row r="539" spans="1:12" x14ac:dyDescent="0.25">
      <c r="A539" s="3">
        <v>45716.86451388889</v>
      </c>
      <c r="B539" t="s">
        <v>172</v>
      </c>
      <c r="C539" s="3">
        <v>45716.864745370374</v>
      </c>
      <c r="D539" t="s">
        <v>170</v>
      </c>
      <c r="E539" s="4">
        <v>7.3288598656654361E-3</v>
      </c>
      <c r="F539" s="4">
        <v>351623.09830987954</v>
      </c>
      <c r="G539" s="4">
        <v>351623.10563873942</v>
      </c>
      <c r="H539" s="5">
        <f t="shared" si="6"/>
        <v>0</v>
      </c>
      <c r="I539" t="s">
        <v>25</v>
      </c>
      <c r="J539" t="s">
        <v>59</v>
      </c>
      <c r="K539" s="5">
        <f>20 / 86400</f>
        <v>2.3148148148148149E-4</v>
      </c>
      <c r="L539" s="5">
        <f>100 / 86400</f>
        <v>1.1574074074074073E-3</v>
      </c>
    </row>
    <row r="540" spans="1:12" x14ac:dyDescent="0.25">
      <c r="A540" s="3">
        <v>45716.865902777776</v>
      </c>
      <c r="B540" t="s">
        <v>170</v>
      </c>
      <c r="C540" s="3">
        <v>45716.86613425926</v>
      </c>
      <c r="D540" t="s">
        <v>170</v>
      </c>
      <c r="E540" s="4">
        <v>5.4733666777610776E-3</v>
      </c>
      <c r="F540" s="4">
        <v>351623.1327853218</v>
      </c>
      <c r="G540" s="4">
        <v>351623.13825868844</v>
      </c>
      <c r="H540" s="5">
        <f t="shared" si="6"/>
        <v>0</v>
      </c>
      <c r="I540" t="s">
        <v>33</v>
      </c>
      <c r="J540" t="s">
        <v>59</v>
      </c>
      <c r="K540" s="5">
        <f>20 / 86400</f>
        <v>2.3148148148148149E-4</v>
      </c>
      <c r="L540" s="5">
        <f>60 / 86400</f>
        <v>6.9444444444444447E-4</v>
      </c>
    </row>
    <row r="541" spans="1:12" x14ac:dyDescent="0.25">
      <c r="A541" s="3">
        <v>45716.8668287037</v>
      </c>
      <c r="B541" t="s">
        <v>170</v>
      </c>
      <c r="C541" s="3">
        <v>45716.867986111116</v>
      </c>
      <c r="D541" t="s">
        <v>172</v>
      </c>
      <c r="E541" s="4">
        <v>0.42361517274379729</v>
      </c>
      <c r="F541" s="4">
        <v>351623.145726218</v>
      </c>
      <c r="G541" s="4">
        <v>351623.56934139074</v>
      </c>
      <c r="H541" s="5">
        <f t="shared" si="6"/>
        <v>0</v>
      </c>
      <c r="I541" t="s">
        <v>227</v>
      </c>
      <c r="J541" t="s">
        <v>35</v>
      </c>
      <c r="K541" s="5">
        <f>100 / 86400</f>
        <v>1.1574074074074073E-3</v>
      </c>
      <c r="L541" s="5">
        <f>60 / 86400</f>
        <v>6.9444444444444447E-4</v>
      </c>
    </row>
    <row r="542" spans="1:12" x14ac:dyDescent="0.25">
      <c r="A542" s="3">
        <v>45716.868680555555</v>
      </c>
      <c r="B542" t="s">
        <v>172</v>
      </c>
      <c r="C542" s="3">
        <v>45716.86891203704</v>
      </c>
      <c r="D542" t="s">
        <v>174</v>
      </c>
      <c r="E542" s="4">
        <v>7.8757693171501164E-3</v>
      </c>
      <c r="F542" s="4">
        <v>351623.59636868536</v>
      </c>
      <c r="G542" s="4">
        <v>351623.60424445471</v>
      </c>
      <c r="H542" s="5">
        <f t="shared" si="6"/>
        <v>0</v>
      </c>
      <c r="I542" t="s">
        <v>156</v>
      </c>
      <c r="J542" t="s">
        <v>59</v>
      </c>
      <c r="K542" s="5">
        <f>20 / 86400</f>
        <v>2.3148148148148149E-4</v>
      </c>
      <c r="L542" s="5">
        <f>20 / 86400</f>
        <v>2.3148148148148149E-4</v>
      </c>
    </row>
    <row r="543" spans="1:12" x14ac:dyDescent="0.25">
      <c r="A543" s="3">
        <v>45716.869143518517</v>
      </c>
      <c r="B543" t="s">
        <v>172</v>
      </c>
      <c r="C543" s="3">
        <v>45716.870995370366</v>
      </c>
      <c r="D543" t="s">
        <v>77</v>
      </c>
      <c r="E543" s="4">
        <v>1.9750790618658065</v>
      </c>
      <c r="F543" s="4">
        <v>351623.68001966906</v>
      </c>
      <c r="G543" s="4">
        <v>351625.65509873093</v>
      </c>
      <c r="H543" s="5">
        <f t="shared" si="6"/>
        <v>0</v>
      </c>
      <c r="I543" t="s">
        <v>39</v>
      </c>
      <c r="J543" t="s">
        <v>168</v>
      </c>
      <c r="K543" s="5">
        <f>160 / 86400</f>
        <v>1.8518518518518519E-3</v>
      </c>
      <c r="L543" s="5">
        <f>20 / 86400</f>
        <v>2.3148148148148149E-4</v>
      </c>
    </row>
    <row r="544" spans="1:12" x14ac:dyDescent="0.25">
      <c r="A544" s="3">
        <v>45716.87122685185</v>
      </c>
      <c r="B544" t="s">
        <v>77</v>
      </c>
      <c r="C544" s="3">
        <v>45716.872152777782</v>
      </c>
      <c r="D544" t="s">
        <v>177</v>
      </c>
      <c r="E544" s="4">
        <v>0.79860831373929975</v>
      </c>
      <c r="F544" s="4">
        <v>351625.68618137948</v>
      </c>
      <c r="G544" s="4">
        <v>351626.48478969326</v>
      </c>
      <c r="H544" s="5">
        <f t="shared" si="6"/>
        <v>0</v>
      </c>
      <c r="I544" t="s">
        <v>91</v>
      </c>
      <c r="J544" t="s">
        <v>207</v>
      </c>
      <c r="K544" s="5">
        <f>80 / 86400</f>
        <v>9.2592592592592596E-4</v>
      </c>
      <c r="L544" s="5">
        <f>18 / 86400</f>
        <v>2.0833333333333335E-4</v>
      </c>
    </row>
    <row r="545" spans="1:12" x14ac:dyDescent="0.25">
      <c r="A545" s="3">
        <v>45716.872361111113</v>
      </c>
      <c r="B545" t="s">
        <v>177</v>
      </c>
      <c r="C545" s="3">
        <v>45716.874444444446</v>
      </c>
      <c r="D545" t="s">
        <v>96</v>
      </c>
      <c r="E545" s="4">
        <v>2.1730634368658066</v>
      </c>
      <c r="F545" s="4">
        <v>351626.48687516456</v>
      </c>
      <c r="G545" s="4">
        <v>351628.65993860143</v>
      </c>
      <c r="H545" s="5">
        <f t="shared" si="6"/>
        <v>0</v>
      </c>
      <c r="I545" t="s">
        <v>44</v>
      </c>
      <c r="J545" t="s">
        <v>185</v>
      </c>
      <c r="K545" s="5">
        <f>180 / 86400</f>
        <v>2.0833333333333333E-3</v>
      </c>
      <c r="L545" s="5">
        <f>10 / 86400</f>
        <v>1.1574074074074075E-4</v>
      </c>
    </row>
    <row r="546" spans="1:12" x14ac:dyDescent="0.25">
      <c r="A546" s="3">
        <v>45716.874560185184</v>
      </c>
      <c r="B546" t="s">
        <v>96</v>
      </c>
      <c r="C546" s="3">
        <v>45716.874791666662</v>
      </c>
      <c r="D546" t="s">
        <v>360</v>
      </c>
      <c r="E546" s="4">
        <v>5.473042577505112E-2</v>
      </c>
      <c r="F546" s="4">
        <v>351628.66620077321</v>
      </c>
      <c r="G546" s="4">
        <v>351628.72093119897</v>
      </c>
      <c r="H546" s="5">
        <f t="shared" si="6"/>
        <v>0</v>
      </c>
      <c r="I546" t="s">
        <v>57</v>
      </c>
      <c r="J546" t="s">
        <v>151</v>
      </c>
      <c r="K546" s="5">
        <f>20 / 86400</f>
        <v>2.3148148148148149E-4</v>
      </c>
      <c r="L546" s="5">
        <f>20 / 86400</f>
        <v>2.3148148148148149E-4</v>
      </c>
    </row>
    <row r="547" spans="1:12" x14ac:dyDescent="0.25">
      <c r="A547" s="3">
        <v>45716.875023148154</v>
      </c>
      <c r="B547" t="s">
        <v>96</v>
      </c>
      <c r="C547" s="3">
        <v>45716.875717592593</v>
      </c>
      <c r="D547" t="s">
        <v>96</v>
      </c>
      <c r="E547" s="4">
        <v>0.48365046119689942</v>
      </c>
      <c r="F547" s="4">
        <v>351628.83401438437</v>
      </c>
      <c r="G547" s="4">
        <v>351629.31766484561</v>
      </c>
      <c r="H547" s="5">
        <f t="shared" si="6"/>
        <v>0</v>
      </c>
      <c r="I547" t="s">
        <v>289</v>
      </c>
      <c r="J547" t="s">
        <v>142</v>
      </c>
      <c r="K547" s="5">
        <f>60 / 86400</f>
        <v>6.9444444444444447E-4</v>
      </c>
      <c r="L547" s="5">
        <f>20 / 86400</f>
        <v>2.3148148148148149E-4</v>
      </c>
    </row>
    <row r="548" spans="1:12" x14ac:dyDescent="0.25">
      <c r="A548" s="3">
        <v>45716.875949074078</v>
      </c>
      <c r="B548" t="s">
        <v>96</v>
      </c>
      <c r="C548" s="3">
        <v>45716.876643518517</v>
      </c>
      <c r="D548" t="s">
        <v>96</v>
      </c>
      <c r="E548" s="4">
        <v>0.64340223592519763</v>
      </c>
      <c r="F548" s="4">
        <v>351629.47284718184</v>
      </c>
      <c r="G548" s="4">
        <v>351630.11624941777</v>
      </c>
      <c r="H548" s="5">
        <f t="shared" si="6"/>
        <v>0</v>
      </c>
      <c r="I548" t="s">
        <v>173</v>
      </c>
      <c r="J548" t="s">
        <v>211</v>
      </c>
      <c r="K548" s="5">
        <f>60 / 86400</f>
        <v>6.9444444444444447E-4</v>
      </c>
      <c r="L548" s="5">
        <f>5 / 86400</f>
        <v>5.7870370370370373E-5</v>
      </c>
    </row>
    <row r="549" spans="1:12" x14ac:dyDescent="0.25">
      <c r="A549" s="3">
        <v>45716.876701388886</v>
      </c>
      <c r="B549" t="s">
        <v>96</v>
      </c>
      <c r="C549" s="3">
        <v>45716.876932870371</v>
      </c>
      <c r="D549" t="s">
        <v>96</v>
      </c>
      <c r="E549" s="4">
        <v>1.0573495745658874E-2</v>
      </c>
      <c r="F549" s="4">
        <v>351630.11934211961</v>
      </c>
      <c r="G549" s="4">
        <v>351630.12991561537</v>
      </c>
      <c r="H549" s="5">
        <f t="shared" si="6"/>
        <v>0</v>
      </c>
      <c r="I549" t="s">
        <v>25</v>
      </c>
      <c r="J549" t="s">
        <v>156</v>
      </c>
      <c r="K549" s="5">
        <f>20 / 86400</f>
        <v>2.3148148148148149E-4</v>
      </c>
      <c r="L549" s="5">
        <f>60 / 86400</f>
        <v>6.9444444444444447E-4</v>
      </c>
    </row>
    <row r="550" spans="1:12" x14ac:dyDescent="0.25">
      <c r="A550" s="3">
        <v>45716.877627314811</v>
      </c>
      <c r="B550" t="s">
        <v>96</v>
      </c>
      <c r="C550" s="3">
        <v>45716.878553240742</v>
      </c>
      <c r="D550" t="s">
        <v>208</v>
      </c>
      <c r="E550" s="4">
        <v>0.88506654572486876</v>
      </c>
      <c r="F550" s="4">
        <v>351630.13681457844</v>
      </c>
      <c r="G550" s="4">
        <v>351631.02188112412</v>
      </c>
      <c r="H550" s="5">
        <f t="shared" si="6"/>
        <v>0</v>
      </c>
      <c r="I550" t="s">
        <v>70</v>
      </c>
      <c r="J550" t="s">
        <v>183</v>
      </c>
      <c r="K550" s="5">
        <f>80 / 86400</f>
        <v>9.2592592592592596E-4</v>
      </c>
      <c r="L550" s="5">
        <f>20 / 86400</f>
        <v>2.3148148148148149E-4</v>
      </c>
    </row>
    <row r="551" spans="1:12" x14ac:dyDescent="0.25">
      <c r="A551" s="3">
        <v>45716.878784722227</v>
      </c>
      <c r="B551" t="s">
        <v>208</v>
      </c>
      <c r="C551" s="3">
        <v>45716.879247685181</v>
      </c>
      <c r="D551" t="s">
        <v>96</v>
      </c>
      <c r="E551" s="4">
        <v>4.1269015610218049E-2</v>
      </c>
      <c r="F551" s="4">
        <v>351631.03890347836</v>
      </c>
      <c r="G551" s="4">
        <v>351631.080172494</v>
      </c>
      <c r="H551" s="5">
        <f t="shared" si="6"/>
        <v>0</v>
      </c>
      <c r="I551" t="s">
        <v>57</v>
      </c>
      <c r="J551" t="s">
        <v>147</v>
      </c>
      <c r="K551" s="5">
        <f>40 / 86400</f>
        <v>4.6296296296296298E-4</v>
      </c>
      <c r="L551" s="5">
        <f>220 / 86400</f>
        <v>2.5462962962962965E-3</v>
      </c>
    </row>
    <row r="552" spans="1:12" x14ac:dyDescent="0.25">
      <c r="A552" s="3">
        <v>45716.881793981476</v>
      </c>
      <c r="B552" t="s">
        <v>96</v>
      </c>
      <c r="C552" s="3">
        <v>45716.889386574076</v>
      </c>
      <c r="D552" t="s">
        <v>361</v>
      </c>
      <c r="E552" s="4">
        <v>4.9413543381094929</v>
      </c>
      <c r="F552" s="4">
        <v>351631.09802933293</v>
      </c>
      <c r="G552" s="4">
        <v>351636.03938367107</v>
      </c>
      <c r="H552" s="5">
        <f t="shared" si="6"/>
        <v>0</v>
      </c>
      <c r="I552" t="s">
        <v>49</v>
      </c>
      <c r="J552" t="s">
        <v>140</v>
      </c>
      <c r="K552" s="5">
        <f>656 / 86400</f>
        <v>7.5925925925925926E-3</v>
      </c>
      <c r="L552" s="5">
        <f>94 / 86400</f>
        <v>1.0879629629629629E-3</v>
      </c>
    </row>
    <row r="553" spans="1:12" x14ac:dyDescent="0.25">
      <c r="A553" s="3">
        <v>45716.890474537038</v>
      </c>
      <c r="B553" t="s">
        <v>80</v>
      </c>
      <c r="C553" s="3">
        <v>45716.8909375</v>
      </c>
      <c r="D553" t="s">
        <v>189</v>
      </c>
      <c r="E553" s="4">
        <v>5.1158384859561923E-2</v>
      </c>
      <c r="F553" s="4">
        <v>351636.06542774651</v>
      </c>
      <c r="G553" s="4">
        <v>351636.11658613139</v>
      </c>
      <c r="H553" s="5">
        <f t="shared" si="6"/>
        <v>0</v>
      </c>
      <c r="I553" t="s">
        <v>25</v>
      </c>
      <c r="J553" t="s">
        <v>25</v>
      </c>
      <c r="K553" s="5">
        <f>40 / 86400</f>
        <v>4.6296296296296298E-4</v>
      </c>
      <c r="L553" s="5">
        <f>140 / 86400</f>
        <v>1.6203703703703703E-3</v>
      </c>
    </row>
    <row r="554" spans="1:12" x14ac:dyDescent="0.25">
      <c r="A554" s="3">
        <v>45716.892557870371</v>
      </c>
      <c r="B554" t="s">
        <v>80</v>
      </c>
      <c r="C554" s="3">
        <v>45716.893483796295</v>
      </c>
      <c r="D554" t="s">
        <v>80</v>
      </c>
      <c r="E554" s="4">
        <v>0.65773496425151823</v>
      </c>
      <c r="F554" s="4">
        <v>351636.15261621366</v>
      </c>
      <c r="G554" s="4">
        <v>351636.81035117793</v>
      </c>
      <c r="H554" s="5">
        <f t="shared" si="6"/>
        <v>0</v>
      </c>
      <c r="I554" t="s">
        <v>171</v>
      </c>
      <c r="J554" t="s">
        <v>149</v>
      </c>
      <c r="K554" s="5">
        <f>80 / 86400</f>
        <v>9.2592592592592596E-4</v>
      </c>
      <c r="L554" s="5">
        <f>20 / 86400</f>
        <v>2.3148148148148149E-4</v>
      </c>
    </row>
    <row r="555" spans="1:12" x14ac:dyDescent="0.25">
      <c r="A555" s="3">
        <v>45716.89371527778</v>
      </c>
      <c r="B555" t="s">
        <v>80</v>
      </c>
      <c r="C555" s="3">
        <v>45716.895104166666</v>
      </c>
      <c r="D555" t="s">
        <v>69</v>
      </c>
      <c r="E555" s="4">
        <v>1.4676426831483842</v>
      </c>
      <c r="F555" s="4">
        <v>351637.03200845764</v>
      </c>
      <c r="G555" s="4">
        <v>351638.49965114082</v>
      </c>
      <c r="H555" s="5">
        <f t="shared" si="6"/>
        <v>0</v>
      </c>
      <c r="I555" t="s">
        <v>39</v>
      </c>
      <c r="J555" t="s">
        <v>168</v>
      </c>
      <c r="K555" s="5">
        <f>120 / 86400</f>
        <v>1.3888888888888889E-3</v>
      </c>
      <c r="L555" s="5">
        <f>120 / 86400</f>
        <v>1.3888888888888889E-3</v>
      </c>
    </row>
    <row r="556" spans="1:12" x14ac:dyDescent="0.25">
      <c r="A556" s="3">
        <v>45716.896493055552</v>
      </c>
      <c r="B556" t="s">
        <v>362</v>
      </c>
      <c r="C556" s="3">
        <v>45716.896956018521</v>
      </c>
      <c r="D556" t="s">
        <v>362</v>
      </c>
      <c r="E556" s="4">
        <v>0.24714186996221543</v>
      </c>
      <c r="F556" s="4">
        <v>351638.5437736343</v>
      </c>
      <c r="G556" s="4">
        <v>351638.79091550427</v>
      </c>
      <c r="H556" s="5">
        <f t="shared" si="6"/>
        <v>0</v>
      </c>
      <c r="I556" t="s">
        <v>200</v>
      </c>
      <c r="J556" t="s">
        <v>130</v>
      </c>
      <c r="K556" s="5">
        <f>40 / 86400</f>
        <v>4.6296296296296298E-4</v>
      </c>
      <c r="L556" s="5">
        <f>6 / 86400</f>
        <v>6.9444444444444444E-5</v>
      </c>
    </row>
    <row r="557" spans="1:12" x14ac:dyDescent="0.25">
      <c r="A557" s="3">
        <v>45716.897025462968</v>
      </c>
      <c r="B557" t="s">
        <v>362</v>
      </c>
      <c r="C557" s="3">
        <v>45716.897951388892</v>
      </c>
      <c r="D557" t="s">
        <v>363</v>
      </c>
      <c r="E557" s="4">
        <v>0.3094371111392975</v>
      </c>
      <c r="F557" s="4">
        <v>351638.79450269655</v>
      </c>
      <c r="G557" s="4">
        <v>351639.10393980774</v>
      </c>
      <c r="H557" s="5">
        <f t="shared" si="6"/>
        <v>0</v>
      </c>
      <c r="I557" t="s">
        <v>97</v>
      </c>
      <c r="J557" t="s">
        <v>72</v>
      </c>
      <c r="K557" s="5">
        <f>80 / 86400</f>
        <v>9.2592592592592596E-4</v>
      </c>
      <c r="L557" s="5">
        <f>40 / 86400</f>
        <v>4.6296296296296298E-4</v>
      </c>
    </row>
    <row r="558" spans="1:12" x14ac:dyDescent="0.25">
      <c r="A558" s="3">
        <v>45716.898414351846</v>
      </c>
      <c r="B558" t="s">
        <v>362</v>
      </c>
      <c r="C558" s="3">
        <v>45716.902615740742</v>
      </c>
      <c r="D558" t="s">
        <v>364</v>
      </c>
      <c r="E558" s="4">
        <v>2.6409032091498377</v>
      </c>
      <c r="F558" s="4">
        <v>351639.25214468618</v>
      </c>
      <c r="G558" s="4">
        <v>351641.89304789534</v>
      </c>
      <c r="H558" s="5">
        <f t="shared" si="6"/>
        <v>0</v>
      </c>
      <c r="I558" t="s">
        <v>227</v>
      </c>
      <c r="J558" t="s">
        <v>236</v>
      </c>
      <c r="K558" s="5">
        <f>363 / 86400</f>
        <v>4.2013888888888891E-3</v>
      </c>
      <c r="L558" s="5">
        <f>8 / 86400</f>
        <v>9.2592592592592588E-5</v>
      </c>
    </row>
    <row r="559" spans="1:12" x14ac:dyDescent="0.25">
      <c r="A559" s="3">
        <v>45716.902708333335</v>
      </c>
      <c r="B559" t="s">
        <v>194</v>
      </c>
      <c r="C559" s="3">
        <v>45716.905648148153</v>
      </c>
      <c r="D559" t="s">
        <v>365</v>
      </c>
      <c r="E559" s="4">
        <v>1.1481426643729209</v>
      </c>
      <c r="F559" s="4">
        <v>351641.9063569089</v>
      </c>
      <c r="G559" s="4">
        <v>351643.05449957331</v>
      </c>
      <c r="H559" s="5">
        <f t="shared" si="6"/>
        <v>0</v>
      </c>
      <c r="I559" t="s">
        <v>97</v>
      </c>
      <c r="J559" t="s">
        <v>31</v>
      </c>
      <c r="K559" s="5">
        <f>254 / 86400</f>
        <v>2.9398148148148148E-3</v>
      </c>
      <c r="L559" s="5">
        <f>99 / 86400</f>
        <v>1.1458333333333333E-3</v>
      </c>
    </row>
    <row r="560" spans="1:12" x14ac:dyDescent="0.25">
      <c r="A560" s="3">
        <v>45716.906793981485</v>
      </c>
      <c r="B560" t="s">
        <v>365</v>
      </c>
      <c r="C560" s="3">
        <v>45716.907893518517</v>
      </c>
      <c r="D560" t="s">
        <v>366</v>
      </c>
      <c r="E560" s="4">
        <v>7.3150290429592132E-2</v>
      </c>
      <c r="F560" s="4">
        <v>351643.09862783627</v>
      </c>
      <c r="G560" s="4">
        <v>351643.17177812674</v>
      </c>
      <c r="H560" s="5">
        <f t="shared" si="6"/>
        <v>0</v>
      </c>
      <c r="I560" t="s">
        <v>214</v>
      </c>
      <c r="J560" t="s">
        <v>33</v>
      </c>
      <c r="K560" s="5">
        <f>95 / 86400</f>
        <v>1.0995370370370371E-3</v>
      </c>
      <c r="L560" s="5">
        <f>20 / 86400</f>
        <v>2.3148148148148149E-4</v>
      </c>
    </row>
    <row r="561" spans="1:12" x14ac:dyDescent="0.25">
      <c r="A561" s="3">
        <v>45716.908125000002</v>
      </c>
      <c r="B561" t="s">
        <v>367</v>
      </c>
      <c r="C561" s="3">
        <v>45716.908506944441</v>
      </c>
      <c r="D561" t="s">
        <v>195</v>
      </c>
      <c r="E561" s="4">
        <v>3.4348059415817263E-2</v>
      </c>
      <c r="F561" s="4">
        <v>351643.18265866139</v>
      </c>
      <c r="G561" s="4">
        <v>351643.21700672078</v>
      </c>
      <c r="H561" s="5">
        <f t="shared" si="6"/>
        <v>0</v>
      </c>
      <c r="I561" t="s">
        <v>57</v>
      </c>
      <c r="J561" t="s">
        <v>147</v>
      </c>
      <c r="K561" s="5">
        <f>33 / 86400</f>
        <v>3.8194444444444446E-4</v>
      </c>
      <c r="L561" s="5">
        <f>20 / 86400</f>
        <v>2.3148148148148149E-4</v>
      </c>
    </row>
    <row r="562" spans="1:12" x14ac:dyDescent="0.25">
      <c r="A562" s="3">
        <v>45716.908738425926</v>
      </c>
      <c r="B562" t="s">
        <v>225</v>
      </c>
      <c r="C562" s="3">
        <v>45716.909143518518</v>
      </c>
      <c r="D562" t="s">
        <v>277</v>
      </c>
      <c r="E562" s="4">
        <v>5.6203911721706391E-2</v>
      </c>
      <c r="F562" s="4">
        <v>351643.54810100928</v>
      </c>
      <c r="G562" s="4">
        <v>351643.604304921</v>
      </c>
      <c r="H562" s="5">
        <f t="shared" si="6"/>
        <v>0</v>
      </c>
      <c r="I562" t="s">
        <v>206</v>
      </c>
      <c r="J562" t="s">
        <v>137</v>
      </c>
      <c r="K562" s="5">
        <f>35 / 86400</f>
        <v>4.0509259259259258E-4</v>
      </c>
      <c r="L562" s="5">
        <f>20 / 86400</f>
        <v>2.3148148148148149E-4</v>
      </c>
    </row>
    <row r="563" spans="1:12" x14ac:dyDescent="0.25">
      <c r="A563" s="3">
        <v>45716.909375000003</v>
      </c>
      <c r="B563" t="s">
        <v>332</v>
      </c>
      <c r="C563" s="3">
        <v>45716.909895833334</v>
      </c>
      <c r="D563" t="s">
        <v>332</v>
      </c>
      <c r="E563" s="4">
        <v>4.651909929513931E-2</v>
      </c>
      <c r="F563" s="4">
        <v>351643.79615712981</v>
      </c>
      <c r="G563" s="4">
        <v>351643.84267622913</v>
      </c>
      <c r="H563" s="5">
        <f t="shared" ref="H563:H600" si="7">0 / 86400</f>
        <v>0</v>
      </c>
      <c r="I563" t="s">
        <v>132</v>
      </c>
      <c r="J563" t="s">
        <v>147</v>
      </c>
      <c r="K563" s="5">
        <f>45 / 86400</f>
        <v>5.2083333333333333E-4</v>
      </c>
      <c r="L563" s="5">
        <f>241 / 86400</f>
        <v>2.7893518518518519E-3</v>
      </c>
    </row>
    <row r="564" spans="1:12" x14ac:dyDescent="0.25">
      <c r="A564" s="3">
        <v>45716.912685185191</v>
      </c>
      <c r="B564" t="s">
        <v>332</v>
      </c>
      <c r="C564" s="3">
        <v>45716.91337962963</v>
      </c>
      <c r="D564" t="s">
        <v>368</v>
      </c>
      <c r="E564" s="4">
        <v>7.485770142078399E-2</v>
      </c>
      <c r="F564" s="4">
        <v>351643.91041471728</v>
      </c>
      <c r="G564" s="4">
        <v>351643.98527241865</v>
      </c>
      <c r="H564" s="5">
        <f t="shared" si="7"/>
        <v>0</v>
      </c>
      <c r="I564" t="s">
        <v>151</v>
      </c>
      <c r="J564" t="s">
        <v>147</v>
      </c>
      <c r="K564" s="5">
        <f>60 / 86400</f>
        <v>6.9444444444444447E-4</v>
      </c>
      <c r="L564" s="5">
        <f>20 / 86400</f>
        <v>2.3148148148148149E-4</v>
      </c>
    </row>
    <row r="565" spans="1:12" x14ac:dyDescent="0.25">
      <c r="A565" s="3">
        <v>45716.913611111115</v>
      </c>
      <c r="B565" t="s">
        <v>369</v>
      </c>
      <c r="C565" s="3">
        <v>45716.913842592592</v>
      </c>
      <c r="D565" t="s">
        <v>368</v>
      </c>
      <c r="E565" s="4">
        <v>1.5896042704582215E-2</v>
      </c>
      <c r="F565" s="4">
        <v>351644.01911104185</v>
      </c>
      <c r="G565" s="4">
        <v>351644.03500708455</v>
      </c>
      <c r="H565" s="5">
        <f t="shared" si="7"/>
        <v>0</v>
      </c>
      <c r="I565" t="s">
        <v>57</v>
      </c>
      <c r="J565" t="s">
        <v>33</v>
      </c>
      <c r="K565" s="5">
        <f>20 / 86400</f>
        <v>2.3148148148148149E-4</v>
      </c>
      <c r="L565" s="5">
        <f>6 / 86400</f>
        <v>6.9444444444444444E-5</v>
      </c>
    </row>
    <row r="566" spans="1:12" x14ac:dyDescent="0.25">
      <c r="A566" s="3">
        <v>45716.913912037038</v>
      </c>
      <c r="B566" t="s">
        <v>369</v>
      </c>
      <c r="C566" s="3">
        <v>45716.916296296295</v>
      </c>
      <c r="D566" t="s">
        <v>331</v>
      </c>
      <c r="E566" s="4">
        <v>1.399462624013424</v>
      </c>
      <c r="F566" s="4">
        <v>351644.0383828769</v>
      </c>
      <c r="G566" s="4">
        <v>351645.43784550088</v>
      </c>
      <c r="H566" s="5">
        <f t="shared" si="7"/>
        <v>0</v>
      </c>
      <c r="I566" t="s">
        <v>159</v>
      </c>
      <c r="J566" t="s">
        <v>37</v>
      </c>
      <c r="K566" s="5">
        <f>206 / 86400</f>
        <v>2.3842592592592591E-3</v>
      </c>
      <c r="L566" s="5">
        <f>197 / 86400</f>
        <v>2.2800925925925927E-3</v>
      </c>
    </row>
    <row r="567" spans="1:12" x14ac:dyDescent="0.25">
      <c r="A567" s="3">
        <v>45716.918576388889</v>
      </c>
      <c r="B567" t="s">
        <v>370</v>
      </c>
      <c r="C567" s="3">
        <v>45716.918912037036</v>
      </c>
      <c r="D567" t="s">
        <v>370</v>
      </c>
      <c r="E567" s="4">
        <v>0</v>
      </c>
      <c r="F567" s="4">
        <v>351645.50296964141</v>
      </c>
      <c r="G567" s="4">
        <v>351645.50296964141</v>
      </c>
      <c r="H567" s="5">
        <f t="shared" si="7"/>
        <v>0</v>
      </c>
      <c r="I567" t="s">
        <v>137</v>
      </c>
      <c r="J567" t="s">
        <v>22</v>
      </c>
      <c r="K567" s="5">
        <f>29 / 86400</f>
        <v>3.3564814814814812E-4</v>
      </c>
      <c r="L567" s="5">
        <f>80 / 86400</f>
        <v>9.2592592592592596E-4</v>
      </c>
    </row>
    <row r="568" spans="1:12" x14ac:dyDescent="0.25">
      <c r="A568" s="3">
        <v>45716.919837962967</v>
      </c>
      <c r="B568" t="s">
        <v>331</v>
      </c>
      <c r="C568" s="3">
        <v>45716.924328703702</v>
      </c>
      <c r="D568" t="s">
        <v>331</v>
      </c>
      <c r="E568" s="4">
        <v>0.15451627779006957</v>
      </c>
      <c r="F568" s="4">
        <v>351645.59824293613</v>
      </c>
      <c r="G568" s="4">
        <v>351645.75275921391</v>
      </c>
      <c r="H568" s="5">
        <f t="shared" si="7"/>
        <v>0</v>
      </c>
      <c r="I568" t="s">
        <v>132</v>
      </c>
      <c r="J568" t="s">
        <v>59</v>
      </c>
      <c r="K568" s="5">
        <f>388 / 86400</f>
        <v>4.4907407407407405E-3</v>
      </c>
      <c r="L568" s="5">
        <f>196 / 86400</f>
        <v>2.2685185185185187E-3</v>
      </c>
    </row>
    <row r="569" spans="1:12" x14ac:dyDescent="0.25">
      <c r="A569" s="3">
        <v>45716.92659722222</v>
      </c>
      <c r="B569" t="s">
        <v>371</v>
      </c>
      <c r="C569" s="3">
        <v>45716.926828703705</v>
      </c>
      <c r="D569" t="s">
        <v>223</v>
      </c>
      <c r="E569" s="4">
        <v>4.9979588985443113E-3</v>
      </c>
      <c r="F569" s="4">
        <v>351645.79222747462</v>
      </c>
      <c r="G569" s="4">
        <v>351645.79722543352</v>
      </c>
      <c r="H569" s="5">
        <f t="shared" si="7"/>
        <v>0</v>
      </c>
      <c r="I569" t="s">
        <v>59</v>
      </c>
      <c r="J569" t="s">
        <v>59</v>
      </c>
      <c r="K569" s="5">
        <f>20 / 86400</f>
        <v>2.3148148148148149E-4</v>
      </c>
      <c r="L569" s="5">
        <f>644 / 86400</f>
        <v>7.4537037037037037E-3</v>
      </c>
    </row>
    <row r="570" spans="1:12" x14ac:dyDescent="0.25">
      <c r="A570" s="3">
        <v>45716.934282407412</v>
      </c>
      <c r="B570" t="s">
        <v>372</v>
      </c>
      <c r="C570" s="3">
        <v>45716.93582175926</v>
      </c>
      <c r="D570" t="s">
        <v>366</v>
      </c>
      <c r="E570" s="4">
        <v>0.68063422226905823</v>
      </c>
      <c r="F570" s="4">
        <v>351645.88119611086</v>
      </c>
      <c r="G570" s="4">
        <v>351646.56183033308</v>
      </c>
      <c r="H570" s="5">
        <f t="shared" si="7"/>
        <v>0</v>
      </c>
      <c r="I570" t="s">
        <v>202</v>
      </c>
      <c r="J570" t="s">
        <v>20</v>
      </c>
      <c r="K570" s="5">
        <f>133 / 86400</f>
        <v>1.5393518518518519E-3</v>
      </c>
      <c r="L570" s="5">
        <f>20 / 86400</f>
        <v>2.3148148148148149E-4</v>
      </c>
    </row>
    <row r="571" spans="1:12" x14ac:dyDescent="0.25">
      <c r="A571" s="3">
        <v>45716.936053240745</v>
      </c>
      <c r="B571" t="s">
        <v>373</v>
      </c>
      <c r="C571" s="3">
        <v>45716.936516203699</v>
      </c>
      <c r="D571" t="s">
        <v>373</v>
      </c>
      <c r="E571" s="4">
        <v>0.26873666667938234</v>
      </c>
      <c r="F571" s="4">
        <v>351646.6669618623</v>
      </c>
      <c r="G571" s="4">
        <v>351646.93569852901</v>
      </c>
      <c r="H571" s="5">
        <f t="shared" si="7"/>
        <v>0</v>
      </c>
      <c r="I571" t="s">
        <v>167</v>
      </c>
      <c r="J571" t="s">
        <v>37</v>
      </c>
      <c r="K571" s="5">
        <f>40 / 86400</f>
        <v>4.6296296296296298E-4</v>
      </c>
      <c r="L571" s="5">
        <f>40 / 86400</f>
        <v>4.6296296296296298E-4</v>
      </c>
    </row>
    <row r="572" spans="1:12" x14ac:dyDescent="0.25">
      <c r="A572" s="3">
        <v>45716.936979166669</v>
      </c>
      <c r="B572" t="s">
        <v>373</v>
      </c>
      <c r="C572" s="3">
        <v>45716.937210648146</v>
      </c>
      <c r="D572" t="s">
        <v>373</v>
      </c>
      <c r="E572" s="4">
        <v>4.6732042431831362E-3</v>
      </c>
      <c r="F572" s="4">
        <v>351646.93981494929</v>
      </c>
      <c r="G572" s="4">
        <v>351646.9444881535</v>
      </c>
      <c r="H572" s="5">
        <f t="shared" si="7"/>
        <v>0</v>
      </c>
      <c r="I572" t="s">
        <v>59</v>
      </c>
      <c r="J572" t="s">
        <v>59</v>
      </c>
      <c r="K572" s="5">
        <f>20 / 86400</f>
        <v>2.3148148148148149E-4</v>
      </c>
      <c r="L572" s="5">
        <f>7 / 86400</f>
        <v>8.1018518518518516E-5</v>
      </c>
    </row>
    <row r="573" spans="1:12" x14ac:dyDescent="0.25">
      <c r="A573" s="3">
        <v>45716.937291666662</v>
      </c>
      <c r="B573" t="s">
        <v>373</v>
      </c>
      <c r="C573" s="3">
        <v>45716.938263888893</v>
      </c>
      <c r="D573" t="s">
        <v>373</v>
      </c>
      <c r="E573" s="4">
        <v>0.51794716334342961</v>
      </c>
      <c r="F573" s="4">
        <v>351646.94984271174</v>
      </c>
      <c r="G573" s="4">
        <v>351647.46778987511</v>
      </c>
      <c r="H573" s="5">
        <f t="shared" si="7"/>
        <v>0</v>
      </c>
      <c r="I573" t="s">
        <v>206</v>
      </c>
      <c r="J573" t="s">
        <v>130</v>
      </c>
      <c r="K573" s="5">
        <f>84 / 86400</f>
        <v>9.7222222222222219E-4</v>
      </c>
      <c r="L573" s="5">
        <f>4 / 86400</f>
        <v>4.6296296296296294E-5</v>
      </c>
    </row>
    <row r="574" spans="1:12" x14ac:dyDescent="0.25">
      <c r="A574" s="3">
        <v>45716.938310185185</v>
      </c>
      <c r="B574" t="s">
        <v>373</v>
      </c>
      <c r="C574" s="3">
        <v>45716.939467592594</v>
      </c>
      <c r="D574" t="s">
        <v>374</v>
      </c>
      <c r="E574" s="4">
        <v>0.55088901549577718</v>
      </c>
      <c r="F574" s="4">
        <v>351647.4733857931</v>
      </c>
      <c r="G574" s="4">
        <v>351648.02427480859</v>
      </c>
      <c r="H574" s="5">
        <f t="shared" si="7"/>
        <v>0</v>
      </c>
      <c r="I574" t="s">
        <v>211</v>
      </c>
      <c r="J574" t="s">
        <v>108</v>
      </c>
      <c r="K574" s="5">
        <f>100 / 86400</f>
        <v>1.1574074074074073E-3</v>
      </c>
      <c r="L574" s="5">
        <f>5 / 86400</f>
        <v>5.7870370370370373E-5</v>
      </c>
    </row>
    <row r="575" spans="1:12" x14ac:dyDescent="0.25">
      <c r="A575" s="3">
        <v>45716.939525462964</v>
      </c>
      <c r="B575" t="s">
        <v>374</v>
      </c>
      <c r="C575" s="3">
        <v>45716.940682870365</v>
      </c>
      <c r="D575" t="s">
        <v>375</v>
      </c>
      <c r="E575" s="4">
        <v>0.48278892773389814</v>
      </c>
      <c r="F575" s="4">
        <v>351648.02798411582</v>
      </c>
      <c r="G575" s="4">
        <v>351648.51077304356</v>
      </c>
      <c r="H575" s="5">
        <f t="shared" si="7"/>
        <v>0</v>
      </c>
      <c r="I575" t="s">
        <v>211</v>
      </c>
      <c r="J575" t="s">
        <v>62</v>
      </c>
      <c r="K575" s="5">
        <f>100 / 86400</f>
        <v>1.1574074074074073E-3</v>
      </c>
      <c r="L575" s="5">
        <f>12 / 86400</f>
        <v>1.3888888888888889E-4</v>
      </c>
    </row>
    <row r="576" spans="1:12" x14ac:dyDescent="0.25">
      <c r="A576" s="3">
        <v>45716.940821759257</v>
      </c>
      <c r="B576" t="s">
        <v>375</v>
      </c>
      <c r="C576" s="3">
        <v>45716.942511574074</v>
      </c>
      <c r="D576" t="s">
        <v>192</v>
      </c>
      <c r="E576" s="4">
        <v>1.1440326089262962</v>
      </c>
      <c r="F576" s="4">
        <v>351648.51973747625</v>
      </c>
      <c r="G576" s="4">
        <v>351649.66377008514</v>
      </c>
      <c r="H576" s="5">
        <f t="shared" si="7"/>
        <v>0</v>
      </c>
      <c r="I576" t="s">
        <v>264</v>
      </c>
      <c r="J576" t="s">
        <v>145</v>
      </c>
      <c r="K576" s="5">
        <f>146 / 86400</f>
        <v>1.6898148148148148E-3</v>
      </c>
      <c r="L576" s="5">
        <f>4 / 86400</f>
        <v>4.6296296296296294E-5</v>
      </c>
    </row>
    <row r="577" spans="1:12" x14ac:dyDescent="0.25">
      <c r="A577" s="3">
        <v>45716.942557870367</v>
      </c>
      <c r="B577" t="s">
        <v>192</v>
      </c>
      <c r="C577" s="3">
        <v>45716.944872685184</v>
      </c>
      <c r="D577" t="s">
        <v>363</v>
      </c>
      <c r="E577" s="4">
        <v>1.3410320286750794</v>
      </c>
      <c r="F577" s="4">
        <v>351649.66556368012</v>
      </c>
      <c r="G577" s="4">
        <v>351651.00659570878</v>
      </c>
      <c r="H577" s="5">
        <f t="shared" si="7"/>
        <v>0</v>
      </c>
      <c r="I577" t="s">
        <v>171</v>
      </c>
      <c r="J577" t="s">
        <v>37</v>
      </c>
      <c r="K577" s="5">
        <f>200 / 86400</f>
        <v>2.3148148148148147E-3</v>
      </c>
      <c r="L577" s="5">
        <f>35 / 86400</f>
        <v>4.0509259259259258E-4</v>
      </c>
    </row>
    <row r="578" spans="1:12" x14ac:dyDescent="0.25">
      <c r="A578" s="3">
        <v>45716.945277777777</v>
      </c>
      <c r="B578" t="s">
        <v>363</v>
      </c>
      <c r="C578" s="3">
        <v>45716.948414351849</v>
      </c>
      <c r="D578" t="s">
        <v>216</v>
      </c>
      <c r="E578" s="4">
        <v>2.2238541293144225</v>
      </c>
      <c r="F578" s="4">
        <v>351651.01590715133</v>
      </c>
      <c r="G578" s="4">
        <v>351653.23976128065</v>
      </c>
      <c r="H578" s="5">
        <f t="shared" si="7"/>
        <v>0</v>
      </c>
      <c r="I578" t="s">
        <v>70</v>
      </c>
      <c r="J578" t="s">
        <v>149</v>
      </c>
      <c r="K578" s="5">
        <f>271 / 86400</f>
        <v>3.1365740740740742E-3</v>
      </c>
      <c r="L578" s="5">
        <f>20 / 86400</f>
        <v>2.3148148148148149E-4</v>
      </c>
    </row>
    <row r="579" spans="1:12" x14ac:dyDescent="0.25">
      <c r="A579" s="3">
        <v>45716.948645833334</v>
      </c>
      <c r="B579" t="s">
        <v>216</v>
      </c>
      <c r="C579" s="3">
        <v>45716.949097222227</v>
      </c>
      <c r="D579" t="s">
        <v>163</v>
      </c>
      <c r="E579" s="4">
        <v>0.14813047516345978</v>
      </c>
      <c r="F579" s="4">
        <v>351653.25287655048</v>
      </c>
      <c r="G579" s="4">
        <v>351653.40100702568</v>
      </c>
      <c r="H579" s="5">
        <f t="shared" si="7"/>
        <v>0</v>
      </c>
      <c r="I579" t="s">
        <v>140</v>
      </c>
      <c r="J579" t="s">
        <v>72</v>
      </c>
      <c r="K579" s="5">
        <f>39 / 86400</f>
        <v>4.5138888888888887E-4</v>
      </c>
      <c r="L579" s="5">
        <f>31 / 86400</f>
        <v>3.5879629629629629E-4</v>
      </c>
    </row>
    <row r="580" spans="1:12" x14ac:dyDescent="0.25">
      <c r="A580" s="3">
        <v>45716.949456018519</v>
      </c>
      <c r="B580" t="s">
        <v>163</v>
      </c>
      <c r="C580" s="3">
        <v>45716.951388888891</v>
      </c>
      <c r="D580" t="s">
        <v>376</v>
      </c>
      <c r="E580" s="4">
        <v>0.93796369874477381</v>
      </c>
      <c r="F580" s="4">
        <v>351653.40932844661</v>
      </c>
      <c r="G580" s="4">
        <v>351654.34729214536</v>
      </c>
      <c r="H580" s="5">
        <f t="shared" si="7"/>
        <v>0</v>
      </c>
      <c r="I580" t="s">
        <v>145</v>
      </c>
      <c r="J580" t="s">
        <v>108</v>
      </c>
      <c r="K580" s="5">
        <f>167 / 86400</f>
        <v>1.9328703703703704E-3</v>
      </c>
      <c r="L580" s="5">
        <f>60 / 86400</f>
        <v>6.9444444444444447E-4</v>
      </c>
    </row>
    <row r="581" spans="1:12" x14ac:dyDescent="0.25">
      <c r="A581" s="3">
        <v>45716.952083333337</v>
      </c>
      <c r="B581" t="s">
        <v>376</v>
      </c>
      <c r="C581" s="3">
        <v>45716.952546296292</v>
      </c>
      <c r="D581" t="s">
        <v>189</v>
      </c>
      <c r="E581" s="4">
        <v>1.853602981567383E-2</v>
      </c>
      <c r="F581" s="4">
        <v>351654.37127765903</v>
      </c>
      <c r="G581" s="4">
        <v>351654.38981368882</v>
      </c>
      <c r="H581" s="5">
        <f t="shared" si="7"/>
        <v>0</v>
      </c>
      <c r="I581" t="s">
        <v>25</v>
      </c>
      <c r="J581" t="s">
        <v>156</v>
      </c>
      <c r="K581" s="5">
        <f>40 / 86400</f>
        <v>4.6296296296296298E-4</v>
      </c>
      <c r="L581" s="5">
        <f>80 / 86400</f>
        <v>9.2592592592592596E-4</v>
      </c>
    </row>
    <row r="582" spans="1:12" x14ac:dyDescent="0.25">
      <c r="A582" s="3">
        <v>45716.953472222223</v>
      </c>
      <c r="B582" t="s">
        <v>376</v>
      </c>
      <c r="C582" s="3">
        <v>45716.953935185185</v>
      </c>
      <c r="D582" t="s">
        <v>376</v>
      </c>
      <c r="E582" s="4">
        <v>1.293198674917221E-2</v>
      </c>
      <c r="F582" s="4">
        <v>351654.40879228659</v>
      </c>
      <c r="G582" s="4">
        <v>351654.4217242733</v>
      </c>
      <c r="H582" s="5">
        <f t="shared" si="7"/>
        <v>0</v>
      </c>
      <c r="I582" t="s">
        <v>59</v>
      </c>
      <c r="J582" t="s">
        <v>59</v>
      </c>
      <c r="K582" s="5">
        <f>40 / 86400</f>
        <v>4.6296296296296298E-4</v>
      </c>
      <c r="L582" s="5">
        <f>18 / 86400</f>
        <v>2.0833333333333335E-4</v>
      </c>
    </row>
    <row r="583" spans="1:12" x14ac:dyDescent="0.25">
      <c r="A583" s="3">
        <v>45716.954143518524</v>
      </c>
      <c r="B583" t="s">
        <v>376</v>
      </c>
      <c r="C583" s="3">
        <v>45716.954606481479</v>
      </c>
      <c r="D583" t="s">
        <v>377</v>
      </c>
      <c r="E583" s="4">
        <v>0.14964967519044875</v>
      </c>
      <c r="F583" s="4">
        <v>351654.43135220098</v>
      </c>
      <c r="G583" s="4">
        <v>351654.58100187615</v>
      </c>
      <c r="H583" s="5">
        <f t="shared" si="7"/>
        <v>0</v>
      </c>
      <c r="I583" t="s">
        <v>182</v>
      </c>
      <c r="J583" t="s">
        <v>64</v>
      </c>
      <c r="K583" s="5">
        <f>40 / 86400</f>
        <v>4.6296296296296298E-4</v>
      </c>
      <c r="L583" s="5">
        <f>40 / 86400</f>
        <v>4.6296296296296298E-4</v>
      </c>
    </row>
    <row r="584" spans="1:12" x14ac:dyDescent="0.25">
      <c r="A584" s="3">
        <v>45716.955069444448</v>
      </c>
      <c r="B584" t="s">
        <v>196</v>
      </c>
      <c r="C584" s="3">
        <v>45716.958125000005</v>
      </c>
      <c r="D584" t="s">
        <v>184</v>
      </c>
      <c r="E584" s="4">
        <v>1.1884004375338555</v>
      </c>
      <c r="F584" s="4">
        <v>351654.86010916316</v>
      </c>
      <c r="G584" s="4">
        <v>351656.04850960069</v>
      </c>
      <c r="H584" s="5">
        <f t="shared" si="7"/>
        <v>0</v>
      </c>
      <c r="I584" t="s">
        <v>200</v>
      </c>
      <c r="J584" t="s">
        <v>31</v>
      </c>
      <c r="K584" s="5">
        <f>264 / 86400</f>
        <v>3.0555555555555557E-3</v>
      </c>
      <c r="L584" s="5">
        <f>20 / 86400</f>
        <v>2.3148148148148149E-4</v>
      </c>
    </row>
    <row r="585" spans="1:12" x14ac:dyDescent="0.25">
      <c r="A585" s="3">
        <v>45716.958356481482</v>
      </c>
      <c r="B585" t="s">
        <v>186</v>
      </c>
      <c r="C585" s="3">
        <v>45716.959270833337</v>
      </c>
      <c r="D585" t="s">
        <v>99</v>
      </c>
      <c r="E585" s="4">
        <v>0.4062679035663605</v>
      </c>
      <c r="F585" s="4">
        <v>351656.12737963197</v>
      </c>
      <c r="G585" s="4">
        <v>351656.53364753554</v>
      </c>
      <c r="H585" s="5">
        <f t="shared" si="7"/>
        <v>0</v>
      </c>
      <c r="I585" t="s">
        <v>185</v>
      </c>
      <c r="J585" t="s">
        <v>85</v>
      </c>
      <c r="K585" s="5">
        <f>79 / 86400</f>
        <v>9.1435185185185185E-4</v>
      </c>
      <c r="L585" s="5">
        <f>20 / 86400</f>
        <v>2.3148148148148149E-4</v>
      </c>
    </row>
    <row r="586" spans="1:12" x14ac:dyDescent="0.25">
      <c r="A586" s="3">
        <v>45716.959502314814</v>
      </c>
      <c r="B586" t="s">
        <v>378</v>
      </c>
      <c r="C586" s="3">
        <v>45716.960428240738</v>
      </c>
      <c r="D586" t="s">
        <v>99</v>
      </c>
      <c r="E586" s="4">
        <v>0.26657692259550092</v>
      </c>
      <c r="F586" s="4">
        <v>351656.6173549355</v>
      </c>
      <c r="G586" s="4">
        <v>351656.88393185812</v>
      </c>
      <c r="H586" s="5">
        <f t="shared" si="7"/>
        <v>0</v>
      </c>
      <c r="I586" t="s">
        <v>145</v>
      </c>
      <c r="J586" t="s">
        <v>28</v>
      </c>
      <c r="K586" s="5">
        <f>80 / 86400</f>
        <v>9.2592592592592596E-4</v>
      </c>
      <c r="L586" s="5">
        <f>20 / 86400</f>
        <v>2.3148148148148149E-4</v>
      </c>
    </row>
    <row r="587" spans="1:12" x14ac:dyDescent="0.25">
      <c r="A587" s="3">
        <v>45716.960659722223</v>
      </c>
      <c r="B587" t="s">
        <v>99</v>
      </c>
      <c r="C587" s="3">
        <v>45716.963807870372</v>
      </c>
      <c r="D587" t="s">
        <v>96</v>
      </c>
      <c r="E587" s="4">
        <v>2.3042403447628019</v>
      </c>
      <c r="F587" s="4">
        <v>351656.96142536163</v>
      </c>
      <c r="G587" s="4">
        <v>351659.26566570642</v>
      </c>
      <c r="H587" s="5">
        <f t="shared" si="7"/>
        <v>0</v>
      </c>
      <c r="I587" t="s">
        <v>178</v>
      </c>
      <c r="J587" t="s">
        <v>149</v>
      </c>
      <c r="K587" s="5">
        <f>272 / 86400</f>
        <v>3.1481481481481482E-3</v>
      </c>
      <c r="L587" s="5">
        <f>20 / 86400</f>
        <v>2.3148148148148149E-4</v>
      </c>
    </row>
    <row r="588" spans="1:12" x14ac:dyDescent="0.25">
      <c r="A588" s="3">
        <v>45716.964039351849</v>
      </c>
      <c r="B588" t="s">
        <v>96</v>
      </c>
      <c r="C588" s="3">
        <v>45716.964965277773</v>
      </c>
      <c r="D588" t="s">
        <v>96</v>
      </c>
      <c r="E588" s="4">
        <v>0.11096001911163331</v>
      </c>
      <c r="F588" s="4">
        <v>351659.27769530233</v>
      </c>
      <c r="G588" s="4">
        <v>351659.38865532144</v>
      </c>
      <c r="H588" s="5">
        <f t="shared" si="7"/>
        <v>0</v>
      </c>
      <c r="I588" t="s">
        <v>151</v>
      </c>
      <c r="J588" t="s">
        <v>25</v>
      </c>
      <c r="K588" s="5">
        <f>80 / 86400</f>
        <v>9.2592592592592596E-4</v>
      </c>
      <c r="L588" s="5">
        <f>100 / 86400</f>
        <v>1.1574074074074073E-3</v>
      </c>
    </row>
    <row r="589" spans="1:12" x14ac:dyDescent="0.25">
      <c r="A589" s="3">
        <v>45716.966122685189</v>
      </c>
      <c r="B589" t="s">
        <v>96</v>
      </c>
      <c r="C589" s="3">
        <v>45716.966354166667</v>
      </c>
      <c r="D589" t="s">
        <v>96</v>
      </c>
      <c r="E589" s="4">
        <v>1.1062240600585938E-3</v>
      </c>
      <c r="F589" s="4">
        <v>351659.4056420594</v>
      </c>
      <c r="G589" s="4">
        <v>351659.40674828342</v>
      </c>
      <c r="H589" s="5">
        <f t="shared" si="7"/>
        <v>0</v>
      </c>
      <c r="I589" t="s">
        <v>59</v>
      </c>
      <c r="J589" t="s">
        <v>22</v>
      </c>
      <c r="K589" s="5">
        <f>20 / 86400</f>
        <v>2.3148148148148149E-4</v>
      </c>
      <c r="L589" s="5">
        <f>80 / 86400</f>
        <v>9.2592592592592596E-4</v>
      </c>
    </row>
    <row r="590" spans="1:12" x14ac:dyDescent="0.25">
      <c r="A590" s="3">
        <v>45716.967280092591</v>
      </c>
      <c r="B590" t="s">
        <v>96</v>
      </c>
      <c r="C590" s="3">
        <v>45716.967685185184</v>
      </c>
      <c r="D590" t="s">
        <v>96</v>
      </c>
      <c r="E590" s="4">
        <v>1.1150414764881133E-2</v>
      </c>
      <c r="F590" s="4">
        <v>351659.41262745881</v>
      </c>
      <c r="G590" s="4">
        <v>351659.42377787357</v>
      </c>
      <c r="H590" s="5">
        <f t="shared" si="7"/>
        <v>0</v>
      </c>
      <c r="I590" t="s">
        <v>57</v>
      </c>
      <c r="J590" t="s">
        <v>59</v>
      </c>
      <c r="K590" s="5">
        <f>35 / 86400</f>
        <v>4.0509259259259258E-4</v>
      </c>
      <c r="L590" s="5">
        <f>109 / 86400</f>
        <v>1.261574074074074E-3</v>
      </c>
    </row>
    <row r="591" spans="1:12" x14ac:dyDescent="0.25">
      <c r="A591" s="3">
        <v>45716.968946759254</v>
      </c>
      <c r="B591" t="s">
        <v>96</v>
      </c>
      <c r="C591" s="3">
        <v>45716.969641203701</v>
      </c>
      <c r="D591" t="s">
        <v>96</v>
      </c>
      <c r="E591" s="4">
        <v>0.50159366172552111</v>
      </c>
      <c r="F591" s="4">
        <v>351659.43415007077</v>
      </c>
      <c r="G591" s="4">
        <v>351659.93574373249</v>
      </c>
      <c r="H591" s="5">
        <f t="shared" si="7"/>
        <v>0</v>
      </c>
      <c r="I591" t="s">
        <v>171</v>
      </c>
      <c r="J591" t="s">
        <v>149</v>
      </c>
      <c r="K591" s="5">
        <f>60 / 86400</f>
        <v>6.9444444444444447E-4</v>
      </c>
      <c r="L591" s="5">
        <f>3 / 86400</f>
        <v>3.4722222222222222E-5</v>
      </c>
    </row>
    <row r="592" spans="1:12" x14ac:dyDescent="0.25">
      <c r="A592" s="3">
        <v>45716.969675925924</v>
      </c>
      <c r="B592" t="s">
        <v>96</v>
      </c>
      <c r="C592" s="3">
        <v>45716.973287037035</v>
      </c>
      <c r="D592" t="s">
        <v>285</v>
      </c>
      <c r="E592" s="4">
        <v>3.1034855613112451</v>
      </c>
      <c r="F592" s="4">
        <v>351659.93795206159</v>
      </c>
      <c r="G592" s="4">
        <v>351663.04143762292</v>
      </c>
      <c r="H592" s="5">
        <f t="shared" si="7"/>
        <v>0</v>
      </c>
      <c r="I592" t="s">
        <v>58</v>
      </c>
      <c r="J592" t="s">
        <v>207</v>
      </c>
      <c r="K592" s="5">
        <f>312 / 86400</f>
        <v>3.6111111111111109E-3</v>
      </c>
      <c r="L592" s="5">
        <f>40 / 86400</f>
        <v>4.6296296296296298E-4</v>
      </c>
    </row>
    <row r="593" spans="1:12" x14ac:dyDescent="0.25">
      <c r="A593" s="3">
        <v>45716.973750000005</v>
      </c>
      <c r="B593" t="s">
        <v>379</v>
      </c>
      <c r="C593" s="3">
        <v>45716.978703703702</v>
      </c>
      <c r="D593" t="s">
        <v>172</v>
      </c>
      <c r="E593" s="4">
        <v>4.1783491597771647</v>
      </c>
      <c r="F593" s="4">
        <v>351663.10327522218</v>
      </c>
      <c r="G593" s="4">
        <v>351667.28162438195</v>
      </c>
      <c r="H593" s="5">
        <f t="shared" si="7"/>
        <v>0</v>
      </c>
      <c r="I593" t="s">
        <v>39</v>
      </c>
      <c r="J593" t="s">
        <v>97</v>
      </c>
      <c r="K593" s="5">
        <f>428 / 86400</f>
        <v>4.9537037037037041E-3</v>
      </c>
      <c r="L593" s="5">
        <f>12 / 86400</f>
        <v>1.3888888888888889E-4</v>
      </c>
    </row>
    <row r="594" spans="1:12" x14ac:dyDescent="0.25">
      <c r="A594" s="3">
        <v>45716.978842592594</v>
      </c>
      <c r="B594" t="s">
        <v>172</v>
      </c>
      <c r="C594" s="3">
        <v>45716.979097222225</v>
      </c>
      <c r="D594" t="s">
        <v>170</v>
      </c>
      <c r="E594" s="4">
        <v>6.4026923656463619E-2</v>
      </c>
      <c r="F594" s="4">
        <v>351667.28516747477</v>
      </c>
      <c r="G594" s="4">
        <v>351667.34919439838</v>
      </c>
      <c r="H594" s="5">
        <f t="shared" si="7"/>
        <v>0</v>
      </c>
      <c r="I594" t="s">
        <v>31</v>
      </c>
      <c r="J594" t="s">
        <v>151</v>
      </c>
      <c r="K594" s="5">
        <f>22 / 86400</f>
        <v>2.5462962962962961E-4</v>
      </c>
      <c r="L594" s="5">
        <f>40 / 86400</f>
        <v>4.6296296296296298E-4</v>
      </c>
    </row>
    <row r="595" spans="1:12" x14ac:dyDescent="0.25">
      <c r="A595" s="3">
        <v>45716.97956018518</v>
      </c>
      <c r="B595" t="s">
        <v>170</v>
      </c>
      <c r="C595" s="3">
        <v>45716.981006944443</v>
      </c>
      <c r="D595" t="s">
        <v>172</v>
      </c>
      <c r="E595" s="4">
        <v>1.0860866205096245</v>
      </c>
      <c r="F595" s="4">
        <v>351667.35846537055</v>
      </c>
      <c r="G595" s="4">
        <v>351668.44455199107</v>
      </c>
      <c r="H595" s="5">
        <f t="shared" si="7"/>
        <v>0</v>
      </c>
      <c r="I595" t="s">
        <v>178</v>
      </c>
      <c r="J595" t="s">
        <v>206</v>
      </c>
      <c r="K595" s="5">
        <f>125 / 86400</f>
        <v>1.4467592592592592E-3</v>
      </c>
      <c r="L595" s="5">
        <f>40 / 86400</f>
        <v>4.6296296296296298E-4</v>
      </c>
    </row>
    <row r="596" spans="1:12" x14ac:dyDescent="0.25">
      <c r="A596" s="3">
        <v>45716.981469907405</v>
      </c>
      <c r="B596" t="s">
        <v>170</v>
      </c>
      <c r="C596" s="3">
        <v>45716.984247685185</v>
      </c>
      <c r="D596" t="s">
        <v>177</v>
      </c>
      <c r="E596" s="4">
        <v>3.3072300516366959</v>
      </c>
      <c r="F596" s="4">
        <v>351668.5099009439</v>
      </c>
      <c r="G596" s="4">
        <v>351671.81713099551</v>
      </c>
      <c r="H596" s="5">
        <f t="shared" si="7"/>
        <v>0</v>
      </c>
      <c r="I596" t="s">
        <v>65</v>
      </c>
      <c r="J596" t="s">
        <v>110</v>
      </c>
      <c r="K596" s="5">
        <f>240 / 86400</f>
        <v>2.7777777777777779E-3</v>
      </c>
      <c r="L596" s="5">
        <f>20 / 86400</f>
        <v>2.3148148148148149E-4</v>
      </c>
    </row>
    <row r="597" spans="1:12" x14ac:dyDescent="0.25">
      <c r="A597" s="3">
        <v>45716.984479166669</v>
      </c>
      <c r="B597" t="s">
        <v>177</v>
      </c>
      <c r="C597" s="3">
        <v>45716.985613425924</v>
      </c>
      <c r="D597" t="s">
        <v>379</v>
      </c>
      <c r="E597" s="4">
        <v>0.90345362788438799</v>
      </c>
      <c r="F597" s="4">
        <v>351671.93161090906</v>
      </c>
      <c r="G597" s="4">
        <v>351672.83506453695</v>
      </c>
      <c r="H597" s="5">
        <f t="shared" si="7"/>
        <v>0</v>
      </c>
      <c r="I597" t="s">
        <v>202</v>
      </c>
      <c r="J597" t="s">
        <v>179</v>
      </c>
      <c r="K597" s="5">
        <f>98 / 86400</f>
        <v>1.1342592592592593E-3</v>
      </c>
      <c r="L597" s="5">
        <f>15 / 86400</f>
        <v>1.7361111111111112E-4</v>
      </c>
    </row>
    <row r="598" spans="1:12" x14ac:dyDescent="0.25">
      <c r="A598" s="3">
        <v>45716.985787037032</v>
      </c>
      <c r="B598" t="s">
        <v>379</v>
      </c>
      <c r="C598" s="3">
        <v>45716.989733796298</v>
      </c>
      <c r="D598" t="s">
        <v>199</v>
      </c>
      <c r="E598" s="4">
        <v>1.4380929946899414E-2</v>
      </c>
      <c r="F598" s="4">
        <v>351672.83794968145</v>
      </c>
      <c r="G598" s="4">
        <v>351672.85233061144</v>
      </c>
      <c r="H598" s="5">
        <f t="shared" si="7"/>
        <v>0</v>
      </c>
      <c r="I598" t="s">
        <v>59</v>
      </c>
      <c r="J598" t="s">
        <v>22</v>
      </c>
      <c r="K598" s="5">
        <f>341 / 86400</f>
        <v>3.9467592592592592E-3</v>
      </c>
      <c r="L598" s="5">
        <f>5 / 86400</f>
        <v>5.7870370370370373E-5</v>
      </c>
    </row>
    <row r="599" spans="1:12" x14ac:dyDescent="0.25">
      <c r="A599" s="3">
        <v>45716.989791666667</v>
      </c>
      <c r="B599" t="s">
        <v>199</v>
      </c>
      <c r="C599" s="3">
        <v>45716.991053240738</v>
      </c>
      <c r="D599" t="s">
        <v>380</v>
      </c>
      <c r="E599" s="4">
        <v>0.3724476953148842</v>
      </c>
      <c r="F599" s="4">
        <v>351672.85641583859</v>
      </c>
      <c r="G599" s="4">
        <v>351673.22886353394</v>
      </c>
      <c r="H599" s="5">
        <f t="shared" si="7"/>
        <v>0</v>
      </c>
      <c r="I599" t="s">
        <v>85</v>
      </c>
      <c r="J599" t="s">
        <v>28</v>
      </c>
      <c r="K599" s="5">
        <f>109 / 86400</f>
        <v>1.261574074074074E-3</v>
      </c>
      <c r="L599" s="5">
        <f>166 / 86400</f>
        <v>1.9212962962962964E-3</v>
      </c>
    </row>
    <row r="600" spans="1:12" x14ac:dyDescent="0.25">
      <c r="A600" s="3">
        <v>45716.992974537032</v>
      </c>
      <c r="B600" t="s">
        <v>380</v>
      </c>
      <c r="C600" s="3">
        <v>45716.994745370372</v>
      </c>
      <c r="D600" t="s">
        <v>26</v>
      </c>
      <c r="E600" s="4">
        <v>0.54578498035669332</v>
      </c>
      <c r="F600" s="4">
        <v>351673.23692721693</v>
      </c>
      <c r="G600" s="4">
        <v>351673.78271219728</v>
      </c>
      <c r="H600" s="5">
        <f t="shared" si="7"/>
        <v>0</v>
      </c>
      <c r="I600" t="s">
        <v>145</v>
      </c>
      <c r="J600" t="s">
        <v>64</v>
      </c>
      <c r="K600" s="5">
        <f>153 / 86400</f>
        <v>1.7708333333333332E-3</v>
      </c>
      <c r="L600" s="5">
        <f>453 / 86400</f>
        <v>5.2430555555555555E-3</v>
      </c>
    </row>
    <row r="601" spans="1:1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s="10" customFormat="1" ht="20.100000000000001" customHeight="1" x14ac:dyDescent="0.35">
      <c r="A603" s="15" t="s">
        <v>490</v>
      </c>
      <c r="B603" s="15"/>
      <c r="C603" s="15"/>
      <c r="D603" s="15"/>
      <c r="E603" s="15"/>
      <c r="F603" s="15"/>
      <c r="G603" s="15"/>
      <c r="H603" s="15"/>
      <c r="I603" s="15"/>
      <c r="J603" s="15"/>
    </row>
    <row r="604" spans="1:1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2" ht="30" x14ac:dyDescent="0.25">
      <c r="A605" s="2" t="s">
        <v>6</v>
      </c>
      <c r="B605" s="2" t="s">
        <v>7</v>
      </c>
      <c r="C605" s="2" t="s">
        <v>8</v>
      </c>
      <c r="D605" s="2" t="s">
        <v>9</v>
      </c>
      <c r="E605" s="2" t="s">
        <v>10</v>
      </c>
      <c r="F605" s="2" t="s">
        <v>11</v>
      </c>
      <c r="G605" s="2" t="s">
        <v>12</v>
      </c>
      <c r="H605" s="2" t="s">
        <v>13</v>
      </c>
      <c r="I605" s="2" t="s">
        <v>14</v>
      </c>
      <c r="J605" s="2" t="s">
        <v>15</v>
      </c>
      <c r="K605" s="2" t="s">
        <v>16</v>
      </c>
      <c r="L605" s="2" t="s">
        <v>17</v>
      </c>
    </row>
    <row r="606" spans="1:12" x14ac:dyDescent="0.25">
      <c r="A606" s="3">
        <v>45716.169548611113</v>
      </c>
      <c r="B606" t="s">
        <v>38</v>
      </c>
      <c r="C606" s="3">
        <v>45716.370254629626</v>
      </c>
      <c r="D606" t="s">
        <v>134</v>
      </c>
      <c r="E606" s="4">
        <v>82.823999999999998</v>
      </c>
      <c r="F606" s="4">
        <v>486067.21500000003</v>
      </c>
      <c r="G606" s="4">
        <v>486150.03899999999</v>
      </c>
      <c r="H606" s="5">
        <f>5201 / 86400</f>
        <v>6.0196759259259262E-2</v>
      </c>
      <c r="I606" t="s">
        <v>235</v>
      </c>
      <c r="J606" t="s">
        <v>62</v>
      </c>
      <c r="K606" s="5">
        <f>17341 / 86400</f>
        <v>0.20070601851851852</v>
      </c>
      <c r="L606" s="5">
        <f>15936 / 86400</f>
        <v>0.18444444444444444</v>
      </c>
    </row>
    <row r="607" spans="1:12" x14ac:dyDescent="0.25">
      <c r="A607" s="3">
        <v>45716.385150462964</v>
      </c>
      <c r="B607" t="s">
        <v>134</v>
      </c>
      <c r="C607" s="3">
        <v>45716.387314814812</v>
      </c>
      <c r="D607" t="s">
        <v>46</v>
      </c>
      <c r="E607" s="4">
        <v>0.95399999999999996</v>
      </c>
      <c r="F607" s="4">
        <v>486150.03899999999</v>
      </c>
      <c r="G607" s="4">
        <v>486150.99300000002</v>
      </c>
      <c r="H607" s="5">
        <f>0 / 86400</f>
        <v>0</v>
      </c>
      <c r="I607" t="s">
        <v>182</v>
      </c>
      <c r="J607" t="s">
        <v>20</v>
      </c>
      <c r="K607" s="5">
        <f>186 / 86400</f>
        <v>2.1527777777777778E-3</v>
      </c>
      <c r="L607" s="5">
        <f>395 / 86400</f>
        <v>4.5717592592592589E-3</v>
      </c>
    </row>
    <row r="608" spans="1:12" x14ac:dyDescent="0.25">
      <c r="A608" s="3">
        <v>45716.391886574071</v>
      </c>
      <c r="B608" t="s">
        <v>46</v>
      </c>
      <c r="C608" s="3">
        <v>45716.395625000005</v>
      </c>
      <c r="D608" t="s">
        <v>131</v>
      </c>
      <c r="E608" s="4">
        <v>1.0249999999999999</v>
      </c>
      <c r="F608" s="4">
        <v>486150.99300000002</v>
      </c>
      <c r="G608" s="4">
        <v>486152.01799999998</v>
      </c>
      <c r="H608" s="5">
        <f>0 / 86400</f>
        <v>0</v>
      </c>
      <c r="I608" t="s">
        <v>130</v>
      </c>
      <c r="J608" t="s">
        <v>100</v>
      </c>
      <c r="K608" s="5">
        <f>322 / 86400</f>
        <v>3.7268518518518519E-3</v>
      </c>
      <c r="L608" s="5">
        <f>1357 / 86400</f>
        <v>1.5706018518518518E-2</v>
      </c>
    </row>
    <row r="609" spans="1:12" x14ac:dyDescent="0.25">
      <c r="A609" s="3">
        <v>45716.41133101852</v>
      </c>
      <c r="B609" t="s">
        <v>131</v>
      </c>
      <c r="C609" s="3">
        <v>45716.553946759261</v>
      </c>
      <c r="D609" t="s">
        <v>381</v>
      </c>
      <c r="E609" s="4">
        <v>51.822000000000003</v>
      </c>
      <c r="F609" s="4">
        <v>486152.01799999998</v>
      </c>
      <c r="G609" s="4">
        <v>486203.84</v>
      </c>
      <c r="H609" s="5">
        <f>4379 / 86400</f>
        <v>5.0682870370370371E-2</v>
      </c>
      <c r="I609" t="s">
        <v>39</v>
      </c>
      <c r="J609" t="s">
        <v>35</v>
      </c>
      <c r="K609" s="5">
        <f>12322 / 86400</f>
        <v>0.14261574074074074</v>
      </c>
      <c r="L609" s="5">
        <f>38 / 86400</f>
        <v>4.3981481481481481E-4</v>
      </c>
    </row>
    <row r="610" spans="1:12" x14ac:dyDescent="0.25">
      <c r="A610" s="3">
        <v>45716.554386574076</v>
      </c>
      <c r="B610" t="s">
        <v>381</v>
      </c>
      <c r="C610" s="3">
        <v>45716.672384259262</v>
      </c>
      <c r="D610" t="s">
        <v>38</v>
      </c>
      <c r="E610" s="4">
        <v>31.169</v>
      </c>
      <c r="F610" s="4">
        <v>486203.84</v>
      </c>
      <c r="G610" s="4">
        <v>486235.00900000002</v>
      </c>
      <c r="H610" s="5">
        <f>4620 / 86400</f>
        <v>5.347222222222222E-2</v>
      </c>
      <c r="I610" t="s">
        <v>227</v>
      </c>
      <c r="J610" t="s">
        <v>100</v>
      </c>
      <c r="K610" s="5">
        <f>10195 / 86400</f>
        <v>0.11799768518518519</v>
      </c>
      <c r="L610" s="5">
        <f>5678 / 86400</f>
        <v>6.5717592592592591E-2</v>
      </c>
    </row>
    <row r="611" spans="1:12" x14ac:dyDescent="0.25">
      <c r="A611" s="3">
        <v>45716.73810185185</v>
      </c>
      <c r="B611" t="s">
        <v>38</v>
      </c>
      <c r="C611" s="3">
        <v>45716.739305555559</v>
      </c>
      <c r="D611" t="s">
        <v>38</v>
      </c>
      <c r="E611" s="4">
        <v>6.0000000000000001E-3</v>
      </c>
      <c r="F611" s="4">
        <v>486235.00900000002</v>
      </c>
      <c r="G611" s="4">
        <v>486235.01500000001</v>
      </c>
      <c r="H611" s="5">
        <f>79 / 86400</f>
        <v>9.1435185185185185E-4</v>
      </c>
      <c r="I611" t="s">
        <v>59</v>
      </c>
      <c r="J611" t="s">
        <v>22</v>
      </c>
      <c r="K611" s="5">
        <f>103 / 86400</f>
        <v>1.1921296296296296E-3</v>
      </c>
      <c r="L611" s="5">
        <f>22523 / 86400</f>
        <v>0.26068287037037036</v>
      </c>
    </row>
    <row r="612" spans="1:1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</row>
    <row r="614" spans="1:12" s="10" customFormat="1" ht="20.100000000000001" customHeight="1" x14ac:dyDescent="0.35">
      <c r="A614" s="15" t="s">
        <v>491</v>
      </c>
      <c r="B614" s="15"/>
      <c r="C614" s="15"/>
      <c r="D614" s="15"/>
      <c r="E614" s="15"/>
      <c r="F614" s="15"/>
      <c r="G614" s="15"/>
      <c r="H614" s="15"/>
      <c r="I614" s="15"/>
      <c r="J614" s="15"/>
    </row>
    <row r="615" spans="1:1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2" ht="30" x14ac:dyDescent="0.25">
      <c r="A616" s="2" t="s">
        <v>6</v>
      </c>
      <c r="B616" s="2" t="s">
        <v>7</v>
      </c>
      <c r="C616" s="2" t="s">
        <v>8</v>
      </c>
      <c r="D616" s="2" t="s">
        <v>9</v>
      </c>
      <c r="E616" s="2" t="s">
        <v>10</v>
      </c>
      <c r="F616" s="2" t="s">
        <v>11</v>
      </c>
      <c r="G616" s="2" t="s">
        <v>12</v>
      </c>
      <c r="H616" s="2" t="s">
        <v>13</v>
      </c>
      <c r="I616" s="2" t="s">
        <v>14</v>
      </c>
      <c r="J616" s="2" t="s">
        <v>15</v>
      </c>
      <c r="K616" s="2" t="s">
        <v>16</v>
      </c>
      <c r="L616" s="2" t="s">
        <v>17</v>
      </c>
    </row>
    <row r="617" spans="1:12" x14ac:dyDescent="0.25">
      <c r="A617" s="3">
        <v>45716.128946759258</v>
      </c>
      <c r="B617" t="s">
        <v>40</v>
      </c>
      <c r="C617" s="3">
        <v>45716.319236111114</v>
      </c>
      <c r="D617" t="s">
        <v>161</v>
      </c>
      <c r="E617" s="4">
        <v>107.04600000000001</v>
      </c>
      <c r="F617" s="4">
        <v>510883.00900000002</v>
      </c>
      <c r="G617" s="4">
        <v>510990.05499999999</v>
      </c>
      <c r="H617" s="5">
        <f>3221 / 86400</f>
        <v>3.7280092592592594E-2</v>
      </c>
      <c r="I617" t="s">
        <v>42</v>
      </c>
      <c r="J617" t="s">
        <v>153</v>
      </c>
      <c r="K617" s="5">
        <f>16440 / 86400</f>
        <v>0.19027777777777777</v>
      </c>
      <c r="L617" s="5">
        <f>13353 / 86400</f>
        <v>0.15454861111111112</v>
      </c>
    </row>
    <row r="618" spans="1:12" x14ac:dyDescent="0.25">
      <c r="A618" s="3">
        <v>45716.344837962963</v>
      </c>
      <c r="B618" t="s">
        <v>161</v>
      </c>
      <c r="C618" s="3">
        <v>45716.348240740743</v>
      </c>
      <c r="D618" t="s">
        <v>136</v>
      </c>
      <c r="E618" s="4">
        <v>1.1379999999999999</v>
      </c>
      <c r="F618" s="4">
        <v>510990.05499999999</v>
      </c>
      <c r="G618" s="4">
        <v>510991.19300000003</v>
      </c>
      <c r="H618" s="5">
        <f>19 / 86400</f>
        <v>2.199074074074074E-4</v>
      </c>
      <c r="I618" t="s">
        <v>142</v>
      </c>
      <c r="J618" t="s">
        <v>72</v>
      </c>
      <c r="K618" s="5">
        <f>294 / 86400</f>
        <v>3.4027777777777776E-3</v>
      </c>
      <c r="L618" s="5">
        <f>382 / 86400</f>
        <v>4.4212962962962964E-3</v>
      </c>
    </row>
    <row r="619" spans="1:12" x14ac:dyDescent="0.25">
      <c r="A619" s="3">
        <v>45716.352662037039</v>
      </c>
      <c r="B619" t="s">
        <v>136</v>
      </c>
      <c r="C619" s="3">
        <v>45716.354490740741</v>
      </c>
      <c r="D619" t="s">
        <v>382</v>
      </c>
      <c r="E619" s="4">
        <v>0.33500000000000002</v>
      </c>
      <c r="F619" s="4">
        <v>510991.19300000003</v>
      </c>
      <c r="G619" s="4">
        <v>510991.52799999999</v>
      </c>
      <c r="H619" s="5">
        <f>0 / 86400</f>
        <v>0</v>
      </c>
      <c r="I619" t="s">
        <v>108</v>
      </c>
      <c r="J619" t="s">
        <v>214</v>
      </c>
      <c r="K619" s="5">
        <f>158 / 86400</f>
        <v>1.8287037037037037E-3</v>
      </c>
      <c r="L619" s="5">
        <f>4 / 86400</f>
        <v>4.6296296296296294E-5</v>
      </c>
    </row>
    <row r="620" spans="1:12" x14ac:dyDescent="0.25">
      <c r="A620" s="3">
        <v>45716.354537037041</v>
      </c>
      <c r="B620" t="s">
        <v>382</v>
      </c>
      <c r="C620" s="3">
        <v>45716.38685185185</v>
      </c>
      <c r="D620" t="s">
        <v>382</v>
      </c>
      <c r="E620" s="4">
        <v>1E-3</v>
      </c>
      <c r="F620" s="4">
        <v>510991.52799999999</v>
      </c>
      <c r="G620" s="4">
        <v>510991.52899999998</v>
      </c>
      <c r="H620" s="5">
        <f>2761 / 86400</f>
        <v>3.1956018518518516E-2</v>
      </c>
      <c r="I620" t="s">
        <v>59</v>
      </c>
      <c r="J620" t="s">
        <v>22</v>
      </c>
      <c r="K620" s="5">
        <f>2792 / 86400</f>
        <v>3.2314814814814817E-2</v>
      </c>
      <c r="L620" s="5">
        <f>1 / 86400</f>
        <v>1.1574074074074073E-5</v>
      </c>
    </row>
    <row r="621" spans="1:12" x14ac:dyDescent="0.25">
      <c r="A621" s="3">
        <v>45716.386863425927</v>
      </c>
      <c r="B621" t="s">
        <v>382</v>
      </c>
      <c r="C621" s="3">
        <v>45716.386886574073</v>
      </c>
      <c r="D621" t="s">
        <v>382</v>
      </c>
      <c r="E621" s="4">
        <v>0</v>
      </c>
      <c r="F621" s="4">
        <v>510991.52899999998</v>
      </c>
      <c r="G621" s="4">
        <v>510991.52899999998</v>
      </c>
      <c r="H621" s="5">
        <f>0 / 86400</f>
        <v>0</v>
      </c>
      <c r="I621" t="s">
        <v>22</v>
      </c>
      <c r="J621" t="s">
        <v>22</v>
      </c>
      <c r="K621" s="5">
        <f>2 / 86400</f>
        <v>2.3148148148148147E-5</v>
      </c>
      <c r="L621" s="5">
        <f>231 / 86400</f>
        <v>2.673611111111111E-3</v>
      </c>
    </row>
    <row r="622" spans="1:12" x14ac:dyDescent="0.25">
      <c r="A622" s="3">
        <v>45716.389560185184</v>
      </c>
      <c r="B622" t="s">
        <v>382</v>
      </c>
      <c r="C622" s="3">
        <v>45716.395104166666</v>
      </c>
      <c r="D622" t="s">
        <v>136</v>
      </c>
      <c r="E622" s="4">
        <v>0.32300000000000001</v>
      </c>
      <c r="F622" s="4">
        <v>510991.52899999998</v>
      </c>
      <c r="G622" s="4">
        <v>510991.85200000001</v>
      </c>
      <c r="H622" s="5">
        <f>319 / 86400</f>
        <v>3.6921296296296298E-3</v>
      </c>
      <c r="I622" t="s">
        <v>190</v>
      </c>
      <c r="J622" t="s">
        <v>156</v>
      </c>
      <c r="K622" s="5">
        <f>478 / 86400</f>
        <v>5.5324074074074078E-3</v>
      </c>
      <c r="L622" s="5">
        <f>417 / 86400</f>
        <v>4.8263888888888887E-3</v>
      </c>
    </row>
    <row r="623" spans="1:12" x14ac:dyDescent="0.25">
      <c r="A623" s="3">
        <v>45716.399930555555</v>
      </c>
      <c r="B623" t="s">
        <v>136</v>
      </c>
      <c r="C623" s="3">
        <v>45716.400324074071</v>
      </c>
      <c r="D623" t="s">
        <v>136</v>
      </c>
      <c r="E623" s="4">
        <v>1.7999999999999999E-2</v>
      </c>
      <c r="F623" s="4">
        <v>510991.85200000001</v>
      </c>
      <c r="G623" s="4">
        <v>510991.87</v>
      </c>
      <c r="H623" s="5">
        <f>19 / 86400</f>
        <v>2.199074074074074E-4</v>
      </c>
      <c r="I623" t="s">
        <v>25</v>
      </c>
      <c r="J623" t="s">
        <v>156</v>
      </c>
      <c r="K623" s="5">
        <f>33 / 86400</f>
        <v>3.8194444444444446E-4</v>
      </c>
      <c r="L623" s="5">
        <f>12604 / 86400</f>
        <v>0.14587962962962964</v>
      </c>
    </row>
    <row r="624" spans="1:12" x14ac:dyDescent="0.25">
      <c r="A624" s="3">
        <v>45716.546203703707</v>
      </c>
      <c r="B624" t="s">
        <v>136</v>
      </c>
      <c r="C624" s="3">
        <v>45716.684537037036</v>
      </c>
      <c r="D624" t="s">
        <v>383</v>
      </c>
      <c r="E624" s="4">
        <v>48.030999999999999</v>
      </c>
      <c r="F624" s="4">
        <v>510991.87</v>
      </c>
      <c r="G624" s="4">
        <v>511039.90100000001</v>
      </c>
      <c r="H624" s="5">
        <f>4638 / 86400</f>
        <v>5.3680555555555558E-2</v>
      </c>
      <c r="I624" t="s">
        <v>44</v>
      </c>
      <c r="J624" t="s">
        <v>72</v>
      </c>
      <c r="K624" s="5">
        <f>11952 / 86400</f>
        <v>0.13833333333333334</v>
      </c>
      <c r="L624" s="5">
        <f>131 / 86400</f>
        <v>1.5162037037037036E-3</v>
      </c>
    </row>
    <row r="625" spans="1:12" x14ac:dyDescent="0.25">
      <c r="A625" s="3">
        <v>45716.686053240745</v>
      </c>
      <c r="B625" t="s">
        <v>383</v>
      </c>
      <c r="C625" s="3">
        <v>45716.687037037038</v>
      </c>
      <c r="D625" t="s">
        <v>384</v>
      </c>
      <c r="E625" s="4">
        <v>0.03</v>
      </c>
      <c r="F625" s="4">
        <v>511039.90100000001</v>
      </c>
      <c r="G625" s="4">
        <v>511039.93099999998</v>
      </c>
      <c r="H625" s="5">
        <f>60 / 86400</f>
        <v>6.9444444444444447E-4</v>
      </c>
      <c r="I625" t="s">
        <v>137</v>
      </c>
      <c r="J625" t="s">
        <v>59</v>
      </c>
      <c r="K625" s="5">
        <f>85 / 86400</f>
        <v>9.837962962962962E-4</v>
      </c>
      <c r="L625" s="5">
        <f>115 / 86400</f>
        <v>1.3310185185185185E-3</v>
      </c>
    </row>
    <row r="626" spans="1:12" x14ac:dyDescent="0.25">
      <c r="A626" s="3">
        <v>45716.688368055555</v>
      </c>
      <c r="B626" t="s">
        <v>385</v>
      </c>
      <c r="C626" s="3">
        <v>45716.688391203701</v>
      </c>
      <c r="D626" t="s">
        <v>385</v>
      </c>
      <c r="E626" s="4">
        <v>0</v>
      </c>
      <c r="F626" s="4">
        <v>511039.93099999998</v>
      </c>
      <c r="G626" s="4">
        <v>511039.93099999998</v>
      </c>
      <c r="H626" s="5">
        <f>0 / 86400</f>
        <v>0</v>
      </c>
      <c r="I626" t="s">
        <v>22</v>
      </c>
      <c r="J626" t="s">
        <v>22</v>
      </c>
      <c r="K626" s="5">
        <f>1 / 86400</f>
        <v>1.1574074074074073E-5</v>
      </c>
      <c r="L626" s="5">
        <f>165 / 86400</f>
        <v>1.9097222222222222E-3</v>
      </c>
    </row>
    <row r="627" spans="1:12" x14ac:dyDescent="0.25">
      <c r="A627" s="3">
        <v>45716.690300925926</v>
      </c>
      <c r="B627" t="s">
        <v>385</v>
      </c>
      <c r="C627" s="3">
        <v>45716.852048611108</v>
      </c>
      <c r="D627" t="s">
        <v>136</v>
      </c>
      <c r="E627" s="4">
        <v>46.436</v>
      </c>
      <c r="F627" s="4">
        <v>511039.93099999998</v>
      </c>
      <c r="G627" s="4">
        <v>511086.36700000003</v>
      </c>
      <c r="H627" s="5">
        <f>5698 / 86400</f>
        <v>6.5949074074074077E-2</v>
      </c>
      <c r="I627" t="s">
        <v>289</v>
      </c>
      <c r="J627" t="s">
        <v>28</v>
      </c>
      <c r="K627" s="5">
        <f>13974 / 86400</f>
        <v>0.16173611111111111</v>
      </c>
      <c r="L627" s="5">
        <f>683 / 86400</f>
        <v>7.905092592592592E-3</v>
      </c>
    </row>
    <row r="628" spans="1:12" x14ac:dyDescent="0.25">
      <c r="A628" s="3">
        <v>45716.859953703708</v>
      </c>
      <c r="B628" t="s">
        <v>136</v>
      </c>
      <c r="C628" s="3">
        <v>45716.865428240737</v>
      </c>
      <c r="D628" t="s">
        <v>386</v>
      </c>
      <c r="E628" s="4">
        <v>1.143</v>
      </c>
      <c r="F628" s="4">
        <v>511086.36700000003</v>
      </c>
      <c r="G628" s="4">
        <v>511087.51</v>
      </c>
      <c r="H628" s="5">
        <f>199 / 86400</f>
        <v>2.3032407407407407E-3</v>
      </c>
      <c r="I628" t="s">
        <v>145</v>
      </c>
      <c r="J628" t="s">
        <v>132</v>
      </c>
      <c r="K628" s="5">
        <f>473 / 86400</f>
        <v>5.4745370370370373E-3</v>
      </c>
      <c r="L628" s="5">
        <f>316 / 86400</f>
        <v>3.6574074074074074E-3</v>
      </c>
    </row>
    <row r="629" spans="1:12" x14ac:dyDescent="0.25">
      <c r="A629" s="3">
        <v>45716.869085648148</v>
      </c>
      <c r="B629" t="s">
        <v>386</v>
      </c>
      <c r="C629" s="3">
        <v>45716.869999999995</v>
      </c>
      <c r="D629" t="s">
        <v>41</v>
      </c>
      <c r="E629" s="4">
        <v>9.6000000000000002E-2</v>
      </c>
      <c r="F629" s="4">
        <v>511087.51</v>
      </c>
      <c r="G629" s="4">
        <v>511087.60600000003</v>
      </c>
      <c r="H629" s="5">
        <f>0 / 86400</f>
        <v>0</v>
      </c>
      <c r="I629" t="s">
        <v>57</v>
      </c>
      <c r="J629" t="s">
        <v>147</v>
      </c>
      <c r="K629" s="5">
        <f>79 / 86400</f>
        <v>9.1435185185185185E-4</v>
      </c>
      <c r="L629" s="5">
        <f>11231 / 86400</f>
        <v>0.12998842592592594</v>
      </c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2" s="10" customFormat="1" ht="20.100000000000001" customHeight="1" x14ac:dyDescent="0.35">
      <c r="A632" s="15" t="s">
        <v>492</v>
      </c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2" ht="30" x14ac:dyDescent="0.25">
      <c r="A634" s="2" t="s">
        <v>6</v>
      </c>
      <c r="B634" s="2" t="s">
        <v>7</v>
      </c>
      <c r="C634" s="2" t="s">
        <v>8</v>
      </c>
      <c r="D634" s="2" t="s">
        <v>9</v>
      </c>
      <c r="E634" s="2" t="s">
        <v>10</v>
      </c>
      <c r="F634" s="2" t="s">
        <v>11</v>
      </c>
      <c r="G634" s="2" t="s">
        <v>12</v>
      </c>
      <c r="H634" s="2" t="s">
        <v>13</v>
      </c>
      <c r="I634" s="2" t="s">
        <v>14</v>
      </c>
      <c r="J634" s="2" t="s">
        <v>15</v>
      </c>
      <c r="K634" s="2" t="s">
        <v>16</v>
      </c>
      <c r="L634" s="2" t="s">
        <v>17</v>
      </c>
    </row>
    <row r="635" spans="1:12" x14ac:dyDescent="0.25">
      <c r="A635" s="3">
        <v>45716.237002314811</v>
      </c>
      <c r="B635" t="s">
        <v>43</v>
      </c>
      <c r="C635" s="3">
        <v>45716.243773148148</v>
      </c>
      <c r="D635" t="s">
        <v>161</v>
      </c>
      <c r="E635" s="4">
        <v>1.611</v>
      </c>
      <c r="F635" s="4">
        <v>409778.24599999998</v>
      </c>
      <c r="G635" s="4">
        <v>409779.85700000002</v>
      </c>
      <c r="H635" s="5">
        <f>99 / 86400</f>
        <v>1.1458333333333333E-3</v>
      </c>
      <c r="I635" t="s">
        <v>206</v>
      </c>
      <c r="J635" t="s">
        <v>151</v>
      </c>
      <c r="K635" s="5">
        <f>584 / 86400</f>
        <v>6.7592592592592591E-3</v>
      </c>
      <c r="L635" s="5">
        <f>21716 / 86400</f>
        <v>0.25134259259259262</v>
      </c>
    </row>
    <row r="636" spans="1:12" x14ac:dyDescent="0.25">
      <c r="A636" s="3">
        <v>45716.258113425924</v>
      </c>
      <c r="B636" t="s">
        <v>161</v>
      </c>
      <c r="C636" s="3">
        <v>45716.415138888886</v>
      </c>
      <c r="D636" t="s">
        <v>381</v>
      </c>
      <c r="E636" s="4">
        <v>51.808</v>
      </c>
      <c r="F636" s="4">
        <v>409779.85700000002</v>
      </c>
      <c r="G636" s="4">
        <v>409831.66499999998</v>
      </c>
      <c r="H636" s="5">
        <f>5502 / 86400</f>
        <v>6.368055555555556E-2</v>
      </c>
      <c r="I636" t="s">
        <v>44</v>
      </c>
      <c r="J636" t="s">
        <v>72</v>
      </c>
      <c r="K636" s="5">
        <f>13566 / 86400</f>
        <v>0.1570138888888889</v>
      </c>
      <c r="L636" s="5">
        <f>1905 / 86400</f>
        <v>2.2048611111111113E-2</v>
      </c>
    </row>
    <row r="637" spans="1:12" x14ac:dyDescent="0.25">
      <c r="A637" s="3">
        <v>45716.4371875</v>
      </c>
      <c r="B637" t="s">
        <v>381</v>
      </c>
      <c r="C637" s="3">
        <v>45716.541689814811</v>
      </c>
      <c r="D637" t="s">
        <v>350</v>
      </c>
      <c r="E637" s="4">
        <v>31.265999999999998</v>
      </c>
      <c r="F637" s="4">
        <v>409831.66499999998</v>
      </c>
      <c r="G637" s="4">
        <v>409862.93099999998</v>
      </c>
      <c r="H637" s="5">
        <f>3540 / 86400</f>
        <v>4.0972222222222222E-2</v>
      </c>
      <c r="I637" t="s">
        <v>227</v>
      </c>
      <c r="J637" t="s">
        <v>28</v>
      </c>
      <c r="K637" s="5">
        <f>9028 / 86400</f>
        <v>0.10449074074074075</v>
      </c>
      <c r="L637" s="5">
        <f>4050 / 86400</f>
        <v>4.6875E-2</v>
      </c>
    </row>
    <row r="638" spans="1:12" x14ac:dyDescent="0.25">
      <c r="A638" s="3">
        <v>45716.588564814811</v>
      </c>
      <c r="B638" t="s">
        <v>350</v>
      </c>
      <c r="C638" s="3">
        <v>45716.704571759255</v>
      </c>
      <c r="D638" t="s">
        <v>387</v>
      </c>
      <c r="E638" s="4">
        <v>31.579000000000001</v>
      </c>
      <c r="F638" s="4">
        <v>409862.93099999998</v>
      </c>
      <c r="G638" s="4">
        <v>409894.51</v>
      </c>
      <c r="H638" s="5">
        <f>4599 / 86400</f>
        <v>5.3229166666666668E-2</v>
      </c>
      <c r="I638" t="s">
        <v>70</v>
      </c>
      <c r="J638" t="s">
        <v>100</v>
      </c>
      <c r="K638" s="5">
        <f>10023 / 86400</f>
        <v>0.11600694444444444</v>
      </c>
      <c r="L638" s="5">
        <f>71 / 86400</f>
        <v>8.2175925925925927E-4</v>
      </c>
    </row>
    <row r="639" spans="1:12" x14ac:dyDescent="0.25">
      <c r="A639" s="3">
        <v>45716.705393518518</v>
      </c>
      <c r="B639" t="s">
        <v>387</v>
      </c>
      <c r="C639" s="3">
        <v>45716.872777777782</v>
      </c>
      <c r="D639" t="s">
        <v>136</v>
      </c>
      <c r="E639" s="4">
        <v>49.57</v>
      </c>
      <c r="F639" s="4">
        <v>409894.51</v>
      </c>
      <c r="G639" s="4">
        <v>409944.08</v>
      </c>
      <c r="H639" s="5">
        <f>5780 / 86400</f>
        <v>6.6898148148148151E-2</v>
      </c>
      <c r="I639" t="s">
        <v>56</v>
      </c>
      <c r="J639" t="s">
        <v>28</v>
      </c>
      <c r="K639" s="5">
        <f>14462 / 86400</f>
        <v>0.16738425925925926</v>
      </c>
      <c r="L639" s="5">
        <f>479 / 86400</f>
        <v>5.5439814814814813E-3</v>
      </c>
    </row>
    <row r="640" spans="1:12" x14ac:dyDescent="0.25">
      <c r="A640" s="3">
        <v>45716.878321759257</v>
      </c>
      <c r="B640" t="s">
        <v>136</v>
      </c>
      <c r="C640" s="3">
        <v>45716.880393518513</v>
      </c>
      <c r="D640" t="s">
        <v>135</v>
      </c>
      <c r="E640" s="4">
        <v>0.19</v>
      </c>
      <c r="F640" s="4">
        <v>409944.08</v>
      </c>
      <c r="G640" s="4">
        <v>409944.27</v>
      </c>
      <c r="H640" s="5">
        <f>100 / 86400</f>
        <v>1.1574074074074073E-3</v>
      </c>
      <c r="I640" t="s">
        <v>31</v>
      </c>
      <c r="J640" t="s">
        <v>147</v>
      </c>
      <c r="K640" s="5">
        <f>179 / 86400</f>
        <v>2.0717592592592593E-3</v>
      </c>
      <c r="L640" s="5">
        <f>784 / 86400</f>
        <v>9.0740740740740747E-3</v>
      </c>
    </row>
    <row r="641" spans="1:12" x14ac:dyDescent="0.25">
      <c r="A641" s="3">
        <v>45716.889467592591</v>
      </c>
      <c r="B641" t="s">
        <v>135</v>
      </c>
      <c r="C641" s="3">
        <v>45716.895486111112</v>
      </c>
      <c r="D641" t="s">
        <v>43</v>
      </c>
      <c r="E641" s="4">
        <v>1.3109999999999999</v>
      </c>
      <c r="F641" s="4">
        <v>409944.27</v>
      </c>
      <c r="G641" s="4">
        <v>409945.58100000001</v>
      </c>
      <c r="H641" s="5">
        <f>99 / 86400</f>
        <v>1.1458333333333333E-3</v>
      </c>
      <c r="I641" t="s">
        <v>140</v>
      </c>
      <c r="J641" t="s">
        <v>132</v>
      </c>
      <c r="K641" s="5">
        <f>520 / 86400</f>
        <v>6.0185185185185185E-3</v>
      </c>
      <c r="L641" s="5">
        <f>43 / 86400</f>
        <v>4.9768518518518521E-4</v>
      </c>
    </row>
    <row r="642" spans="1:12" x14ac:dyDescent="0.25">
      <c r="A642" s="3">
        <v>45716.895983796298</v>
      </c>
      <c r="B642" t="s">
        <v>43</v>
      </c>
      <c r="C642" s="3">
        <v>45716.896319444444</v>
      </c>
      <c r="D642" t="s">
        <v>43</v>
      </c>
      <c r="E642" s="4">
        <v>0</v>
      </c>
      <c r="F642" s="4">
        <v>409945.58100000001</v>
      </c>
      <c r="G642" s="4">
        <v>409945.58100000001</v>
      </c>
      <c r="H642" s="5">
        <f>19 / 86400</f>
        <v>2.199074074074074E-4</v>
      </c>
      <c r="I642" t="s">
        <v>22</v>
      </c>
      <c r="J642" t="s">
        <v>22</v>
      </c>
      <c r="K642" s="5">
        <f>29 / 86400</f>
        <v>3.3564814814814812E-4</v>
      </c>
      <c r="L642" s="5">
        <f>8957 / 86400</f>
        <v>0.10366898148148149</v>
      </c>
    </row>
    <row r="643" spans="1:1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s="10" customFormat="1" ht="20.100000000000001" customHeight="1" x14ac:dyDescent="0.35">
      <c r="A645" s="15" t="s">
        <v>493</v>
      </c>
      <c r="B645" s="15"/>
      <c r="C645" s="15"/>
      <c r="D645" s="15"/>
      <c r="E645" s="15"/>
      <c r="F645" s="15"/>
      <c r="G645" s="15"/>
      <c r="H645" s="15"/>
      <c r="I645" s="15"/>
      <c r="J645" s="15"/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ht="30" x14ac:dyDescent="0.25">
      <c r="A647" s="2" t="s">
        <v>6</v>
      </c>
      <c r="B647" s="2" t="s">
        <v>7</v>
      </c>
      <c r="C647" s="2" t="s">
        <v>8</v>
      </c>
      <c r="D647" s="2" t="s">
        <v>9</v>
      </c>
      <c r="E647" s="2" t="s">
        <v>10</v>
      </c>
      <c r="F647" s="2" t="s">
        <v>11</v>
      </c>
      <c r="G647" s="2" t="s">
        <v>12</v>
      </c>
      <c r="H647" s="2" t="s">
        <v>13</v>
      </c>
      <c r="I647" s="2" t="s">
        <v>14</v>
      </c>
      <c r="J647" s="2" t="s">
        <v>15</v>
      </c>
      <c r="K647" s="2" t="s">
        <v>16</v>
      </c>
      <c r="L647" s="2" t="s">
        <v>17</v>
      </c>
    </row>
    <row r="648" spans="1:12" x14ac:dyDescent="0.25">
      <c r="A648" s="3">
        <v>45716.27611111111</v>
      </c>
      <c r="B648" t="s">
        <v>45</v>
      </c>
      <c r="C648" s="3">
        <v>45716.282314814816</v>
      </c>
      <c r="D648" t="s">
        <v>152</v>
      </c>
      <c r="E648" s="4">
        <v>0.78500000000000003</v>
      </c>
      <c r="F648" s="4">
        <v>439516.89299999998</v>
      </c>
      <c r="G648" s="4">
        <v>439517.67800000001</v>
      </c>
      <c r="H648" s="5">
        <f>339 / 86400</f>
        <v>3.9236111111111112E-3</v>
      </c>
      <c r="I648" t="s">
        <v>236</v>
      </c>
      <c r="J648" t="s">
        <v>25</v>
      </c>
      <c r="K648" s="5">
        <f>535 / 86400</f>
        <v>6.1921296296296299E-3</v>
      </c>
      <c r="L648" s="5">
        <f>28894 / 86400</f>
        <v>0.3344212962962963</v>
      </c>
    </row>
    <row r="649" spans="1:12" x14ac:dyDescent="0.25">
      <c r="A649" s="3">
        <v>45716.340624999997</v>
      </c>
      <c r="B649" t="s">
        <v>152</v>
      </c>
      <c r="C649" s="3">
        <v>45716.596736111111</v>
      </c>
      <c r="D649" t="s">
        <v>45</v>
      </c>
      <c r="E649" s="4">
        <v>100.85</v>
      </c>
      <c r="F649" s="4">
        <v>439517.67800000001</v>
      </c>
      <c r="G649" s="4">
        <v>439618.52799999999</v>
      </c>
      <c r="H649" s="5">
        <f>7366 / 86400</f>
        <v>8.5254629629629625E-2</v>
      </c>
      <c r="I649" t="s">
        <v>47</v>
      </c>
      <c r="J649" t="s">
        <v>31</v>
      </c>
      <c r="K649" s="5">
        <f>22128 / 86400</f>
        <v>0.25611111111111112</v>
      </c>
      <c r="L649" s="5">
        <f>1760 / 86400</f>
        <v>2.0370370370370372E-2</v>
      </c>
    </row>
    <row r="650" spans="1:12" x14ac:dyDescent="0.25">
      <c r="A650" s="3">
        <v>45716.617106481484</v>
      </c>
      <c r="B650" t="s">
        <v>45</v>
      </c>
      <c r="C650" s="3">
        <v>45716.621469907404</v>
      </c>
      <c r="D650" t="s">
        <v>134</v>
      </c>
      <c r="E650" s="4">
        <v>1.002</v>
      </c>
      <c r="F650" s="4">
        <v>439618.52799999999</v>
      </c>
      <c r="G650" s="4">
        <v>439619.53</v>
      </c>
      <c r="H650" s="5">
        <f>99 / 86400</f>
        <v>1.1458333333333333E-3</v>
      </c>
      <c r="I650" t="s">
        <v>153</v>
      </c>
      <c r="J650" t="s">
        <v>151</v>
      </c>
      <c r="K650" s="5">
        <f>377 / 86400</f>
        <v>4.363425925925926E-3</v>
      </c>
      <c r="L650" s="5">
        <f>3602 / 86400</f>
        <v>4.1689814814814811E-2</v>
      </c>
    </row>
    <row r="651" spans="1:12" x14ac:dyDescent="0.25">
      <c r="A651" s="3">
        <v>45716.663159722222</v>
      </c>
      <c r="B651" t="s">
        <v>134</v>
      </c>
      <c r="C651" s="3">
        <v>45716.667858796296</v>
      </c>
      <c r="D651" t="s">
        <v>136</v>
      </c>
      <c r="E651" s="4">
        <v>0.14299999999999999</v>
      </c>
      <c r="F651" s="4">
        <v>439619.53</v>
      </c>
      <c r="G651" s="4">
        <v>439619.67300000001</v>
      </c>
      <c r="H651" s="5">
        <f>359 / 86400</f>
        <v>4.1550925925925922E-3</v>
      </c>
      <c r="I651" t="s">
        <v>214</v>
      </c>
      <c r="J651" t="s">
        <v>59</v>
      </c>
      <c r="K651" s="5">
        <f>405 / 86400</f>
        <v>4.6874999999999998E-3</v>
      </c>
      <c r="L651" s="5">
        <f>402 / 86400</f>
        <v>4.6527777777777774E-3</v>
      </c>
    </row>
    <row r="652" spans="1:12" x14ac:dyDescent="0.25">
      <c r="A652" s="3">
        <v>45716.67251157407</v>
      </c>
      <c r="B652" t="s">
        <v>136</v>
      </c>
      <c r="C652" s="3">
        <v>45716.680879629625</v>
      </c>
      <c r="D652" t="s">
        <v>46</v>
      </c>
      <c r="E652" s="4">
        <v>2.0299999999999998</v>
      </c>
      <c r="F652" s="4">
        <v>439619.67300000001</v>
      </c>
      <c r="G652" s="4">
        <v>439621.70299999998</v>
      </c>
      <c r="H652" s="5">
        <f>220 / 86400</f>
        <v>2.5462962962962965E-3</v>
      </c>
      <c r="I652" t="s">
        <v>97</v>
      </c>
      <c r="J652" t="s">
        <v>151</v>
      </c>
      <c r="K652" s="5">
        <f>722 / 86400</f>
        <v>8.3564814814814821E-3</v>
      </c>
      <c r="L652" s="5">
        <f>1311 / 86400</f>
        <v>1.5173611111111112E-2</v>
      </c>
    </row>
    <row r="653" spans="1:12" x14ac:dyDescent="0.25">
      <c r="A653" s="3">
        <v>45716.696053240739</v>
      </c>
      <c r="B653" t="s">
        <v>46</v>
      </c>
      <c r="C653" s="3">
        <v>45716.698657407411</v>
      </c>
      <c r="D653" t="s">
        <v>46</v>
      </c>
      <c r="E653" s="4">
        <v>0.34100000000000003</v>
      </c>
      <c r="F653" s="4">
        <v>439621.70299999998</v>
      </c>
      <c r="G653" s="4">
        <v>439622.04399999999</v>
      </c>
      <c r="H653" s="5">
        <f>60 / 86400</f>
        <v>6.9444444444444447E-4</v>
      </c>
      <c r="I653" t="s">
        <v>151</v>
      </c>
      <c r="J653" t="s">
        <v>25</v>
      </c>
      <c r="K653" s="5">
        <f>225 / 86400</f>
        <v>2.6041666666666665E-3</v>
      </c>
      <c r="L653" s="5">
        <f>26035 / 86400</f>
        <v>0.30133101851851851</v>
      </c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2" s="10" customFormat="1" ht="20.100000000000001" customHeight="1" x14ac:dyDescent="0.35">
      <c r="A656" s="15" t="s">
        <v>494</v>
      </c>
      <c r="B656" s="15"/>
      <c r="C656" s="15"/>
      <c r="D656" s="15"/>
      <c r="E656" s="15"/>
      <c r="F656" s="15"/>
      <c r="G656" s="15"/>
      <c r="H656" s="15"/>
      <c r="I656" s="15"/>
      <c r="J656" s="15"/>
    </row>
    <row r="657" spans="1:1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ht="30" x14ac:dyDescent="0.25">
      <c r="A658" s="2" t="s">
        <v>6</v>
      </c>
      <c r="B658" s="2" t="s">
        <v>7</v>
      </c>
      <c r="C658" s="2" t="s">
        <v>8</v>
      </c>
      <c r="D658" s="2" t="s">
        <v>9</v>
      </c>
      <c r="E658" s="2" t="s">
        <v>10</v>
      </c>
      <c r="F658" s="2" t="s">
        <v>11</v>
      </c>
      <c r="G658" s="2" t="s">
        <v>12</v>
      </c>
      <c r="H658" s="2" t="s">
        <v>13</v>
      </c>
      <c r="I658" s="2" t="s">
        <v>14</v>
      </c>
      <c r="J658" s="2" t="s">
        <v>15</v>
      </c>
      <c r="K658" s="2" t="s">
        <v>16</v>
      </c>
      <c r="L658" s="2" t="s">
        <v>17</v>
      </c>
    </row>
    <row r="659" spans="1:12" x14ac:dyDescent="0.25">
      <c r="A659" s="3">
        <v>45716.293587962966</v>
      </c>
      <c r="B659" t="s">
        <v>48</v>
      </c>
      <c r="C659" s="3">
        <v>45716.305439814816</v>
      </c>
      <c r="D659" t="s">
        <v>161</v>
      </c>
      <c r="E659" s="4">
        <v>3.77</v>
      </c>
      <c r="F659" s="4">
        <v>57245.17</v>
      </c>
      <c r="G659" s="4">
        <v>57248.94</v>
      </c>
      <c r="H659" s="5">
        <f>119 / 86400</f>
        <v>1.3773148148148147E-3</v>
      </c>
      <c r="I659" t="s">
        <v>206</v>
      </c>
      <c r="J659" t="s">
        <v>64</v>
      </c>
      <c r="K659" s="5">
        <f>1023 / 86400</f>
        <v>1.1840277777777778E-2</v>
      </c>
      <c r="L659" s="5">
        <f>26997 / 86400</f>
        <v>0.31246527777777777</v>
      </c>
    </row>
    <row r="660" spans="1:12" x14ac:dyDescent="0.25">
      <c r="A660" s="3">
        <v>45716.324317129634</v>
      </c>
      <c r="B660" t="s">
        <v>161</v>
      </c>
      <c r="C660" s="3">
        <v>45716.451261574075</v>
      </c>
      <c r="D660" t="s">
        <v>388</v>
      </c>
      <c r="E660" s="4">
        <v>51.015000000000001</v>
      </c>
      <c r="F660" s="4">
        <v>57248.94</v>
      </c>
      <c r="G660" s="4">
        <v>57299.955000000002</v>
      </c>
      <c r="H660" s="5">
        <f>3618 / 86400</f>
        <v>4.1875000000000002E-2</v>
      </c>
      <c r="I660" t="s">
        <v>49</v>
      </c>
      <c r="J660" t="s">
        <v>62</v>
      </c>
      <c r="K660" s="5">
        <f>10968 / 86400</f>
        <v>0.12694444444444444</v>
      </c>
      <c r="L660" s="5">
        <f>52 / 86400</f>
        <v>6.018518518518519E-4</v>
      </c>
    </row>
    <row r="661" spans="1:12" x14ac:dyDescent="0.25">
      <c r="A661" s="3">
        <v>45716.451863425929</v>
      </c>
      <c r="B661" t="s">
        <v>388</v>
      </c>
      <c r="C661" s="3">
        <v>45716.5934375</v>
      </c>
      <c r="D661" t="s">
        <v>298</v>
      </c>
      <c r="E661" s="4">
        <v>46.844999999999999</v>
      </c>
      <c r="F661" s="4">
        <v>57299.955000000002</v>
      </c>
      <c r="G661" s="4">
        <v>57346.8</v>
      </c>
      <c r="H661" s="5">
        <f>4960 / 86400</f>
        <v>5.7407407407407407E-2</v>
      </c>
      <c r="I661" t="s">
        <v>44</v>
      </c>
      <c r="J661" t="s">
        <v>72</v>
      </c>
      <c r="K661" s="5">
        <f>12231 / 86400</f>
        <v>0.14156250000000001</v>
      </c>
      <c r="L661" s="5">
        <f>1572 / 86400</f>
        <v>1.8194444444444444E-2</v>
      </c>
    </row>
    <row r="662" spans="1:12" x14ac:dyDescent="0.25">
      <c r="A662" s="3">
        <v>45716.611631944441</v>
      </c>
      <c r="B662" t="s">
        <v>298</v>
      </c>
      <c r="C662" s="3">
        <v>45716.614583333328</v>
      </c>
      <c r="D662" t="s">
        <v>298</v>
      </c>
      <c r="E662" s="4">
        <v>0.56100000000000005</v>
      </c>
      <c r="F662" s="4">
        <v>57346.8</v>
      </c>
      <c r="G662" s="4">
        <v>57347.360999999997</v>
      </c>
      <c r="H662" s="5">
        <f>19 / 86400</f>
        <v>2.199074074074074E-4</v>
      </c>
      <c r="I662" t="s">
        <v>190</v>
      </c>
      <c r="J662" t="s">
        <v>214</v>
      </c>
      <c r="K662" s="5">
        <f>254 / 86400</f>
        <v>2.9398148148148148E-3</v>
      </c>
      <c r="L662" s="5">
        <f>182 / 86400</f>
        <v>2.1064814814814813E-3</v>
      </c>
    </row>
    <row r="663" spans="1:12" x14ac:dyDescent="0.25">
      <c r="A663" s="3">
        <v>45716.616689814815</v>
      </c>
      <c r="B663" t="s">
        <v>314</v>
      </c>
      <c r="C663" s="3">
        <v>45716.866909722223</v>
      </c>
      <c r="D663" t="s">
        <v>136</v>
      </c>
      <c r="E663" s="4">
        <v>89.986999999999995</v>
      </c>
      <c r="F663" s="4">
        <v>57347.360999999997</v>
      </c>
      <c r="G663" s="4">
        <v>57437.347999999998</v>
      </c>
      <c r="H663" s="5">
        <f>7945 / 86400</f>
        <v>9.195601851851852E-2</v>
      </c>
      <c r="I663" t="s">
        <v>81</v>
      </c>
      <c r="J663" t="s">
        <v>35</v>
      </c>
      <c r="K663" s="5">
        <f>21619 / 86400</f>
        <v>0.2502199074074074</v>
      </c>
      <c r="L663" s="5">
        <f>266 / 86400</f>
        <v>3.0787037037037037E-3</v>
      </c>
    </row>
    <row r="664" spans="1:12" x14ac:dyDescent="0.25">
      <c r="A664" s="3">
        <v>45716.869988425926</v>
      </c>
      <c r="B664" t="s">
        <v>136</v>
      </c>
      <c r="C664" s="3">
        <v>45716.871307870373</v>
      </c>
      <c r="D664" t="s">
        <v>135</v>
      </c>
      <c r="E664" s="4">
        <v>0.215</v>
      </c>
      <c r="F664" s="4">
        <v>57437.347999999998</v>
      </c>
      <c r="G664" s="4">
        <v>57437.563000000002</v>
      </c>
      <c r="H664" s="5">
        <f>20 / 86400</f>
        <v>2.3148148148148149E-4</v>
      </c>
      <c r="I664" t="s">
        <v>153</v>
      </c>
      <c r="J664" t="s">
        <v>57</v>
      </c>
      <c r="K664" s="5">
        <f>114 / 86400</f>
        <v>1.3194444444444445E-3</v>
      </c>
      <c r="L664" s="5">
        <f>2 / 86400</f>
        <v>2.3148148148148147E-5</v>
      </c>
    </row>
    <row r="665" spans="1:12" x14ac:dyDescent="0.25">
      <c r="A665" s="3">
        <v>45716.871331018519</v>
      </c>
      <c r="B665" t="s">
        <v>135</v>
      </c>
      <c r="C665" s="3">
        <v>45716.871574074074</v>
      </c>
      <c r="D665" t="s">
        <v>135</v>
      </c>
      <c r="E665" s="4">
        <v>4.0000000000000001E-3</v>
      </c>
      <c r="F665" s="4">
        <v>57437.563000000002</v>
      </c>
      <c r="G665" s="4">
        <v>57437.567000000003</v>
      </c>
      <c r="H665" s="5">
        <f>19 / 86400</f>
        <v>2.199074074074074E-4</v>
      </c>
      <c r="I665" t="s">
        <v>22</v>
      </c>
      <c r="J665" t="s">
        <v>59</v>
      </c>
      <c r="K665" s="5">
        <f>21 / 86400</f>
        <v>2.4305555555555555E-4</v>
      </c>
      <c r="L665" s="5">
        <f>474 / 86400</f>
        <v>5.4861111111111109E-3</v>
      </c>
    </row>
    <row r="666" spans="1:12" x14ac:dyDescent="0.25">
      <c r="A666" s="3">
        <v>45716.877060185187</v>
      </c>
      <c r="B666" t="s">
        <v>135</v>
      </c>
      <c r="C666" s="3">
        <v>45716.89267361111</v>
      </c>
      <c r="D666" t="s">
        <v>48</v>
      </c>
      <c r="E666" s="4">
        <v>4.8040000000000003</v>
      </c>
      <c r="F666" s="4">
        <v>57437.567000000003</v>
      </c>
      <c r="G666" s="4">
        <v>57442.370999999999</v>
      </c>
      <c r="H666" s="5">
        <f>180 / 86400</f>
        <v>2.0833333333333333E-3</v>
      </c>
      <c r="I666" t="s">
        <v>145</v>
      </c>
      <c r="J666" t="s">
        <v>64</v>
      </c>
      <c r="K666" s="5">
        <f>1349 / 86400</f>
        <v>1.5613425925925926E-2</v>
      </c>
      <c r="L666" s="5">
        <f>9272 / 86400</f>
        <v>0.10731481481481482</v>
      </c>
    </row>
    <row r="667" spans="1:1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2" s="10" customFormat="1" ht="20.100000000000001" customHeight="1" x14ac:dyDescent="0.35">
      <c r="A669" s="15" t="s">
        <v>495</v>
      </c>
      <c r="B669" s="15"/>
      <c r="C669" s="15"/>
      <c r="D669" s="15"/>
      <c r="E669" s="15"/>
      <c r="F669" s="15"/>
      <c r="G669" s="15"/>
      <c r="H669" s="15"/>
      <c r="I669" s="15"/>
      <c r="J669" s="15"/>
    </row>
    <row r="670" spans="1:1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</row>
    <row r="671" spans="1:12" ht="30" x14ac:dyDescent="0.25">
      <c r="A671" s="2" t="s">
        <v>6</v>
      </c>
      <c r="B671" s="2" t="s">
        <v>7</v>
      </c>
      <c r="C671" s="2" t="s">
        <v>8</v>
      </c>
      <c r="D671" s="2" t="s">
        <v>9</v>
      </c>
      <c r="E671" s="2" t="s">
        <v>10</v>
      </c>
      <c r="F671" s="2" t="s">
        <v>11</v>
      </c>
      <c r="G671" s="2" t="s">
        <v>12</v>
      </c>
      <c r="H671" s="2" t="s">
        <v>13</v>
      </c>
      <c r="I671" s="2" t="s">
        <v>14</v>
      </c>
      <c r="J671" s="2" t="s">
        <v>15</v>
      </c>
      <c r="K671" s="2" t="s">
        <v>16</v>
      </c>
      <c r="L671" s="2" t="s">
        <v>17</v>
      </c>
    </row>
    <row r="672" spans="1:12" x14ac:dyDescent="0.25">
      <c r="A672" s="3">
        <v>45716.199884259258</v>
      </c>
      <c r="B672" t="s">
        <v>50</v>
      </c>
      <c r="C672" s="3">
        <v>45716.200046296297</v>
      </c>
      <c r="D672" t="s">
        <v>50</v>
      </c>
      <c r="E672" s="4">
        <v>0</v>
      </c>
      <c r="F672" s="4">
        <v>217994.05799999999</v>
      </c>
      <c r="G672" s="4">
        <v>217994.05799999999</v>
      </c>
      <c r="H672" s="5">
        <f>0 / 86400</f>
        <v>0</v>
      </c>
      <c r="I672" t="s">
        <v>22</v>
      </c>
      <c r="J672" t="s">
        <v>22</v>
      </c>
      <c r="K672" s="5">
        <f>14 / 86400</f>
        <v>1.6203703703703703E-4</v>
      </c>
      <c r="L672" s="5">
        <f>17599 / 86400</f>
        <v>0.20369212962962963</v>
      </c>
    </row>
    <row r="673" spans="1:12" x14ac:dyDescent="0.25">
      <c r="A673" s="3">
        <v>45716.20385416667</v>
      </c>
      <c r="B673" t="s">
        <v>50</v>
      </c>
      <c r="C673" s="3">
        <v>45716.211342592593</v>
      </c>
      <c r="D673" t="s">
        <v>134</v>
      </c>
      <c r="E673" s="4">
        <v>0.66600000000000004</v>
      </c>
      <c r="F673" s="4">
        <v>217994.05799999999</v>
      </c>
      <c r="G673" s="4">
        <v>217994.72399999999</v>
      </c>
      <c r="H673" s="5">
        <f>340 / 86400</f>
        <v>3.9351851851851848E-3</v>
      </c>
      <c r="I673" t="s">
        <v>179</v>
      </c>
      <c r="J673" t="s">
        <v>147</v>
      </c>
      <c r="K673" s="5">
        <f>647 / 86400</f>
        <v>7.4884259259259262E-3</v>
      </c>
      <c r="L673" s="5">
        <f>191 / 86400</f>
        <v>2.2106481481481482E-3</v>
      </c>
    </row>
    <row r="674" spans="1:12" x14ac:dyDescent="0.25">
      <c r="A674" s="3">
        <v>45716.213553240741</v>
      </c>
      <c r="B674" t="s">
        <v>134</v>
      </c>
      <c r="C674" s="3">
        <v>45716.213749999995</v>
      </c>
      <c r="D674" t="s">
        <v>134</v>
      </c>
      <c r="E674" s="4">
        <v>0</v>
      </c>
      <c r="F674" s="4">
        <v>217994.72399999999</v>
      </c>
      <c r="G674" s="4">
        <v>217994.72399999999</v>
      </c>
      <c r="H674" s="5">
        <f>0 / 86400</f>
        <v>0</v>
      </c>
      <c r="I674" t="s">
        <v>22</v>
      </c>
      <c r="J674" t="s">
        <v>22</v>
      </c>
      <c r="K674" s="5">
        <f>17 / 86400</f>
        <v>1.9675925925925926E-4</v>
      </c>
      <c r="L674" s="5">
        <f>3 / 86400</f>
        <v>3.4722222222222222E-5</v>
      </c>
    </row>
    <row r="675" spans="1:12" x14ac:dyDescent="0.25">
      <c r="A675" s="3">
        <v>45716.213784722218</v>
      </c>
      <c r="B675" t="s">
        <v>134</v>
      </c>
      <c r="C675" s="3">
        <v>45716.213946759264</v>
      </c>
      <c r="D675" t="s">
        <v>134</v>
      </c>
      <c r="E675" s="4">
        <v>0</v>
      </c>
      <c r="F675" s="4">
        <v>217994.72399999999</v>
      </c>
      <c r="G675" s="4">
        <v>217994.72399999999</v>
      </c>
      <c r="H675" s="5">
        <f>0 / 86400</f>
        <v>0</v>
      </c>
      <c r="I675" t="s">
        <v>22</v>
      </c>
      <c r="J675" t="s">
        <v>22</v>
      </c>
      <c r="K675" s="5">
        <f>14 / 86400</f>
        <v>1.6203703703703703E-4</v>
      </c>
      <c r="L675" s="5">
        <f>400 / 86400</f>
        <v>4.6296296296296294E-3</v>
      </c>
    </row>
    <row r="676" spans="1:12" x14ac:dyDescent="0.25">
      <c r="A676" s="3">
        <v>45716.218576388885</v>
      </c>
      <c r="B676" t="s">
        <v>134</v>
      </c>
      <c r="C676" s="3">
        <v>45716.218912037039</v>
      </c>
      <c r="D676" t="s">
        <v>134</v>
      </c>
      <c r="E676" s="4">
        <v>0</v>
      </c>
      <c r="F676" s="4">
        <v>217994.72399999999</v>
      </c>
      <c r="G676" s="4">
        <v>217994.72399999999</v>
      </c>
      <c r="H676" s="5">
        <f>19 / 86400</f>
        <v>2.199074074074074E-4</v>
      </c>
      <c r="I676" t="s">
        <v>22</v>
      </c>
      <c r="J676" t="s">
        <v>22</v>
      </c>
      <c r="K676" s="5">
        <f>29 / 86400</f>
        <v>3.3564814814814812E-4</v>
      </c>
      <c r="L676" s="5">
        <f>3397 / 86400</f>
        <v>3.9317129629629632E-2</v>
      </c>
    </row>
    <row r="677" spans="1:12" x14ac:dyDescent="0.25">
      <c r="A677" s="3">
        <v>45716.258229166662</v>
      </c>
      <c r="B677" t="s">
        <v>134</v>
      </c>
      <c r="C677" s="3">
        <v>45716.261932870373</v>
      </c>
      <c r="D677" t="s">
        <v>146</v>
      </c>
      <c r="E677" s="4">
        <v>0.249</v>
      </c>
      <c r="F677" s="4">
        <v>217994.72399999999</v>
      </c>
      <c r="G677" s="4">
        <v>217994.973</v>
      </c>
      <c r="H677" s="5">
        <f>199 / 86400</f>
        <v>2.3032407407407407E-3</v>
      </c>
      <c r="I677" t="s">
        <v>130</v>
      </c>
      <c r="J677" t="s">
        <v>33</v>
      </c>
      <c r="K677" s="5">
        <f>319 / 86400</f>
        <v>3.6921296296296298E-3</v>
      </c>
      <c r="L677" s="5">
        <f>300 / 86400</f>
        <v>3.472222222222222E-3</v>
      </c>
    </row>
    <row r="678" spans="1:12" x14ac:dyDescent="0.25">
      <c r="A678" s="3">
        <v>45716.265405092592</v>
      </c>
      <c r="B678" t="s">
        <v>146</v>
      </c>
      <c r="C678" s="3">
        <v>45716.265555555554</v>
      </c>
      <c r="D678" t="s">
        <v>146</v>
      </c>
      <c r="E678" s="4">
        <v>3.0000000000000001E-3</v>
      </c>
      <c r="F678" s="4">
        <v>217994.973</v>
      </c>
      <c r="G678" s="4">
        <v>217994.976</v>
      </c>
      <c r="H678" s="5">
        <f>0 / 86400</f>
        <v>0</v>
      </c>
      <c r="I678" t="s">
        <v>22</v>
      </c>
      <c r="J678" t="s">
        <v>59</v>
      </c>
      <c r="K678" s="5">
        <f>12 / 86400</f>
        <v>1.3888888888888889E-4</v>
      </c>
      <c r="L678" s="5">
        <f>426 / 86400</f>
        <v>4.9305555555555552E-3</v>
      </c>
    </row>
    <row r="679" spans="1:12" x14ac:dyDescent="0.25">
      <c r="A679" s="3">
        <v>45716.270486111112</v>
      </c>
      <c r="B679" t="s">
        <v>146</v>
      </c>
      <c r="C679" s="3">
        <v>45716.483668981484</v>
      </c>
      <c r="D679" t="s">
        <v>136</v>
      </c>
      <c r="E679" s="4">
        <v>99.555000000000007</v>
      </c>
      <c r="F679" s="4">
        <v>217994.976</v>
      </c>
      <c r="G679" s="4">
        <v>218094.53099999999</v>
      </c>
      <c r="H679" s="5">
        <f>6467 / 86400</f>
        <v>7.4849537037037034E-2</v>
      </c>
      <c r="I679" t="s">
        <v>19</v>
      </c>
      <c r="J679" t="s">
        <v>85</v>
      </c>
      <c r="K679" s="5">
        <f>18418 / 86400</f>
        <v>0.2131712962962963</v>
      </c>
      <c r="L679" s="5">
        <f>624 / 86400</f>
        <v>7.2222222222222219E-3</v>
      </c>
    </row>
    <row r="680" spans="1:12" x14ac:dyDescent="0.25">
      <c r="A680" s="3">
        <v>45716.490891203706</v>
      </c>
      <c r="B680" t="s">
        <v>136</v>
      </c>
      <c r="C680" s="3">
        <v>45716.496967592597</v>
      </c>
      <c r="D680" t="s">
        <v>50</v>
      </c>
      <c r="E680" s="4">
        <v>0.90700000000000003</v>
      </c>
      <c r="F680" s="4">
        <v>218094.53099999999</v>
      </c>
      <c r="G680" s="4">
        <v>218095.43799999999</v>
      </c>
      <c r="H680" s="5">
        <f>321 / 86400</f>
        <v>3.7152777777777778E-3</v>
      </c>
      <c r="I680" t="s">
        <v>164</v>
      </c>
      <c r="J680" t="s">
        <v>137</v>
      </c>
      <c r="K680" s="5">
        <f>525 / 86400</f>
        <v>6.076388888888889E-3</v>
      </c>
      <c r="L680" s="5">
        <f>10656 / 86400</f>
        <v>0.12333333333333334</v>
      </c>
    </row>
    <row r="681" spans="1:12" x14ac:dyDescent="0.25">
      <c r="A681" s="3">
        <v>45716.620300925926</v>
      </c>
      <c r="B681" t="s">
        <v>50</v>
      </c>
      <c r="C681" s="3">
        <v>45716.62427083333</v>
      </c>
      <c r="D681" t="s">
        <v>389</v>
      </c>
      <c r="E681" s="4">
        <v>0.86799999999999999</v>
      </c>
      <c r="F681" s="4">
        <v>218095.43799999999</v>
      </c>
      <c r="G681" s="4">
        <v>218096.30600000001</v>
      </c>
      <c r="H681" s="5">
        <f>99 / 86400</f>
        <v>1.1458333333333333E-3</v>
      </c>
      <c r="I681" t="s">
        <v>167</v>
      </c>
      <c r="J681" t="s">
        <v>132</v>
      </c>
      <c r="K681" s="5">
        <f>343 / 86400</f>
        <v>3.9699074074074072E-3</v>
      </c>
      <c r="L681" s="5">
        <f>121 / 86400</f>
        <v>1.4004629629629629E-3</v>
      </c>
    </row>
    <row r="682" spans="1:12" x14ac:dyDescent="0.25">
      <c r="A682" s="3">
        <v>45716.625671296293</v>
      </c>
      <c r="B682" t="s">
        <v>389</v>
      </c>
      <c r="C682" s="3">
        <v>45716.625775462962</v>
      </c>
      <c r="D682" t="s">
        <v>389</v>
      </c>
      <c r="E682" s="4">
        <v>0</v>
      </c>
      <c r="F682" s="4">
        <v>218096.30600000001</v>
      </c>
      <c r="G682" s="4">
        <v>218096.30600000001</v>
      </c>
      <c r="H682" s="5">
        <f>0 / 86400</f>
        <v>0</v>
      </c>
      <c r="I682" t="s">
        <v>22</v>
      </c>
      <c r="J682" t="s">
        <v>22</v>
      </c>
      <c r="K682" s="5">
        <f>8 / 86400</f>
        <v>9.2592592592592588E-5</v>
      </c>
      <c r="L682" s="5">
        <f>5103 / 86400</f>
        <v>5.9062499999999997E-2</v>
      </c>
    </row>
    <row r="683" spans="1:12" x14ac:dyDescent="0.25">
      <c r="A683" s="3">
        <v>45716.684837962966</v>
      </c>
      <c r="B683" t="s">
        <v>389</v>
      </c>
      <c r="C683" s="3">
        <v>45716.686874999999</v>
      </c>
      <c r="D683" t="s">
        <v>389</v>
      </c>
      <c r="E683" s="4">
        <v>3.1E-2</v>
      </c>
      <c r="F683" s="4">
        <v>218096.30600000001</v>
      </c>
      <c r="G683" s="4">
        <v>218096.337</v>
      </c>
      <c r="H683" s="5">
        <f>119 / 86400</f>
        <v>1.3773148148148147E-3</v>
      </c>
      <c r="I683" t="s">
        <v>33</v>
      </c>
      <c r="J683" t="s">
        <v>59</v>
      </c>
      <c r="K683" s="5">
        <f>176 / 86400</f>
        <v>2.0370370370370369E-3</v>
      </c>
      <c r="L683" s="5">
        <f>12133 / 86400</f>
        <v>0.14042824074074073</v>
      </c>
    </row>
    <row r="684" spans="1:12" x14ac:dyDescent="0.25">
      <c r="A684" s="3">
        <v>45716.827303240745</v>
      </c>
      <c r="B684" t="s">
        <v>389</v>
      </c>
      <c r="C684" s="3">
        <v>45716.832766203705</v>
      </c>
      <c r="D684" t="s">
        <v>50</v>
      </c>
      <c r="E684" s="4">
        <v>1.423</v>
      </c>
      <c r="F684" s="4">
        <v>218096.337</v>
      </c>
      <c r="G684" s="4">
        <v>218097.76</v>
      </c>
      <c r="H684" s="5">
        <f>119 / 86400</f>
        <v>1.3773148148148147E-3</v>
      </c>
      <c r="I684" t="s">
        <v>207</v>
      </c>
      <c r="J684" t="s">
        <v>100</v>
      </c>
      <c r="K684" s="5">
        <f>471 / 86400</f>
        <v>5.4513888888888893E-3</v>
      </c>
      <c r="L684" s="5">
        <f>8 / 86400</f>
        <v>9.2592592592592588E-5</v>
      </c>
    </row>
    <row r="685" spans="1:12" x14ac:dyDescent="0.25">
      <c r="A685" s="3">
        <v>45716.832858796297</v>
      </c>
      <c r="B685" t="s">
        <v>50</v>
      </c>
      <c r="C685" s="3">
        <v>45716.832986111112</v>
      </c>
      <c r="D685" t="s">
        <v>50</v>
      </c>
      <c r="E685" s="4">
        <v>0</v>
      </c>
      <c r="F685" s="4">
        <v>218097.76</v>
      </c>
      <c r="G685" s="4">
        <v>218097.76</v>
      </c>
      <c r="H685" s="5">
        <f>2 / 86400</f>
        <v>2.3148148148148147E-5</v>
      </c>
      <c r="I685" t="s">
        <v>22</v>
      </c>
      <c r="J685" t="s">
        <v>22</v>
      </c>
      <c r="K685" s="5">
        <f>11 / 86400</f>
        <v>1.273148148148148E-4</v>
      </c>
      <c r="L685" s="5">
        <f>32 / 86400</f>
        <v>3.7037037037037035E-4</v>
      </c>
    </row>
    <row r="686" spans="1:12" x14ac:dyDescent="0.25">
      <c r="A686" s="3">
        <v>45716.833356481482</v>
      </c>
      <c r="B686" t="s">
        <v>50</v>
      </c>
      <c r="C686" s="3">
        <v>45716.833506944444</v>
      </c>
      <c r="D686" t="s">
        <v>50</v>
      </c>
      <c r="E686" s="4">
        <v>0</v>
      </c>
      <c r="F686" s="4">
        <v>218097.76</v>
      </c>
      <c r="G686" s="4">
        <v>218097.76</v>
      </c>
      <c r="H686" s="5">
        <f>0 / 86400</f>
        <v>0</v>
      </c>
      <c r="I686" t="s">
        <v>22</v>
      </c>
      <c r="J686" t="s">
        <v>22</v>
      </c>
      <c r="K686" s="5">
        <f>12 / 86400</f>
        <v>1.3888888888888889E-4</v>
      </c>
      <c r="L686" s="5">
        <f>14384 / 86400</f>
        <v>0.16648148148148148</v>
      </c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</row>
    <row r="689" spans="1:12" s="10" customFormat="1" ht="20.100000000000001" customHeight="1" x14ac:dyDescent="0.35">
      <c r="A689" s="15" t="s">
        <v>496</v>
      </c>
      <c r="B689" s="15"/>
      <c r="C689" s="15"/>
      <c r="D689" s="15"/>
      <c r="E689" s="15"/>
      <c r="F689" s="15"/>
      <c r="G689" s="15"/>
      <c r="H689" s="15"/>
      <c r="I689" s="15"/>
      <c r="J689" s="15"/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2" ht="30" x14ac:dyDescent="0.25">
      <c r="A691" s="2" t="s">
        <v>6</v>
      </c>
      <c r="B691" s="2" t="s">
        <v>7</v>
      </c>
      <c r="C691" s="2" t="s">
        <v>8</v>
      </c>
      <c r="D691" s="2" t="s">
        <v>9</v>
      </c>
      <c r="E691" s="2" t="s">
        <v>10</v>
      </c>
      <c r="F691" s="2" t="s">
        <v>11</v>
      </c>
      <c r="G691" s="2" t="s">
        <v>12</v>
      </c>
      <c r="H691" s="2" t="s">
        <v>13</v>
      </c>
      <c r="I691" s="2" t="s">
        <v>14</v>
      </c>
      <c r="J691" s="2" t="s">
        <v>15</v>
      </c>
      <c r="K691" s="2" t="s">
        <v>16</v>
      </c>
      <c r="L691" s="2" t="s">
        <v>17</v>
      </c>
    </row>
    <row r="692" spans="1:12" x14ac:dyDescent="0.25">
      <c r="A692" s="3">
        <v>45716.277361111112</v>
      </c>
      <c r="B692" t="s">
        <v>51</v>
      </c>
      <c r="C692" s="3">
        <v>45716.285462962958</v>
      </c>
      <c r="D692" t="s">
        <v>169</v>
      </c>
      <c r="E692" s="4">
        <v>1.605</v>
      </c>
      <c r="F692" s="4">
        <v>527773.08700000006</v>
      </c>
      <c r="G692" s="4">
        <v>527774.69200000004</v>
      </c>
      <c r="H692" s="5">
        <f>259 / 86400</f>
        <v>2.9976851851851853E-3</v>
      </c>
      <c r="I692" t="s">
        <v>142</v>
      </c>
      <c r="J692" t="s">
        <v>214</v>
      </c>
      <c r="K692" s="5">
        <f>700 / 86400</f>
        <v>8.1018518518518514E-3</v>
      </c>
      <c r="L692" s="5">
        <f>27166 / 86400</f>
        <v>0.31442129629629628</v>
      </c>
    </row>
    <row r="693" spans="1:12" x14ac:dyDescent="0.25">
      <c r="A693" s="3">
        <v>45716.322523148148</v>
      </c>
      <c r="B693" t="s">
        <v>169</v>
      </c>
      <c r="C693" s="3">
        <v>45716.380729166667</v>
      </c>
      <c r="D693" t="s">
        <v>277</v>
      </c>
      <c r="E693" s="4">
        <v>19.824999999940395</v>
      </c>
      <c r="F693" s="4">
        <v>527774.69200000004</v>
      </c>
      <c r="G693" s="4">
        <v>527794.51699999999</v>
      </c>
      <c r="H693" s="5">
        <f>1899 / 86400</f>
        <v>2.1979166666666668E-2</v>
      </c>
      <c r="I693" t="s">
        <v>264</v>
      </c>
      <c r="J693" t="s">
        <v>72</v>
      </c>
      <c r="K693" s="5">
        <f>5028 / 86400</f>
        <v>5.8194444444444444E-2</v>
      </c>
      <c r="L693" s="5">
        <f>386 / 86400</f>
        <v>4.4675925925925924E-3</v>
      </c>
    </row>
    <row r="694" spans="1:12" x14ac:dyDescent="0.25">
      <c r="A694" s="3">
        <v>45716.385196759264</v>
      </c>
      <c r="B694" t="s">
        <v>277</v>
      </c>
      <c r="C694" s="3">
        <v>45716.394328703704</v>
      </c>
      <c r="D694" t="s">
        <v>186</v>
      </c>
      <c r="E694" s="4">
        <v>4.0430000000596049</v>
      </c>
      <c r="F694" s="4">
        <v>527794.51699999999</v>
      </c>
      <c r="G694" s="4">
        <v>527798.56000000006</v>
      </c>
      <c r="H694" s="5">
        <f>180 / 86400</f>
        <v>2.0833333333333333E-3</v>
      </c>
      <c r="I694" t="s">
        <v>70</v>
      </c>
      <c r="J694" t="s">
        <v>20</v>
      </c>
      <c r="K694" s="5">
        <f>788 / 86400</f>
        <v>9.1203703703703707E-3</v>
      </c>
      <c r="L694" s="5">
        <f>15 / 86400</f>
        <v>1.7361111111111112E-4</v>
      </c>
    </row>
    <row r="695" spans="1:12" x14ac:dyDescent="0.25">
      <c r="A695" s="3">
        <v>45716.394502314812</v>
      </c>
      <c r="B695" t="s">
        <v>186</v>
      </c>
      <c r="C695" s="3">
        <v>45716.467152777783</v>
      </c>
      <c r="D695" t="s">
        <v>98</v>
      </c>
      <c r="E695" s="4">
        <v>38.054999999940392</v>
      </c>
      <c r="F695" s="4">
        <v>527798.56000000006</v>
      </c>
      <c r="G695" s="4">
        <v>527836.61499999999</v>
      </c>
      <c r="H695" s="5">
        <f>1420 / 86400</f>
        <v>1.6435185185185185E-2</v>
      </c>
      <c r="I695" t="s">
        <v>129</v>
      </c>
      <c r="J695" t="s">
        <v>130</v>
      </c>
      <c r="K695" s="5">
        <f>6276 / 86400</f>
        <v>7.2638888888888892E-2</v>
      </c>
      <c r="L695" s="5">
        <f>648 / 86400</f>
        <v>7.4999999999999997E-3</v>
      </c>
    </row>
    <row r="696" spans="1:12" x14ac:dyDescent="0.25">
      <c r="A696" s="3">
        <v>45716.474652777775</v>
      </c>
      <c r="B696" t="s">
        <v>98</v>
      </c>
      <c r="C696" s="3">
        <v>45716.478680555556</v>
      </c>
      <c r="D696" t="s">
        <v>134</v>
      </c>
      <c r="E696" s="4">
        <v>0.31299999994039535</v>
      </c>
      <c r="F696" s="4">
        <v>527836.61499999999</v>
      </c>
      <c r="G696" s="4">
        <v>527836.92799999996</v>
      </c>
      <c r="H696" s="5">
        <f>180 / 86400</f>
        <v>2.0833333333333333E-3</v>
      </c>
      <c r="I696" t="s">
        <v>28</v>
      </c>
      <c r="J696" t="s">
        <v>33</v>
      </c>
      <c r="K696" s="5">
        <f>348 / 86400</f>
        <v>4.0277777777777777E-3</v>
      </c>
      <c r="L696" s="5">
        <f>16449 / 86400</f>
        <v>0.19038194444444445</v>
      </c>
    </row>
    <row r="697" spans="1:12" x14ac:dyDescent="0.25">
      <c r="A697" s="3">
        <v>45716.669062500005</v>
      </c>
      <c r="B697" t="s">
        <v>136</v>
      </c>
      <c r="C697" s="3">
        <v>45716.674432870372</v>
      </c>
      <c r="D697" t="s">
        <v>136</v>
      </c>
      <c r="E697" s="4">
        <v>0.10100000005960465</v>
      </c>
      <c r="F697" s="4">
        <v>527836.92799999996</v>
      </c>
      <c r="G697" s="4">
        <v>527837.02899999998</v>
      </c>
      <c r="H697" s="5">
        <f>399 / 86400</f>
        <v>4.6180555555555558E-3</v>
      </c>
      <c r="I697" t="s">
        <v>108</v>
      </c>
      <c r="J697" t="s">
        <v>59</v>
      </c>
      <c r="K697" s="5">
        <f>463 / 86400</f>
        <v>5.3587962962962964E-3</v>
      </c>
      <c r="L697" s="5">
        <f>570 / 86400</f>
        <v>6.5972222222222222E-3</v>
      </c>
    </row>
    <row r="698" spans="1:12" x14ac:dyDescent="0.25">
      <c r="A698" s="3">
        <v>45716.681030092594</v>
      </c>
      <c r="B698" t="s">
        <v>136</v>
      </c>
      <c r="C698" s="3">
        <v>45716.681134259255</v>
      </c>
      <c r="D698" t="s">
        <v>136</v>
      </c>
      <c r="E698" s="4">
        <v>0</v>
      </c>
      <c r="F698" s="4">
        <v>527837.02899999998</v>
      </c>
      <c r="G698" s="4">
        <v>527837.02899999998</v>
      </c>
      <c r="H698" s="5">
        <f>0 / 86400</f>
        <v>0</v>
      </c>
      <c r="I698" t="s">
        <v>22</v>
      </c>
      <c r="J698" t="s">
        <v>22</v>
      </c>
      <c r="K698" s="5">
        <f>9 / 86400</f>
        <v>1.0416666666666667E-4</v>
      </c>
      <c r="L698" s="5">
        <f>136 / 86400</f>
        <v>1.5740740740740741E-3</v>
      </c>
    </row>
    <row r="699" spans="1:12" x14ac:dyDescent="0.25">
      <c r="A699" s="3">
        <v>45716.682708333334</v>
      </c>
      <c r="B699" t="s">
        <v>136</v>
      </c>
      <c r="C699" s="3">
        <v>45716.686388888891</v>
      </c>
      <c r="D699" t="s">
        <v>136</v>
      </c>
      <c r="E699" s="4">
        <v>0.24699999994039534</v>
      </c>
      <c r="F699" s="4">
        <v>527837.02899999998</v>
      </c>
      <c r="G699" s="4">
        <v>527837.27599999995</v>
      </c>
      <c r="H699" s="5">
        <f>139 / 86400</f>
        <v>1.6087962962962963E-3</v>
      </c>
      <c r="I699" t="s">
        <v>100</v>
      </c>
      <c r="J699" t="s">
        <v>33</v>
      </c>
      <c r="K699" s="5">
        <f>318 / 86400</f>
        <v>3.6805555555555554E-3</v>
      </c>
      <c r="L699" s="5">
        <f>1223 / 86400</f>
        <v>1.4155092592592592E-2</v>
      </c>
    </row>
    <row r="700" spans="1:12" x14ac:dyDescent="0.25">
      <c r="A700" s="3">
        <v>45716.700543981482</v>
      </c>
      <c r="B700" t="s">
        <v>136</v>
      </c>
      <c r="C700" s="3">
        <v>45716.710856481484</v>
      </c>
      <c r="D700" t="s">
        <v>119</v>
      </c>
      <c r="E700" s="4">
        <v>1.0330000000596047</v>
      </c>
      <c r="F700" s="4">
        <v>527837.27599999995</v>
      </c>
      <c r="G700" s="4">
        <v>527838.30900000001</v>
      </c>
      <c r="H700" s="5">
        <f>580 / 86400</f>
        <v>6.7129629629629631E-3</v>
      </c>
      <c r="I700" t="s">
        <v>164</v>
      </c>
      <c r="J700" t="s">
        <v>147</v>
      </c>
      <c r="K700" s="5">
        <f>891 / 86400</f>
        <v>1.03125E-2</v>
      </c>
      <c r="L700" s="5">
        <f>304 / 86400</f>
        <v>3.5185185185185185E-3</v>
      </c>
    </row>
    <row r="701" spans="1:12" x14ac:dyDescent="0.25">
      <c r="A701" s="3">
        <v>45716.714374999996</v>
      </c>
      <c r="B701" t="s">
        <v>119</v>
      </c>
      <c r="C701" s="3">
        <v>45716.715173611112</v>
      </c>
      <c r="D701" t="s">
        <v>119</v>
      </c>
      <c r="E701" s="4">
        <v>2.1999999999999999E-2</v>
      </c>
      <c r="F701" s="4">
        <v>527838.30900000001</v>
      </c>
      <c r="G701" s="4">
        <v>527838.33100000001</v>
      </c>
      <c r="H701" s="5">
        <f>39 / 86400</f>
        <v>4.5138888888888887E-4</v>
      </c>
      <c r="I701" t="s">
        <v>25</v>
      </c>
      <c r="J701" t="s">
        <v>59</v>
      </c>
      <c r="K701" s="5">
        <f>69 / 86400</f>
        <v>7.9861111111111116E-4</v>
      </c>
      <c r="L701" s="5">
        <f>110 / 86400</f>
        <v>1.2731481481481483E-3</v>
      </c>
    </row>
    <row r="702" spans="1:12" x14ac:dyDescent="0.25">
      <c r="A702" s="3">
        <v>45716.716446759259</v>
      </c>
      <c r="B702" t="s">
        <v>119</v>
      </c>
      <c r="C702" s="3">
        <v>45716.717777777776</v>
      </c>
      <c r="D702" t="s">
        <v>146</v>
      </c>
      <c r="E702" s="4">
        <v>1.8000000059604646E-2</v>
      </c>
      <c r="F702" s="4">
        <v>527838.33100000001</v>
      </c>
      <c r="G702" s="4">
        <v>527838.34900000005</v>
      </c>
      <c r="H702" s="5">
        <f>79 / 86400</f>
        <v>9.1435185185185185E-4</v>
      </c>
      <c r="I702" t="s">
        <v>147</v>
      </c>
      <c r="J702" t="s">
        <v>59</v>
      </c>
      <c r="K702" s="5">
        <f>114 / 86400</f>
        <v>1.3194444444444445E-3</v>
      </c>
      <c r="L702" s="5">
        <f>73 / 86400</f>
        <v>8.4490740740740739E-4</v>
      </c>
    </row>
    <row r="703" spans="1:12" x14ac:dyDescent="0.25">
      <c r="A703" s="3">
        <v>45716.718622685185</v>
      </c>
      <c r="B703" t="s">
        <v>146</v>
      </c>
      <c r="C703" s="3">
        <v>45716.86582175926</v>
      </c>
      <c r="D703" t="s">
        <v>51</v>
      </c>
      <c r="E703" s="4">
        <v>59.081999999940393</v>
      </c>
      <c r="F703" s="4">
        <v>527838.34900000005</v>
      </c>
      <c r="G703" s="4">
        <v>527897.43099999998</v>
      </c>
      <c r="H703" s="5">
        <f>3961 / 86400</f>
        <v>4.5844907407407411E-2</v>
      </c>
      <c r="I703" t="s">
        <v>52</v>
      </c>
      <c r="J703" t="s">
        <v>62</v>
      </c>
      <c r="K703" s="5">
        <f>12717 / 86400</f>
        <v>0.1471875</v>
      </c>
      <c r="L703" s="5">
        <f>11592 / 86400</f>
        <v>0.13416666666666666</v>
      </c>
    </row>
    <row r="704" spans="1:1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s="10" customFormat="1" ht="20.100000000000001" customHeight="1" x14ac:dyDescent="0.35">
      <c r="A706" s="15" t="s">
        <v>497</v>
      </c>
      <c r="B706" s="15"/>
      <c r="C706" s="15"/>
      <c r="D706" s="15"/>
      <c r="E706" s="15"/>
      <c r="F706" s="15"/>
      <c r="G706" s="15"/>
      <c r="H706" s="15"/>
      <c r="I706" s="15"/>
      <c r="J706" s="15"/>
    </row>
    <row r="707" spans="1:1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2" ht="30" x14ac:dyDescent="0.25">
      <c r="A708" s="2" t="s">
        <v>6</v>
      </c>
      <c r="B708" s="2" t="s">
        <v>7</v>
      </c>
      <c r="C708" s="2" t="s">
        <v>8</v>
      </c>
      <c r="D708" s="2" t="s">
        <v>9</v>
      </c>
      <c r="E708" s="2" t="s">
        <v>10</v>
      </c>
      <c r="F708" s="2" t="s">
        <v>11</v>
      </c>
      <c r="G708" s="2" t="s">
        <v>12</v>
      </c>
      <c r="H708" s="2" t="s">
        <v>13</v>
      </c>
      <c r="I708" s="2" t="s">
        <v>14</v>
      </c>
      <c r="J708" s="2" t="s">
        <v>15</v>
      </c>
      <c r="K708" s="2" t="s">
        <v>16</v>
      </c>
      <c r="L708" s="2" t="s">
        <v>17</v>
      </c>
    </row>
    <row r="709" spans="1:12" x14ac:dyDescent="0.25">
      <c r="A709" s="3">
        <v>45716.244976851856</v>
      </c>
      <c r="B709" t="s">
        <v>53</v>
      </c>
      <c r="C709" s="3">
        <v>45716.371840277774</v>
      </c>
      <c r="D709" t="s">
        <v>150</v>
      </c>
      <c r="E709" s="4">
        <v>49.305999999999997</v>
      </c>
      <c r="F709" s="4">
        <v>347159.288</v>
      </c>
      <c r="G709" s="4">
        <v>347208.59399999998</v>
      </c>
      <c r="H709" s="5">
        <f>3581 / 86400</f>
        <v>4.144675925925926E-2</v>
      </c>
      <c r="I709" t="s">
        <v>54</v>
      </c>
      <c r="J709" t="s">
        <v>31</v>
      </c>
      <c r="K709" s="5">
        <f>10961 / 86400</f>
        <v>0.12686342592592592</v>
      </c>
      <c r="L709" s="5">
        <f>21168 / 86400</f>
        <v>0.245</v>
      </c>
    </row>
    <row r="710" spans="1:12" x14ac:dyDescent="0.25">
      <c r="A710" s="3">
        <v>45716.371863425928</v>
      </c>
      <c r="B710" t="s">
        <v>150</v>
      </c>
      <c r="C710" s="3">
        <v>45716.372291666667</v>
      </c>
      <c r="D710" t="s">
        <v>150</v>
      </c>
      <c r="E710" s="4">
        <v>7.0000000000000001E-3</v>
      </c>
      <c r="F710" s="4">
        <v>347208.59399999998</v>
      </c>
      <c r="G710" s="4">
        <v>347208.60100000002</v>
      </c>
      <c r="H710" s="5">
        <f>20 / 86400</f>
        <v>2.3148148148148149E-4</v>
      </c>
      <c r="I710" t="s">
        <v>59</v>
      </c>
      <c r="J710" t="s">
        <v>59</v>
      </c>
      <c r="K710" s="5">
        <f>37 / 86400</f>
        <v>4.2824074074074075E-4</v>
      </c>
      <c r="L710" s="5">
        <f>22 / 86400</f>
        <v>2.5462962962962961E-4</v>
      </c>
    </row>
    <row r="711" spans="1:12" x14ac:dyDescent="0.25">
      <c r="A711" s="3">
        <v>45716.372546296298</v>
      </c>
      <c r="B711" t="s">
        <v>150</v>
      </c>
      <c r="C711" s="3">
        <v>45716.373622685191</v>
      </c>
      <c r="D711" t="s">
        <v>150</v>
      </c>
      <c r="E711" s="4">
        <v>7.0999999999999994E-2</v>
      </c>
      <c r="F711" s="4">
        <v>347208.60100000002</v>
      </c>
      <c r="G711" s="4">
        <v>347208.67200000002</v>
      </c>
      <c r="H711" s="5">
        <f>39 / 86400</f>
        <v>4.5138888888888887E-4</v>
      </c>
      <c r="I711" t="s">
        <v>20</v>
      </c>
      <c r="J711" t="s">
        <v>33</v>
      </c>
      <c r="K711" s="5">
        <f>93 / 86400</f>
        <v>1.0763888888888889E-3</v>
      </c>
      <c r="L711" s="5">
        <f>940 / 86400</f>
        <v>1.087962962962963E-2</v>
      </c>
    </row>
    <row r="712" spans="1:12" x14ac:dyDescent="0.25">
      <c r="A712" s="3">
        <v>45716.384502314817</v>
      </c>
      <c r="B712" t="s">
        <v>150</v>
      </c>
      <c r="C712" s="3">
        <v>45716.490104166667</v>
      </c>
      <c r="D712" t="s">
        <v>390</v>
      </c>
      <c r="E712" s="4">
        <v>34.918999999999997</v>
      </c>
      <c r="F712" s="4">
        <v>347208.67200000002</v>
      </c>
      <c r="G712" s="4">
        <v>347243.59100000001</v>
      </c>
      <c r="H712" s="5">
        <f>3778 / 86400</f>
        <v>4.372685185185185E-2</v>
      </c>
      <c r="I712" t="s">
        <v>175</v>
      </c>
      <c r="J712" t="s">
        <v>72</v>
      </c>
      <c r="K712" s="5">
        <f>9123 / 86400</f>
        <v>0.10559027777777778</v>
      </c>
      <c r="L712" s="5">
        <f>168 / 86400</f>
        <v>1.9444444444444444E-3</v>
      </c>
    </row>
    <row r="713" spans="1:12" x14ac:dyDescent="0.25">
      <c r="A713" s="3">
        <v>45716.492048611108</v>
      </c>
      <c r="B713" t="s">
        <v>343</v>
      </c>
      <c r="C713" s="3">
        <v>45716.540798611109</v>
      </c>
      <c r="D713" t="s">
        <v>161</v>
      </c>
      <c r="E713" s="4">
        <v>23.78</v>
      </c>
      <c r="F713" s="4">
        <v>347243.59100000001</v>
      </c>
      <c r="G713" s="4">
        <v>347267.37099999998</v>
      </c>
      <c r="H713" s="5">
        <f>998 / 86400</f>
        <v>1.1550925925925926E-2</v>
      </c>
      <c r="I713" t="s">
        <v>39</v>
      </c>
      <c r="J713" t="s">
        <v>108</v>
      </c>
      <c r="K713" s="5">
        <f>4211 / 86400</f>
        <v>4.8738425925925928E-2</v>
      </c>
      <c r="L713" s="5">
        <f>419 / 86400</f>
        <v>4.8495370370370368E-3</v>
      </c>
    </row>
    <row r="714" spans="1:12" x14ac:dyDescent="0.25">
      <c r="A714" s="3">
        <v>45716.545648148152</v>
      </c>
      <c r="B714" t="s">
        <v>161</v>
      </c>
      <c r="C714" s="3">
        <v>45716.55232638889</v>
      </c>
      <c r="D714" t="s">
        <v>162</v>
      </c>
      <c r="E714" s="4">
        <v>0.95699999999999996</v>
      </c>
      <c r="F714" s="4">
        <v>347267.37099999998</v>
      </c>
      <c r="G714" s="4">
        <v>347268.32799999998</v>
      </c>
      <c r="H714" s="5">
        <f>300 / 86400</f>
        <v>3.472222222222222E-3</v>
      </c>
      <c r="I714" t="s">
        <v>236</v>
      </c>
      <c r="J714" t="s">
        <v>137</v>
      </c>
      <c r="K714" s="5">
        <f>576 / 86400</f>
        <v>6.6666666666666671E-3</v>
      </c>
      <c r="L714" s="5">
        <f>4417 / 86400</f>
        <v>5.1122685185185188E-2</v>
      </c>
    </row>
    <row r="715" spans="1:12" x14ac:dyDescent="0.25">
      <c r="A715" s="3">
        <v>45716.603449074071</v>
      </c>
      <c r="B715" t="s">
        <v>162</v>
      </c>
      <c r="C715" s="3">
        <v>45716.814745370371</v>
      </c>
      <c r="D715" t="s">
        <v>169</v>
      </c>
      <c r="E715" s="4">
        <v>74.08</v>
      </c>
      <c r="F715" s="4">
        <v>347268.32799999998</v>
      </c>
      <c r="G715" s="4">
        <v>347342.408</v>
      </c>
      <c r="H715" s="5">
        <f>6807 / 86400</f>
        <v>7.8784722222222228E-2</v>
      </c>
      <c r="I715" t="s">
        <v>66</v>
      </c>
      <c r="J715" t="s">
        <v>35</v>
      </c>
      <c r="K715" s="5">
        <f>18256 / 86400</f>
        <v>0.21129629629629629</v>
      </c>
      <c r="L715" s="5">
        <f>490 / 86400</f>
        <v>5.6712962962962967E-3</v>
      </c>
    </row>
    <row r="716" spans="1:12" x14ac:dyDescent="0.25">
      <c r="A716" s="3">
        <v>45716.820416666669</v>
      </c>
      <c r="B716" t="s">
        <v>169</v>
      </c>
      <c r="C716" s="3">
        <v>45716.860439814816</v>
      </c>
      <c r="D716" t="s">
        <v>136</v>
      </c>
      <c r="E716" s="4">
        <v>19.84</v>
      </c>
      <c r="F716" s="4">
        <v>347342.408</v>
      </c>
      <c r="G716" s="4">
        <v>347362.24800000002</v>
      </c>
      <c r="H716" s="5">
        <f>920 / 86400</f>
        <v>1.0648148148148148E-2</v>
      </c>
      <c r="I716" t="s">
        <v>178</v>
      </c>
      <c r="J716" t="s">
        <v>190</v>
      </c>
      <c r="K716" s="5">
        <f>3457 / 86400</f>
        <v>4.0011574074074074E-2</v>
      </c>
      <c r="L716" s="5">
        <f>315 / 86400</f>
        <v>3.6458333333333334E-3</v>
      </c>
    </row>
    <row r="717" spans="1:12" x14ac:dyDescent="0.25">
      <c r="A717" s="3">
        <v>45716.864085648151</v>
      </c>
      <c r="B717" t="s">
        <v>136</v>
      </c>
      <c r="C717" s="3">
        <v>45716.869513888887</v>
      </c>
      <c r="D717" t="s">
        <v>135</v>
      </c>
      <c r="E717" s="4">
        <v>0.20899999999999999</v>
      </c>
      <c r="F717" s="4">
        <v>347362.24800000002</v>
      </c>
      <c r="G717" s="4">
        <v>347362.45699999999</v>
      </c>
      <c r="H717" s="5">
        <f>360 / 86400</f>
        <v>4.1666666666666666E-3</v>
      </c>
      <c r="I717" t="s">
        <v>100</v>
      </c>
      <c r="J717" t="s">
        <v>156</v>
      </c>
      <c r="K717" s="5">
        <f>468 / 86400</f>
        <v>5.4166666666666669E-3</v>
      </c>
      <c r="L717" s="5">
        <f>214 / 86400</f>
        <v>2.476851851851852E-3</v>
      </c>
    </row>
    <row r="718" spans="1:12" x14ac:dyDescent="0.25">
      <c r="A718" s="3">
        <v>45716.871990740736</v>
      </c>
      <c r="B718" t="s">
        <v>135</v>
      </c>
      <c r="C718" s="3">
        <v>45716.878865740742</v>
      </c>
      <c r="D718" t="s">
        <v>53</v>
      </c>
      <c r="E718" s="4">
        <v>0.84699999999999998</v>
      </c>
      <c r="F718" s="4">
        <v>347362.45699999999</v>
      </c>
      <c r="G718" s="4">
        <v>347363.304</v>
      </c>
      <c r="H718" s="5">
        <f>335 / 86400</f>
        <v>3.8773148148148148E-3</v>
      </c>
      <c r="I718" t="s">
        <v>164</v>
      </c>
      <c r="J718" t="s">
        <v>25</v>
      </c>
      <c r="K718" s="5">
        <f>593 / 86400</f>
        <v>6.8634259259259256E-3</v>
      </c>
      <c r="L718" s="5">
        <f>10465 / 86400</f>
        <v>0.12112268518518518</v>
      </c>
    </row>
    <row r="719" spans="1:1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s="10" customFormat="1" ht="20.100000000000001" customHeight="1" x14ac:dyDescent="0.35">
      <c r="A721" s="15" t="s">
        <v>498</v>
      </c>
      <c r="B721" s="15"/>
      <c r="C721" s="15"/>
      <c r="D721" s="15"/>
      <c r="E721" s="15"/>
      <c r="F721" s="15"/>
      <c r="G721" s="15"/>
      <c r="H721" s="15"/>
      <c r="I721" s="15"/>
      <c r="J721" s="15"/>
    </row>
    <row r="722" spans="1:1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</row>
    <row r="723" spans="1:12" ht="30" x14ac:dyDescent="0.25">
      <c r="A723" s="2" t="s">
        <v>6</v>
      </c>
      <c r="B723" s="2" t="s">
        <v>7</v>
      </c>
      <c r="C723" s="2" t="s">
        <v>8</v>
      </c>
      <c r="D723" s="2" t="s">
        <v>9</v>
      </c>
      <c r="E723" s="2" t="s">
        <v>10</v>
      </c>
      <c r="F723" s="2" t="s">
        <v>11</v>
      </c>
      <c r="G723" s="2" t="s">
        <v>12</v>
      </c>
      <c r="H723" s="2" t="s">
        <v>13</v>
      </c>
      <c r="I723" s="2" t="s">
        <v>14</v>
      </c>
      <c r="J723" s="2" t="s">
        <v>15</v>
      </c>
      <c r="K723" s="2" t="s">
        <v>16</v>
      </c>
      <c r="L723" s="2" t="s">
        <v>17</v>
      </c>
    </row>
    <row r="724" spans="1:12" x14ac:dyDescent="0.25">
      <c r="A724" s="3">
        <v>45716.245312500003</v>
      </c>
      <c r="B724" t="s">
        <v>55</v>
      </c>
      <c r="C724" s="3">
        <v>45716.248217592598</v>
      </c>
      <c r="D724" t="s">
        <v>133</v>
      </c>
      <c r="E724" s="4">
        <v>0.34699999999999998</v>
      </c>
      <c r="F724" s="4">
        <v>427733.70899999997</v>
      </c>
      <c r="G724" s="4">
        <v>427734.05599999998</v>
      </c>
      <c r="H724" s="5">
        <f>180 / 86400</f>
        <v>2.0833333333333333E-3</v>
      </c>
      <c r="I724" t="s">
        <v>85</v>
      </c>
      <c r="J724" t="s">
        <v>25</v>
      </c>
      <c r="K724" s="5">
        <f>250 / 86400</f>
        <v>2.8935185185185184E-3</v>
      </c>
      <c r="L724" s="5">
        <f>21450 / 86400</f>
        <v>0.2482638888888889</v>
      </c>
    </row>
    <row r="725" spans="1:12" x14ac:dyDescent="0.25">
      <c r="A725" s="3">
        <v>45716.251168981486</v>
      </c>
      <c r="B725" t="s">
        <v>133</v>
      </c>
      <c r="C725" s="3">
        <v>45716.266365740739</v>
      </c>
      <c r="D725" t="s">
        <v>121</v>
      </c>
      <c r="E725" s="4">
        <v>6.6120000000000001</v>
      </c>
      <c r="F725" s="4">
        <v>427734.05599999998</v>
      </c>
      <c r="G725" s="4">
        <v>427740.66800000001</v>
      </c>
      <c r="H725" s="5">
        <f>520 / 86400</f>
        <v>6.0185185185185185E-3</v>
      </c>
      <c r="I725" t="s">
        <v>56</v>
      </c>
      <c r="J725" t="s">
        <v>20</v>
      </c>
      <c r="K725" s="5">
        <f>1312 / 86400</f>
        <v>1.5185185185185185E-2</v>
      </c>
      <c r="L725" s="5">
        <f>64 / 86400</f>
        <v>7.407407407407407E-4</v>
      </c>
    </row>
    <row r="726" spans="1:12" x14ac:dyDescent="0.25">
      <c r="A726" s="3">
        <v>45716.267106481479</v>
      </c>
      <c r="B726" t="s">
        <v>121</v>
      </c>
      <c r="C726" s="3">
        <v>45716.268530092595</v>
      </c>
      <c r="D726" t="s">
        <v>121</v>
      </c>
      <c r="E726" s="4">
        <v>3.1E-2</v>
      </c>
      <c r="F726" s="4">
        <v>427740.66800000001</v>
      </c>
      <c r="G726" s="4">
        <v>427740.69900000002</v>
      </c>
      <c r="H726" s="5">
        <f>79 / 86400</f>
        <v>9.1435185185185185E-4</v>
      </c>
      <c r="I726" t="s">
        <v>137</v>
      </c>
      <c r="J726" t="s">
        <v>59</v>
      </c>
      <c r="K726" s="5">
        <f>123 / 86400</f>
        <v>1.4236111111111112E-3</v>
      </c>
      <c r="L726" s="5">
        <f>136 / 86400</f>
        <v>1.5740740740740741E-3</v>
      </c>
    </row>
    <row r="727" spans="1:12" x14ac:dyDescent="0.25">
      <c r="A727" s="3">
        <v>45716.270104166666</v>
      </c>
      <c r="B727" t="s">
        <v>121</v>
      </c>
      <c r="C727" s="3">
        <v>45716.270856481482</v>
      </c>
      <c r="D727" t="s">
        <v>121</v>
      </c>
      <c r="E727" s="4">
        <v>0.05</v>
      </c>
      <c r="F727" s="4">
        <v>427740.69900000002</v>
      </c>
      <c r="G727" s="4">
        <v>427740.74900000001</v>
      </c>
      <c r="H727" s="5">
        <f>39 / 86400</f>
        <v>4.5138888888888887E-4</v>
      </c>
      <c r="I727" t="s">
        <v>151</v>
      </c>
      <c r="J727" t="s">
        <v>33</v>
      </c>
      <c r="K727" s="5">
        <f>65 / 86400</f>
        <v>7.5231481481481482E-4</v>
      </c>
      <c r="L727" s="5">
        <f>378 / 86400</f>
        <v>4.3750000000000004E-3</v>
      </c>
    </row>
    <row r="728" spans="1:12" x14ac:dyDescent="0.25">
      <c r="A728" s="3">
        <v>45716.275231481486</v>
      </c>
      <c r="B728" t="s">
        <v>121</v>
      </c>
      <c r="C728" s="3">
        <v>45716.276886574073</v>
      </c>
      <c r="D728" t="s">
        <v>121</v>
      </c>
      <c r="E728" s="4">
        <v>0</v>
      </c>
      <c r="F728" s="4">
        <v>427740.74900000001</v>
      </c>
      <c r="G728" s="4">
        <v>427740.74900000001</v>
      </c>
      <c r="H728" s="5">
        <f>139 / 86400</f>
        <v>1.6087962962962963E-3</v>
      </c>
      <c r="I728" t="s">
        <v>22</v>
      </c>
      <c r="J728" t="s">
        <v>22</v>
      </c>
      <c r="K728" s="5">
        <f>143 / 86400</f>
        <v>1.6550925925925926E-3</v>
      </c>
      <c r="L728" s="5">
        <f>55 / 86400</f>
        <v>6.3657407407407413E-4</v>
      </c>
    </row>
    <row r="729" spans="1:12" x14ac:dyDescent="0.25">
      <c r="A729" s="3">
        <v>45716.27752314815</v>
      </c>
      <c r="B729" t="s">
        <v>121</v>
      </c>
      <c r="C729" s="3">
        <v>45716.281365740739</v>
      </c>
      <c r="D729" t="s">
        <v>121</v>
      </c>
      <c r="E729" s="4">
        <v>0.86499999999999999</v>
      </c>
      <c r="F729" s="4">
        <v>427740.74900000001</v>
      </c>
      <c r="G729" s="4">
        <v>427741.614</v>
      </c>
      <c r="H729" s="5">
        <f>80 / 86400</f>
        <v>9.2592592592592596E-4</v>
      </c>
      <c r="I729" t="s">
        <v>108</v>
      </c>
      <c r="J729" t="s">
        <v>132</v>
      </c>
      <c r="K729" s="5">
        <f>331 / 86400</f>
        <v>3.8310185185185183E-3</v>
      </c>
      <c r="L729" s="5">
        <f>13 / 86400</f>
        <v>1.5046296296296297E-4</v>
      </c>
    </row>
    <row r="730" spans="1:12" x14ac:dyDescent="0.25">
      <c r="A730" s="3">
        <v>45716.2815162037</v>
      </c>
      <c r="B730" t="s">
        <v>121</v>
      </c>
      <c r="C730" s="3">
        <v>45716.293043981481</v>
      </c>
      <c r="D730" t="s">
        <v>133</v>
      </c>
      <c r="E730" s="4">
        <v>3.5760000000000001</v>
      </c>
      <c r="F730" s="4">
        <v>427741.614</v>
      </c>
      <c r="G730" s="4">
        <v>427745.19</v>
      </c>
      <c r="H730" s="5">
        <f>179 / 86400</f>
        <v>2.0717592592592593E-3</v>
      </c>
      <c r="I730" t="s">
        <v>153</v>
      </c>
      <c r="J730" t="s">
        <v>64</v>
      </c>
      <c r="K730" s="5">
        <f>995 / 86400</f>
        <v>1.1516203703703704E-2</v>
      </c>
      <c r="L730" s="5">
        <f>454 / 86400</f>
        <v>5.2546296296296299E-3</v>
      </c>
    </row>
    <row r="731" spans="1:12" x14ac:dyDescent="0.25">
      <c r="A731" s="3">
        <v>45716.298298611116</v>
      </c>
      <c r="B731" t="s">
        <v>133</v>
      </c>
      <c r="C731" s="3">
        <v>45716.298425925925</v>
      </c>
      <c r="D731" t="s">
        <v>133</v>
      </c>
      <c r="E731" s="4">
        <v>0</v>
      </c>
      <c r="F731" s="4">
        <v>427745.19</v>
      </c>
      <c r="G731" s="4">
        <v>427745.19</v>
      </c>
      <c r="H731" s="5">
        <f>0 / 86400</f>
        <v>0</v>
      </c>
      <c r="I731" t="s">
        <v>22</v>
      </c>
      <c r="J731" t="s">
        <v>22</v>
      </c>
      <c r="K731" s="5">
        <f>10 / 86400</f>
        <v>1.1574074074074075E-4</v>
      </c>
      <c r="L731" s="5">
        <f>1059 / 86400</f>
        <v>1.2256944444444445E-2</v>
      </c>
    </row>
    <row r="732" spans="1:12" x14ac:dyDescent="0.25">
      <c r="A732" s="3">
        <v>45716.310682870375</v>
      </c>
      <c r="B732" t="s">
        <v>133</v>
      </c>
      <c r="C732" s="3">
        <v>45716.3125</v>
      </c>
      <c r="D732" t="s">
        <v>391</v>
      </c>
      <c r="E732" s="4">
        <v>0.21199999999999999</v>
      </c>
      <c r="F732" s="4">
        <v>427745.19</v>
      </c>
      <c r="G732" s="4">
        <v>427745.402</v>
      </c>
      <c r="H732" s="5">
        <f>59 / 86400</f>
        <v>6.8287037037037036E-4</v>
      </c>
      <c r="I732" t="s">
        <v>132</v>
      </c>
      <c r="J732" t="s">
        <v>25</v>
      </c>
      <c r="K732" s="5">
        <f>157 / 86400</f>
        <v>1.8171296296296297E-3</v>
      </c>
      <c r="L732" s="5">
        <f>2889 / 86400</f>
        <v>3.3437500000000002E-2</v>
      </c>
    </row>
    <row r="733" spans="1:12" x14ac:dyDescent="0.25">
      <c r="A733" s="3">
        <v>45716.345937499995</v>
      </c>
      <c r="B733" t="s">
        <v>391</v>
      </c>
      <c r="C733" s="3">
        <v>45716.347986111112</v>
      </c>
      <c r="D733" t="s">
        <v>392</v>
      </c>
      <c r="E733" s="4">
        <v>0.24199999999999999</v>
      </c>
      <c r="F733" s="4">
        <v>427745.402</v>
      </c>
      <c r="G733" s="4">
        <v>427745.64399999997</v>
      </c>
      <c r="H733" s="5">
        <f>79 / 86400</f>
        <v>9.1435185185185185E-4</v>
      </c>
      <c r="I733" t="s">
        <v>151</v>
      </c>
      <c r="J733" t="s">
        <v>25</v>
      </c>
      <c r="K733" s="5">
        <f>177 / 86400</f>
        <v>2.0486111111111113E-3</v>
      </c>
      <c r="L733" s="5">
        <f>826 / 86400</f>
        <v>9.5601851851851855E-3</v>
      </c>
    </row>
    <row r="734" spans="1:12" x14ac:dyDescent="0.25">
      <c r="A734" s="3">
        <v>45716.357546296298</v>
      </c>
      <c r="B734" t="s">
        <v>392</v>
      </c>
      <c r="C734" s="3">
        <v>45716.358923611115</v>
      </c>
      <c r="D734" t="s">
        <v>18</v>
      </c>
      <c r="E734" s="4">
        <v>0.30399999999999999</v>
      </c>
      <c r="F734" s="4">
        <v>427745.64399999997</v>
      </c>
      <c r="G734" s="4">
        <v>427745.94799999997</v>
      </c>
      <c r="H734" s="5">
        <f>0 / 86400</f>
        <v>0</v>
      </c>
      <c r="I734" t="s">
        <v>72</v>
      </c>
      <c r="J734" t="s">
        <v>132</v>
      </c>
      <c r="K734" s="5">
        <f>119 / 86400</f>
        <v>1.3773148148148147E-3</v>
      </c>
      <c r="L734" s="5">
        <f>363 / 86400</f>
        <v>4.2013888888888891E-3</v>
      </c>
    </row>
    <row r="735" spans="1:12" x14ac:dyDescent="0.25">
      <c r="A735" s="3">
        <v>45716.363125000003</v>
      </c>
      <c r="B735" t="s">
        <v>18</v>
      </c>
      <c r="C735" s="3">
        <v>45716.370763888888</v>
      </c>
      <c r="D735" t="s">
        <v>133</v>
      </c>
      <c r="E735" s="4">
        <v>2.4470000000000001</v>
      </c>
      <c r="F735" s="4">
        <v>427745.94799999997</v>
      </c>
      <c r="G735" s="4">
        <v>427748.39500000002</v>
      </c>
      <c r="H735" s="5">
        <f>80 / 86400</f>
        <v>9.2592592592592596E-4</v>
      </c>
      <c r="I735" t="s">
        <v>140</v>
      </c>
      <c r="J735" t="s">
        <v>64</v>
      </c>
      <c r="K735" s="5">
        <f>660 / 86400</f>
        <v>7.6388888888888886E-3</v>
      </c>
      <c r="L735" s="5">
        <f>94 / 86400</f>
        <v>1.0879629629629629E-3</v>
      </c>
    </row>
    <row r="736" spans="1:12" x14ac:dyDescent="0.25">
      <c r="A736" s="3">
        <v>45716.371851851851</v>
      </c>
      <c r="B736" t="s">
        <v>133</v>
      </c>
      <c r="C736" s="3">
        <v>45716.374780092592</v>
      </c>
      <c r="D736" t="s">
        <v>393</v>
      </c>
      <c r="E736" s="4">
        <v>0.67700000000000005</v>
      </c>
      <c r="F736" s="4">
        <v>427748.39500000002</v>
      </c>
      <c r="G736" s="4">
        <v>427749.07199999999</v>
      </c>
      <c r="H736" s="5">
        <f>40 / 86400</f>
        <v>4.6296296296296298E-4</v>
      </c>
      <c r="I736" t="s">
        <v>130</v>
      </c>
      <c r="J736" t="s">
        <v>151</v>
      </c>
      <c r="K736" s="5">
        <f>252 / 86400</f>
        <v>2.9166666666666668E-3</v>
      </c>
      <c r="L736" s="5">
        <f>4038 / 86400</f>
        <v>4.673611111111111E-2</v>
      </c>
    </row>
    <row r="737" spans="1:12" x14ac:dyDescent="0.25">
      <c r="A737" s="3">
        <v>45716.4215162037</v>
      </c>
      <c r="B737" t="s">
        <v>18</v>
      </c>
      <c r="C737" s="3">
        <v>45716.458611111113</v>
      </c>
      <c r="D737" t="s">
        <v>18</v>
      </c>
      <c r="E737" s="4">
        <v>2E-3</v>
      </c>
      <c r="F737" s="4">
        <v>427749.07199999999</v>
      </c>
      <c r="G737" s="4">
        <v>427749.07400000002</v>
      </c>
      <c r="H737" s="5">
        <f>3199 / 86400</f>
        <v>3.7025462962962961E-2</v>
      </c>
      <c r="I737" t="s">
        <v>22</v>
      </c>
      <c r="J737" t="s">
        <v>22</v>
      </c>
      <c r="K737" s="5">
        <f>3204 / 86400</f>
        <v>3.7083333333333336E-2</v>
      </c>
      <c r="L737" s="5">
        <f>7863 / 86400</f>
        <v>9.1006944444444446E-2</v>
      </c>
    </row>
    <row r="738" spans="1:12" x14ac:dyDescent="0.25">
      <c r="A738" s="3">
        <v>45716.549618055556</v>
      </c>
      <c r="B738" t="s">
        <v>393</v>
      </c>
      <c r="C738" s="3">
        <v>45716.551435185189</v>
      </c>
      <c r="D738" t="s">
        <v>18</v>
      </c>
      <c r="E738" s="4">
        <v>3.5999999999999997E-2</v>
      </c>
      <c r="F738" s="4">
        <v>427749.07400000002</v>
      </c>
      <c r="G738" s="4">
        <v>427749.11</v>
      </c>
      <c r="H738" s="5">
        <f>20 / 86400</f>
        <v>2.3148148148148149E-4</v>
      </c>
      <c r="I738" t="s">
        <v>25</v>
      </c>
      <c r="J738" t="s">
        <v>59</v>
      </c>
      <c r="K738" s="5">
        <f>157 / 86400</f>
        <v>1.8171296296296297E-3</v>
      </c>
      <c r="L738" s="5">
        <f>22273 / 86400</f>
        <v>0.25778935185185187</v>
      </c>
    </row>
    <row r="739" spans="1:12" x14ac:dyDescent="0.25">
      <c r="A739" s="3">
        <v>45716.809224537035</v>
      </c>
      <c r="B739" t="s">
        <v>393</v>
      </c>
      <c r="C739" s="3">
        <v>45716.811828703707</v>
      </c>
      <c r="D739" t="s">
        <v>394</v>
      </c>
      <c r="E739" s="4">
        <v>0.27400000000000002</v>
      </c>
      <c r="F739" s="4">
        <v>427749.11</v>
      </c>
      <c r="G739" s="4">
        <v>427749.38400000002</v>
      </c>
      <c r="H739" s="5">
        <f>79 / 86400</f>
        <v>9.1435185185185185E-4</v>
      </c>
      <c r="I739" t="s">
        <v>31</v>
      </c>
      <c r="J739" t="s">
        <v>147</v>
      </c>
      <c r="K739" s="5">
        <f>224 / 86400</f>
        <v>2.5925925925925925E-3</v>
      </c>
      <c r="L739" s="5">
        <f>303 / 86400</f>
        <v>3.5069444444444445E-3</v>
      </c>
    </row>
    <row r="740" spans="1:12" x14ac:dyDescent="0.25">
      <c r="A740" s="3">
        <v>45716.815335648149</v>
      </c>
      <c r="B740" t="s">
        <v>394</v>
      </c>
      <c r="C740" s="3">
        <v>45716.827037037037</v>
      </c>
      <c r="D740" t="s">
        <v>55</v>
      </c>
      <c r="E740" s="4">
        <v>2.0699999999999998</v>
      </c>
      <c r="F740" s="4">
        <v>427749.38400000002</v>
      </c>
      <c r="G740" s="4">
        <v>427751.45400000003</v>
      </c>
      <c r="H740" s="5">
        <f>540 / 86400</f>
        <v>6.2500000000000003E-3</v>
      </c>
      <c r="I740" t="s">
        <v>164</v>
      </c>
      <c r="J740" t="s">
        <v>57</v>
      </c>
      <c r="K740" s="5">
        <f>1010 / 86400</f>
        <v>1.1689814814814814E-2</v>
      </c>
      <c r="L740" s="5">
        <f>14943 / 86400</f>
        <v>0.17295138888888889</v>
      </c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2" s="10" customFormat="1" ht="20.100000000000001" customHeight="1" x14ac:dyDescent="0.35">
      <c r="A743" s="15" t="s">
        <v>499</v>
      </c>
      <c r="B743" s="15"/>
      <c r="C743" s="15"/>
      <c r="D743" s="15"/>
      <c r="E743" s="15"/>
      <c r="F743" s="15"/>
      <c r="G743" s="15"/>
      <c r="H743" s="15"/>
      <c r="I743" s="15"/>
      <c r="J743" s="15"/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ht="30" x14ac:dyDescent="0.25">
      <c r="A745" s="2" t="s">
        <v>6</v>
      </c>
      <c r="B745" s="2" t="s">
        <v>7</v>
      </c>
      <c r="C745" s="2" t="s">
        <v>8</v>
      </c>
      <c r="D745" s="2" t="s">
        <v>9</v>
      </c>
      <c r="E745" s="2" t="s">
        <v>10</v>
      </c>
      <c r="F745" s="2" t="s">
        <v>11</v>
      </c>
      <c r="G745" s="2" t="s">
        <v>12</v>
      </c>
      <c r="H745" s="2" t="s">
        <v>13</v>
      </c>
      <c r="I745" s="2" t="s">
        <v>14</v>
      </c>
      <c r="J745" s="2" t="s">
        <v>15</v>
      </c>
      <c r="K745" s="2" t="s">
        <v>16</v>
      </c>
      <c r="L745" s="2" t="s">
        <v>17</v>
      </c>
    </row>
    <row r="746" spans="1:12" x14ac:dyDescent="0.25">
      <c r="A746" s="3">
        <v>45716.221458333333</v>
      </c>
      <c r="B746" t="s">
        <v>26</v>
      </c>
      <c r="C746" s="3">
        <v>45716.736527777779</v>
      </c>
      <c r="D746" t="s">
        <v>26</v>
      </c>
      <c r="E746" s="4">
        <v>11.648</v>
      </c>
      <c r="F746" s="4">
        <v>15209.822</v>
      </c>
      <c r="G746" s="4">
        <v>15221.47</v>
      </c>
      <c r="H746" s="5">
        <f>1720 / 86400</f>
        <v>1.9907407407407408E-2</v>
      </c>
      <c r="I746" t="s">
        <v>58</v>
      </c>
      <c r="J746" t="s">
        <v>59</v>
      </c>
      <c r="K746" s="5">
        <f>44501 / 86400</f>
        <v>0.51505787037037032</v>
      </c>
      <c r="L746" s="5">
        <f>41897 / 86400</f>
        <v>0.48491898148148149</v>
      </c>
    </row>
    <row r="747" spans="1:1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</row>
    <row r="748" spans="1:1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</row>
    <row r="749" spans="1:12" s="10" customFormat="1" ht="20.100000000000001" customHeight="1" x14ac:dyDescent="0.35">
      <c r="A749" s="15" t="s">
        <v>500</v>
      </c>
      <c r="B749" s="15"/>
      <c r="C749" s="15"/>
      <c r="D749" s="15"/>
      <c r="E749" s="15"/>
      <c r="F749" s="15"/>
      <c r="G749" s="15"/>
      <c r="H749" s="15"/>
      <c r="I749" s="15"/>
      <c r="J749" s="15"/>
    </row>
    <row r="750" spans="1:1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</row>
    <row r="751" spans="1:12" ht="30" x14ac:dyDescent="0.25">
      <c r="A751" s="2" t="s">
        <v>6</v>
      </c>
      <c r="B751" s="2" t="s">
        <v>7</v>
      </c>
      <c r="C751" s="2" t="s">
        <v>8</v>
      </c>
      <c r="D751" s="2" t="s">
        <v>9</v>
      </c>
      <c r="E751" s="2" t="s">
        <v>10</v>
      </c>
      <c r="F751" s="2" t="s">
        <v>11</v>
      </c>
      <c r="G751" s="2" t="s">
        <v>12</v>
      </c>
      <c r="H751" s="2" t="s">
        <v>13</v>
      </c>
      <c r="I751" s="2" t="s">
        <v>14</v>
      </c>
      <c r="J751" s="2" t="s">
        <v>15</v>
      </c>
      <c r="K751" s="2" t="s">
        <v>16</v>
      </c>
      <c r="L751" s="2" t="s">
        <v>17</v>
      </c>
    </row>
    <row r="752" spans="1:12" x14ac:dyDescent="0.25">
      <c r="A752" s="3">
        <v>45716.142685185187</v>
      </c>
      <c r="B752" t="s">
        <v>60</v>
      </c>
      <c r="C752" s="3">
        <v>45716.154814814814</v>
      </c>
      <c r="D752" t="s">
        <v>174</v>
      </c>
      <c r="E752" s="4">
        <v>3.4849999999999999</v>
      </c>
      <c r="F752" s="4">
        <v>140425.524</v>
      </c>
      <c r="G752" s="4">
        <v>140429.00899999999</v>
      </c>
      <c r="H752" s="5">
        <f>479 / 86400</f>
        <v>5.5439814814814813E-3</v>
      </c>
      <c r="I752" t="s">
        <v>159</v>
      </c>
      <c r="J752" t="s">
        <v>28</v>
      </c>
      <c r="K752" s="5">
        <f>1048 / 86400</f>
        <v>1.2129629629629629E-2</v>
      </c>
      <c r="L752" s="5">
        <f>12969 / 86400</f>
        <v>0.15010416666666668</v>
      </c>
    </row>
    <row r="753" spans="1:12" x14ac:dyDescent="0.25">
      <c r="A753" s="3">
        <v>45716.162233796298</v>
      </c>
      <c r="B753" t="s">
        <v>174</v>
      </c>
      <c r="C753" s="3">
        <v>45716.22493055556</v>
      </c>
      <c r="D753" t="s">
        <v>249</v>
      </c>
      <c r="E753" s="4">
        <v>33.409999999999997</v>
      </c>
      <c r="F753" s="4">
        <v>140429.00899999999</v>
      </c>
      <c r="G753" s="4">
        <v>140462.41899999999</v>
      </c>
      <c r="H753" s="5">
        <f>1140 / 86400</f>
        <v>1.3194444444444444E-2</v>
      </c>
      <c r="I753" t="s">
        <v>61</v>
      </c>
      <c r="J753" t="s">
        <v>130</v>
      </c>
      <c r="K753" s="5">
        <f>5417 / 86400</f>
        <v>6.2696759259259258E-2</v>
      </c>
      <c r="L753" s="5">
        <f>58 / 86400</f>
        <v>6.7129629629629625E-4</v>
      </c>
    </row>
    <row r="754" spans="1:12" x14ac:dyDescent="0.25">
      <c r="A754" s="3">
        <v>45716.225601851853</v>
      </c>
      <c r="B754" t="s">
        <v>250</v>
      </c>
      <c r="C754" s="3">
        <v>45716.333611111113</v>
      </c>
      <c r="D754" t="s">
        <v>131</v>
      </c>
      <c r="E754" s="4">
        <v>50.643000000000001</v>
      </c>
      <c r="F754" s="4">
        <v>140462.41899999999</v>
      </c>
      <c r="G754" s="4">
        <v>140513.06200000001</v>
      </c>
      <c r="H754" s="5">
        <f>2658 / 86400</f>
        <v>3.0763888888888889E-2</v>
      </c>
      <c r="I754" t="s">
        <v>129</v>
      </c>
      <c r="J754" t="s">
        <v>108</v>
      </c>
      <c r="K754" s="5">
        <f>9331 / 86400</f>
        <v>0.10799768518518518</v>
      </c>
      <c r="L754" s="5">
        <f>351 / 86400</f>
        <v>4.0625000000000001E-3</v>
      </c>
    </row>
    <row r="755" spans="1:12" x14ac:dyDescent="0.25">
      <c r="A755" s="3">
        <v>45716.337673611109</v>
      </c>
      <c r="B755" t="s">
        <v>131</v>
      </c>
      <c r="C755" s="3">
        <v>45716.346898148149</v>
      </c>
      <c r="D755" t="s">
        <v>46</v>
      </c>
      <c r="E755" s="4">
        <v>2.7080000000000002</v>
      </c>
      <c r="F755" s="4">
        <v>140513.06200000001</v>
      </c>
      <c r="G755" s="4">
        <v>140515.76999999999</v>
      </c>
      <c r="H755" s="5">
        <f>200 / 86400</f>
        <v>2.3148148148148147E-3</v>
      </c>
      <c r="I755" t="s">
        <v>149</v>
      </c>
      <c r="J755" t="s">
        <v>28</v>
      </c>
      <c r="K755" s="5">
        <f>797 / 86400</f>
        <v>9.2245370370370363E-3</v>
      </c>
      <c r="L755" s="5">
        <f>1603 / 86400</f>
        <v>1.8553240740740742E-2</v>
      </c>
    </row>
    <row r="756" spans="1:12" x14ac:dyDescent="0.25">
      <c r="A756" s="3">
        <v>45716.365451388891</v>
      </c>
      <c r="B756" t="s">
        <v>46</v>
      </c>
      <c r="C756" s="3">
        <v>45716.365937499999</v>
      </c>
      <c r="D756" t="s">
        <v>46</v>
      </c>
      <c r="E756" s="4">
        <v>2.1000000000000001E-2</v>
      </c>
      <c r="F756" s="4">
        <v>140515.76999999999</v>
      </c>
      <c r="G756" s="4">
        <v>140515.791</v>
      </c>
      <c r="H756" s="5">
        <f>0 / 86400</f>
        <v>0</v>
      </c>
      <c r="I756" t="s">
        <v>137</v>
      </c>
      <c r="J756" t="s">
        <v>156</v>
      </c>
      <c r="K756" s="5">
        <f>41 / 86400</f>
        <v>4.7453703703703704E-4</v>
      </c>
      <c r="L756" s="5">
        <f>5 / 86400</f>
        <v>5.7870370370370373E-5</v>
      </c>
    </row>
    <row r="757" spans="1:12" x14ac:dyDescent="0.25">
      <c r="A757" s="3">
        <v>45716.365995370375</v>
      </c>
      <c r="B757" t="s">
        <v>46</v>
      </c>
      <c r="C757" s="3">
        <v>45716.366111111114</v>
      </c>
      <c r="D757" t="s">
        <v>46</v>
      </c>
      <c r="E757" s="4">
        <v>0</v>
      </c>
      <c r="F757" s="4">
        <v>140515.791</v>
      </c>
      <c r="G757" s="4">
        <v>140515.791</v>
      </c>
      <c r="H757" s="5">
        <f>0 / 86400</f>
        <v>0</v>
      </c>
      <c r="I757" t="s">
        <v>22</v>
      </c>
      <c r="J757" t="s">
        <v>22</v>
      </c>
      <c r="K757" s="5">
        <f>9 / 86400</f>
        <v>1.0416666666666667E-4</v>
      </c>
      <c r="L757" s="5">
        <f>1793 / 86400</f>
        <v>2.0752314814814814E-2</v>
      </c>
    </row>
    <row r="758" spans="1:12" x14ac:dyDescent="0.25">
      <c r="A758" s="3">
        <v>45716.386863425927</v>
      </c>
      <c r="B758" t="s">
        <v>46</v>
      </c>
      <c r="C758" s="3">
        <v>45716.386932870373</v>
      </c>
      <c r="D758" t="s">
        <v>46</v>
      </c>
      <c r="E758" s="4">
        <v>0</v>
      </c>
      <c r="F758" s="4">
        <v>140515.791</v>
      </c>
      <c r="G758" s="4">
        <v>140515.791</v>
      </c>
      <c r="H758" s="5">
        <f>0 / 86400</f>
        <v>0</v>
      </c>
      <c r="I758" t="s">
        <v>22</v>
      </c>
      <c r="J758" t="s">
        <v>22</v>
      </c>
      <c r="K758" s="5">
        <f>5 / 86400</f>
        <v>5.7870370370370373E-5</v>
      </c>
      <c r="L758" s="5">
        <f>616 / 86400</f>
        <v>7.1296296296296299E-3</v>
      </c>
    </row>
    <row r="759" spans="1:12" x14ac:dyDescent="0.25">
      <c r="A759" s="3">
        <v>45716.394062499996</v>
      </c>
      <c r="B759" t="s">
        <v>46</v>
      </c>
      <c r="C759" s="3">
        <v>45716.394155092596</v>
      </c>
      <c r="D759" t="s">
        <v>46</v>
      </c>
      <c r="E759" s="4">
        <v>0</v>
      </c>
      <c r="F759" s="4">
        <v>140515.791</v>
      </c>
      <c r="G759" s="4">
        <v>140515.791</v>
      </c>
      <c r="H759" s="5">
        <f>0 / 86400</f>
        <v>0</v>
      </c>
      <c r="I759" t="s">
        <v>22</v>
      </c>
      <c r="J759" t="s">
        <v>22</v>
      </c>
      <c r="K759" s="5">
        <f>7 / 86400</f>
        <v>8.1018518518518516E-5</v>
      </c>
      <c r="L759" s="5">
        <f>438 / 86400</f>
        <v>5.0694444444444441E-3</v>
      </c>
    </row>
    <row r="760" spans="1:12" x14ac:dyDescent="0.25">
      <c r="A760" s="3">
        <v>45716.399224537032</v>
      </c>
      <c r="B760" t="s">
        <v>46</v>
      </c>
      <c r="C760" s="3">
        <v>45716.399305555555</v>
      </c>
      <c r="D760" t="s">
        <v>46</v>
      </c>
      <c r="E760" s="4">
        <v>0</v>
      </c>
      <c r="F760" s="4">
        <v>140515.791</v>
      </c>
      <c r="G760" s="4">
        <v>140515.791</v>
      </c>
      <c r="H760" s="5">
        <f>0 / 86400</f>
        <v>0</v>
      </c>
      <c r="I760" t="s">
        <v>22</v>
      </c>
      <c r="J760" t="s">
        <v>22</v>
      </c>
      <c r="K760" s="5">
        <f>6 / 86400</f>
        <v>6.9444444444444444E-5</v>
      </c>
      <c r="L760" s="5">
        <f>5 / 86400</f>
        <v>5.7870370370370373E-5</v>
      </c>
    </row>
    <row r="761" spans="1:12" x14ac:dyDescent="0.25">
      <c r="A761" s="3">
        <v>45716.399363425924</v>
      </c>
      <c r="B761" t="s">
        <v>46</v>
      </c>
      <c r="C761" s="3">
        <v>45716.39949074074</v>
      </c>
      <c r="D761" t="s">
        <v>46</v>
      </c>
      <c r="E761" s="4">
        <v>0</v>
      </c>
      <c r="F761" s="4">
        <v>140515.791</v>
      </c>
      <c r="G761" s="4">
        <v>140515.791</v>
      </c>
      <c r="H761" s="5">
        <f>8 / 86400</f>
        <v>9.2592592592592588E-5</v>
      </c>
      <c r="I761" t="s">
        <v>22</v>
      </c>
      <c r="J761" t="s">
        <v>22</v>
      </c>
      <c r="K761" s="5">
        <f>11 / 86400</f>
        <v>1.273148148148148E-4</v>
      </c>
      <c r="L761" s="5">
        <f>1478 / 86400</f>
        <v>1.7106481481481483E-2</v>
      </c>
    </row>
    <row r="762" spans="1:12" x14ac:dyDescent="0.25">
      <c r="A762" s="3">
        <v>45716.416597222225</v>
      </c>
      <c r="B762" t="s">
        <v>46</v>
      </c>
      <c r="C762" s="3">
        <v>45716.418749999997</v>
      </c>
      <c r="D762" t="s">
        <v>41</v>
      </c>
      <c r="E762" s="4">
        <v>0.13800000000000001</v>
      </c>
      <c r="F762" s="4">
        <v>140515.791</v>
      </c>
      <c r="G762" s="4">
        <v>140515.929</v>
      </c>
      <c r="H762" s="5">
        <f>79 / 86400</f>
        <v>9.1435185185185185E-4</v>
      </c>
      <c r="I762" t="s">
        <v>132</v>
      </c>
      <c r="J762" t="s">
        <v>33</v>
      </c>
      <c r="K762" s="5">
        <f>186 / 86400</f>
        <v>2.1527777777777778E-3</v>
      </c>
      <c r="L762" s="5">
        <f>1167 / 86400</f>
        <v>1.3506944444444445E-2</v>
      </c>
    </row>
    <row r="763" spans="1:12" x14ac:dyDescent="0.25">
      <c r="A763" s="3">
        <v>45716.432256944448</v>
      </c>
      <c r="B763" t="s">
        <v>41</v>
      </c>
      <c r="C763" s="3">
        <v>45716.433321759258</v>
      </c>
      <c r="D763" t="s">
        <v>41</v>
      </c>
      <c r="E763" s="4">
        <v>7.0000000000000001E-3</v>
      </c>
      <c r="F763" s="4">
        <v>140515.929</v>
      </c>
      <c r="G763" s="4">
        <v>140515.93599999999</v>
      </c>
      <c r="H763" s="5">
        <f>79 / 86400</f>
        <v>9.1435185185185185E-4</v>
      </c>
      <c r="I763" t="s">
        <v>22</v>
      </c>
      <c r="J763" t="s">
        <v>22</v>
      </c>
      <c r="K763" s="5">
        <f>92 / 86400</f>
        <v>1.0648148148148149E-3</v>
      </c>
      <c r="L763" s="5">
        <f>22 / 86400</f>
        <v>2.5462962962962961E-4</v>
      </c>
    </row>
    <row r="764" spans="1:12" x14ac:dyDescent="0.25">
      <c r="A764" s="3">
        <v>45716.433576388888</v>
      </c>
      <c r="B764" t="s">
        <v>41</v>
      </c>
      <c r="C764" s="3">
        <v>45716.437893518523</v>
      </c>
      <c r="D764" t="s">
        <v>50</v>
      </c>
      <c r="E764" s="4">
        <v>0.32800000000000001</v>
      </c>
      <c r="F764" s="4">
        <v>140515.93599999999</v>
      </c>
      <c r="G764" s="4">
        <v>140516.264</v>
      </c>
      <c r="H764" s="5">
        <f>179 / 86400</f>
        <v>2.0717592592592593E-3</v>
      </c>
      <c r="I764" t="s">
        <v>20</v>
      </c>
      <c r="J764" t="s">
        <v>33</v>
      </c>
      <c r="K764" s="5">
        <f>373 / 86400</f>
        <v>4.31712962962963E-3</v>
      </c>
      <c r="L764" s="5">
        <f>2094 / 86400</f>
        <v>2.4236111111111111E-2</v>
      </c>
    </row>
    <row r="765" spans="1:12" x14ac:dyDescent="0.25">
      <c r="A765" s="3">
        <v>45716.462129629625</v>
      </c>
      <c r="B765" t="s">
        <v>50</v>
      </c>
      <c r="C765" s="3">
        <v>45716.468368055561</v>
      </c>
      <c r="D765" t="s">
        <v>136</v>
      </c>
      <c r="E765" s="4">
        <v>1.048</v>
      </c>
      <c r="F765" s="4">
        <v>140516.264</v>
      </c>
      <c r="G765" s="4">
        <v>140517.31200000001</v>
      </c>
      <c r="H765" s="5">
        <f>179 / 86400</f>
        <v>2.0717592592592593E-3</v>
      </c>
      <c r="I765" t="s">
        <v>200</v>
      </c>
      <c r="J765" t="s">
        <v>57</v>
      </c>
      <c r="K765" s="5">
        <f>539 / 86400</f>
        <v>6.2384259259259259E-3</v>
      </c>
      <c r="L765" s="5">
        <f>898 / 86400</f>
        <v>1.0393518518518519E-2</v>
      </c>
    </row>
    <row r="766" spans="1:12" x14ac:dyDescent="0.25">
      <c r="A766" s="3">
        <v>45716.478761574079</v>
      </c>
      <c r="B766" t="s">
        <v>136</v>
      </c>
      <c r="C766" s="3">
        <v>45716.515520833331</v>
      </c>
      <c r="D766" t="s">
        <v>170</v>
      </c>
      <c r="E766" s="4">
        <v>19.164999999999999</v>
      </c>
      <c r="F766" s="4">
        <v>140517.31200000001</v>
      </c>
      <c r="G766" s="4">
        <v>140536.47700000001</v>
      </c>
      <c r="H766" s="5">
        <f>960 / 86400</f>
        <v>1.1111111111111112E-2</v>
      </c>
      <c r="I766" t="s">
        <v>91</v>
      </c>
      <c r="J766" t="s">
        <v>130</v>
      </c>
      <c r="K766" s="5">
        <f>3175 / 86400</f>
        <v>3.6747685185185182E-2</v>
      </c>
      <c r="L766" s="5">
        <f>784 / 86400</f>
        <v>9.0740740740740747E-3</v>
      </c>
    </row>
    <row r="767" spans="1:12" x14ac:dyDescent="0.25">
      <c r="A767" s="3">
        <v>45716.524594907409</v>
      </c>
      <c r="B767" t="s">
        <v>170</v>
      </c>
      <c r="C767" s="3">
        <v>45716.526458333334</v>
      </c>
      <c r="D767" t="s">
        <v>170</v>
      </c>
      <c r="E767" s="4">
        <v>0</v>
      </c>
      <c r="F767" s="4">
        <v>140536.47700000001</v>
      </c>
      <c r="G767" s="4">
        <v>140536.47700000001</v>
      </c>
      <c r="H767" s="5">
        <f>159 / 86400</f>
        <v>1.8402777777777777E-3</v>
      </c>
      <c r="I767" t="s">
        <v>22</v>
      </c>
      <c r="J767" t="s">
        <v>22</v>
      </c>
      <c r="K767" s="5">
        <f>160 / 86400</f>
        <v>1.8518518518518519E-3</v>
      </c>
      <c r="L767" s="5">
        <f>1980 / 86400</f>
        <v>2.2916666666666665E-2</v>
      </c>
    </row>
    <row r="768" spans="1:12" x14ac:dyDescent="0.25">
      <c r="A768" s="3">
        <v>45716.549375000002</v>
      </c>
      <c r="B768" t="s">
        <v>170</v>
      </c>
      <c r="C768" s="3">
        <v>45716.569606481484</v>
      </c>
      <c r="D768" t="s">
        <v>90</v>
      </c>
      <c r="E768" s="4">
        <v>5.83</v>
      </c>
      <c r="F768" s="4">
        <v>140536.47700000001</v>
      </c>
      <c r="G768" s="4">
        <v>140542.307</v>
      </c>
      <c r="H768" s="5">
        <f>459 / 86400</f>
        <v>5.3125000000000004E-3</v>
      </c>
      <c r="I768" t="s">
        <v>56</v>
      </c>
      <c r="J768" t="s">
        <v>28</v>
      </c>
      <c r="K768" s="5">
        <f>1747 / 86400</f>
        <v>2.0219907407407409E-2</v>
      </c>
      <c r="L768" s="5">
        <f>619 / 86400</f>
        <v>7.1643518518518514E-3</v>
      </c>
    </row>
    <row r="769" spans="1:12" x14ac:dyDescent="0.25">
      <c r="A769" s="3">
        <v>45716.57677083333</v>
      </c>
      <c r="B769" t="s">
        <v>90</v>
      </c>
      <c r="C769" s="3">
        <v>45716.62663194444</v>
      </c>
      <c r="D769" t="s">
        <v>105</v>
      </c>
      <c r="E769" s="4">
        <v>21.331</v>
      </c>
      <c r="F769" s="4">
        <v>140542.307</v>
      </c>
      <c r="G769" s="4">
        <v>140563.63800000001</v>
      </c>
      <c r="H769" s="5">
        <f>1360 / 86400</f>
        <v>1.5740740740740739E-2</v>
      </c>
      <c r="I769" t="s">
        <v>65</v>
      </c>
      <c r="J769" t="s">
        <v>20</v>
      </c>
      <c r="K769" s="5">
        <f>4308 / 86400</f>
        <v>4.9861111111111113E-2</v>
      </c>
      <c r="L769" s="5">
        <f>411 / 86400</f>
        <v>4.7569444444444447E-3</v>
      </c>
    </row>
    <row r="770" spans="1:12" x14ac:dyDescent="0.25">
      <c r="A770" s="3">
        <v>45716.631388888884</v>
      </c>
      <c r="B770" t="s">
        <v>105</v>
      </c>
      <c r="C770" s="3">
        <v>45716.643379629633</v>
      </c>
      <c r="D770" t="s">
        <v>105</v>
      </c>
      <c r="E770" s="4">
        <v>2E-3</v>
      </c>
      <c r="F770" s="4">
        <v>140563.63800000001</v>
      </c>
      <c r="G770" s="4">
        <v>140563.64000000001</v>
      </c>
      <c r="H770" s="5">
        <f>1019 / 86400</f>
        <v>1.1793981481481482E-2</v>
      </c>
      <c r="I770" t="s">
        <v>22</v>
      </c>
      <c r="J770" t="s">
        <v>22</v>
      </c>
      <c r="K770" s="5">
        <f>1035 / 86400</f>
        <v>1.1979166666666667E-2</v>
      </c>
      <c r="L770" s="5">
        <f>2554 / 86400</f>
        <v>2.9560185185185186E-2</v>
      </c>
    </row>
    <row r="771" spans="1:12" x14ac:dyDescent="0.25">
      <c r="A771" s="3">
        <v>45716.672939814816</v>
      </c>
      <c r="B771" t="s">
        <v>105</v>
      </c>
      <c r="C771" s="3">
        <v>45716.673842592594</v>
      </c>
      <c r="D771" t="s">
        <v>105</v>
      </c>
      <c r="E771" s="4">
        <v>0</v>
      </c>
      <c r="F771" s="4">
        <v>140563.64000000001</v>
      </c>
      <c r="G771" s="4">
        <v>140563.64000000001</v>
      </c>
      <c r="H771" s="5">
        <f>59 / 86400</f>
        <v>6.8287037037037036E-4</v>
      </c>
      <c r="I771" t="s">
        <v>22</v>
      </c>
      <c r="J771" t="s">
        <v>22</v>
      </c>
      <c r="K771" s="5">
        <f>77 / 86400</f>
        <v>8.9120370370370373E-4</v>
      </c>
      <c r="L771" s="5">
        <f>4526 / 86400</f>
        <v>5.2384259259259262E-2</v>
      </c>
    </row>
    <row r="772" spans="1:12" x14ac:dyDescent="0.25">
      <c r="A772" s="3">
        <v>45716.726226851853</v>
      </c>
      <c r="B772" t="s">
        <v>105</v>
      </c>
      <c r="C772" s="3">
        <v>45716.812523148154</v>
      </c>
      <c r="D772" t="s">
        <v>158</v>
      </c>
      <c r="E772" s="4">
        <v>38.186999999999998</v>
      </c>
      <c r="F772" s="4">
        <v>140563.64000000001</v>
      </c>
      <c r="G772" s="4">
        <v>140601.82699999999</v>
      </c>
      <c r="H772" s="5">
        <f>2419 / 86400</f>
        <v>2.7997685185185184E-2</v>
      </c>
      <c r="I772" t="s">
        <v>75</v>
      </c>
      <c r="J772" t="s">
        <v>20</v>
      </c>
      <c r="K772" s="5">
        <f>7455 / 86400</f>
        <v>8.6284722222222221E-2</v>
      </c>
      <c r="L772" s="5">
        <f>376 / 86400</f>
        <v>4.3518518518518515E-3</v>
      </c>
    </row>
    <row r="773" spans="1:12" x14ac:dyDescent="0.25">
      <c r="A773" s="3">
        <v>45716.816875000004</v>
      </c>
      <c r="B773" t="s">
        <v>158</v>
      </c>
      <c r="C773" s="3">
        <v>45716.835138888884</v>
      </c>
      <c r="D773" t="s">
        <v>395</v>
      </c>
      <c r="E773" s="4">
        <v>5.5590000000000002</v>
      </c>
      <c r="F773" s="4">
        <v>140601.82699999999</v>
      </c>
      <c r="G773" s="4">
        <v>140607.386</v>
      </c>
      <c r="H773" s="5">
        <f>440 / 86400</f>
        <v>5.092592592592593E-3</v>
      </c>
      <c r="I773" t="s">
        <v>171</v>
      </c>
      <c r="J773" t="s">
        <v>64</v>
      </c>
      <c r="K773" s="5">
        <f>1577 / 86400</f>
        <v>1.8252314814814815E-2</v>
      </c>
      <c r="L773" s="5">
        <f>304 / 86400</f>
        <v>3.5185185185185185E-3</v>
      </c>
    </row>
    <row r="774" spans="1:12" x14ac:dyDescent="0.25">
      <c r="A774" s="3">
        <v>45716.83865740741</v>
      </c>
      <c r="B774" t="s">
        <v>395</v>
      </c>
      <c r="C774" s="3">
        <v>45716.839768518519</v>
      </c>
      <c r="D774" t="s">
        <v>395</v>
      </c>
      <c r="E774" s="4">
        <v>5.7000000000000002E-2</v>
      </c>
      <c r="F774" s="4">
        <v>140607.386</v>
      </c>
      <c r="G774" s="4">
        <v>140607.443</v>
      </c>
      <c r="H774" s="5">
        <f>20 / 86400</f>
        <v>2.3148148148148149E-4</v>
      </c>
      <c r="I774" t="s">
        <v>137</v>
      </c>
      <c r="J774" t="s">
        <v>156</v>
      </c>
      <c r="K774" s="5">
        <f>96 / 86400</f>
        <v>1.1111111111111111E-3</v>
      </c>
      <c r="L774" s="5">
        <f>1846 / 86400</f>
        <v>2.1365740740740741E-2</v>
      </c>
    </row>
    <row r="775" spans="1:12" x14ac:dyDescent="0.25">
      <c r="A775" s="3">
        <v>45716.861134259263</v>
      </c>
      <c r="B775" t="s">
        <v>395</v>
      </c>
      <c r="C775" s="3">
        <v>45716.871319444443</v>
      </c>
      <c r="D775" t="s">
        <v>60</v>
      </c>
      <c r="E775" s="4">
        <v>2.218</v>
      </c>
      <c r="F775" s="4">
        <v>140607.443</v>
      </c>
      <c r="G775" s="4">
        <v>140609.66099999999</v>
      </c>
      <c r="H775" s="5">
        <f>359 / 86400</f>
        <v>4.1550925925925922E-3</v>
      </c>
      <c r="I775" t="s">
        <v>206</v>
      </c>
      <c r="J775" t="s">
        <v>132</v>
      </c>
      <c r="K775" s="5">
        <f>880 / 86400</f>
        <v>1.0185185185185186E-2</v>
      </c>
      <c r="L775" s="5">
        <f>11117 / 86400</f>
        <v>0.12866898148148148</v>
      </c>
    </row>
    <row r="776" spans="1:1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 spans="1:1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2" s="10" customFormat="1" ht="20.100000000000001" customHeight="1" x14ac:dyDescent="0.35">
      <c r="A778" s="15" t="s">
        <v>501</v>
      </c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ht="30" x14ac:dyDescent="0.25">
      <c r="A780" s="2" t="s">
        <v>6</v>
      </c>
      <c r="B780" s="2" t="s">
        <v>7</v>
      </c>
      <c r="C780" s="2" t="s">
        <v>8</v>
      </c>
      <c r="D780" s="2" t="s">
        <v>9</v>
      </c>
      <c r="E780" s="2" t="s">
        <v>10</v>
      </c>
      <c r="F780" s="2" t="s">
        <v>11</v>
      </c>
      <c r="G780" s="2" t="s">
        <v>12</v>
      </c>
      <c r="H780" s="2" t="s">
        <v>13</v>
      </c>
      <c r="I780" s="2" t="s">
        <v>14</v>
      </c>
      <c r="J780" s="2" t="s">
        <v>15</v>
      </c>
      <c r="K780" s="2" t="s">
        <v>16</v>
      </c>
      <c r="L780" s="2" t="s">
        <v>17</v>
      </c>
    </row>
    <row r="781" spans="1:12" x14ac:dyDescent="0.25">
      <c r="A781" s="3">
        <v>45716.222662037035</v>
      </c>
      <c r="B781" t="s">
        <v>26</v>
      </c>
      <c r="C781" s="3">
        <v>45716.585844907408</v>
      </c>
      <c r="D781" t="s">
        <v>136</v>
      </c>
      <c r="E781" s="4">
        <v>104.398</v>
      </c>
      <c r="F781" s="4">
        <v>7177.8540000000003</v>
      </c>
      <c r="G781" s="4">
        <v>7282.2520000000004</v>
      </c>
      <c r="H781" s="5">
        <f>10929 / 86400</f>
        <v>0.12649305555555557</v>
      </c>
      <c r="I781" t="s">
        <v>155</v>
      </c>
      <c r="J781" t="s">
        <v>28</v>
      </c>
      <c r="K781" s="5">
        <f>31379 / 86400</f>
        <v>0.36318287037037039</v>
      </c>
      <c r="L781" s="5">
        <f>20929 / 86400</f>
        <v>0.24223379629629629</v>
      </c>
    </row>
    <row r="782" spans="1:12" x14ac:dyDescent="0.25">
      <c r="A782" s="3">
        <v>45716.605416666665</v>
      </c>
      <c r="B782" t="s">
        <v>136</v>
      </c>
      <c r="C782" s="3">
        <v>45716.606770833328</v>
      </c>
      <c r="D782" t="s">
        <v>136</v>
      </c>
      <c r="E782" s="4">
        <v>3.5999999999999997E-2</v>
      </c>
      <c r="F782" s="4">
        <v>7282.2520000000004</v>
      </c>
      <c r="G782" s="4">
        <v>7282.2879999999996</v>
      </c>
      <c r="H782" s="5">
        <f>79 / 86400</f>
        <v>9.1435185185185185E-4</v>
      </c>
      <c r="I782" t="s">
        <v>214</v>
      </c>
      <c r="J782" t="s">
        <v>59</v>
      </c>
      <c r="K782" s="5">
        <f>117 / 86400</f>
        <v>1.3541666666666667E-3</v>
      </c>
      <c r="L782" s="5">
        <f>431 / 86400</f>
        <v>4.9884259259259257E-3</v>
      </c>
    </row>
    <row r="783" spans="1:12" x14ac:dyDescent="0.25">
      <c r="A783" s="3">
        <v>45716.611759259264</v>
      </c>
      <c r="B783" t="s">
        <v>136</v>
      </c>
      <c r="C783" s="3">
        <v>45716.613402777773</v>
      </c>
      <c r="D783" t="s">
        <v>135</v>
      </c>
      <c r="E783" s="4">
        <v>0.223</v>
      </c>
      <c r="F783" s="4">
        <v>7282.2879999999996</v>
      </c>
      <c r="G783" s="4">
        <v>7282.5110000000004</v>
      </c>
      <c r="H783" s="5">
        <f>40 / 86400</f>
        <v>4.6296296296296298E-4</v>
      </c>
      <c r="I783" t="s">
        <v>35</v>
      </c>
      <c r="J783" t="s">
        <v>137</v>
      </c>
      <c r="K783" s="5">
        <f>141 / 86400</f>
        <v>1.6319444444444445E-3</v>
      </c>
      <c r="L783" s="5">
        <f>402 / 86400</f>
        <v>4.6527777777777774E-3</v>
      </c>
    </row>
    <row r="784" spans="1:12" x14ac:dyDescent="0.25">
      <c r="A784" s="3">
        <v>45716.618055555555</v>
      </c>
      <c r="B784" t="s">
        <v>135</v>
      </c>
      <c r="C784" s="3">
        <v>45716.79173611111</v>
      </c>
      <c r="D784" t="s">
        <v>24</v>
      </c>
      <c r="E784" s="4">
        <v>60.552999999999997</v>
      </c>
      <c r="F784" s="4">
        <v>7282.5110000000004</v>
      </c>
      <c r="G784" s="4">
        <v>7343.0640000000003</v>
      </c>
      <c r="H784" s="5">
        <f>6681 / 86400</f>
        <v>7.7326388888888889E-2</v>
      </c>
      <c r="I784" t="s">
        <v>63</v>
      </c>
      <c r="J784" t="s">
        <v>35</v>
      </c>
      <c r="K784" s="5">
        <f>15005 / 86400</f>
        <v>0.17366898148148149</v>
      </c>
      <c r="L784" s="5">
        <f>2 / 86400</f>
        <v>2.3148148148148147E-5</v>
      </c>
    </row>
    <row r="785" spans="1:12" x14ac:dyDescent="0.25">
      <c r="A785" s="3">
        <v>45716.791759259257</v>
      </c>
      <c r="B785" t="s">
        <v>24</v>
      </c>
      <c r="C785" s="3">
        <v>45716.800543981481</v>
      </c>
      <c r="D785" t="s">
        <v>26</v>
      </c>
      <c r="E785" s="4">
        <v>0.54900000000000004</v>
      </c>
      <c r="F785" s="4">
        <v>7343.0640000000003</v>
      </c>
      <c r="G785" s="4">
        <v>7343.6130000000003</v>
      </c>
      <c r="H785" s="5">
        <f>594 / 86400</f>
        <v>6.875E-3</v>
      </c>
      <c r="I785" t="s">
        <v>37</v>
      </c>
      <c r="J785" t="s">
        <v>33</v>
      </c>
      <c r="K785" s="5">
        <f>759 / 86400</f>
        <v>8.7847222222222215E-3</v>
      </c>
      <c r="L785" s="5">
        <f>1720 / 86400</f>
        <v>1.9907407407407408E-2</v>
      </c>
    </row>
    <row r="786" spans="1:12" x14ac:dyDescent="0.25">
      <c r="A786" s="3">
        <v>45716.820451388892</v>
      </c>
      <c r="B786" t="s">
        <v>26</v>
      </c>
      <c r="C786" s="3">
        <v>45716.823692129634</v>
      </c>
      <c r="D786" t="s">
        <v>26</v>
      </c>
      <c r="E786" s="4">
        <v>0.51600000000000001</v>
      </c>
      <c r="F786" s="4">
        <v>7343.6130000000003</v>
      </c>
      <c r="G786" s="4">
        <v>7344.1289999999999</v>
      </c>
      <c r="H786" s="5">
        <f>80 / 86400</f>
        <v>9.2592592592592596E-4</v>
      </c>
      <c r="I786" t="s">
        <v>62</v>
      </c>
      <c r="J786" t="s">
        <v>57</v>
      </c>
      <c r="K786" s="5">
        <f>279 / 86400</f>
        <v>3.2291666666666666E-3</v>
      </c>
      <c r="L786" s="5">
        <f>15232 / 86400</f>
        <v>0.17629629629629628</v>
      </c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 spans="1:12" s="10" customFormat="1" ht="20.100000000000001" customHeight="1" x14ac:dyDescent="0.35">
      <c r="A789" s="15" t="s">
        <v>502</v>
      </c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ht="30" x14ac:dyDescent="0.25">
      <c r="A791" s="2" t="s">
        <v>6</v>
      </c>
      <c r="B791" s="2" t="s">
        <v>7</v>
      </c>
      <c r="C791" s="2" t="s">
        <v>8</v>
      </c>
      <c r="D791" s="2" t="s">
        <v>9</v>
      </c>
      <c r="E791" s="2" t="s">
        <v>10</v>
      </c>
      <c r="F791" s="2" t="s">
        <v>11</v>
      </c>
      <c r="G791" s="2" t="s">
        <v>12</v>
      </c>
      <c r="H791" s="2" t="s">
        <v>13</v>
      </c>
      <c r="I791" s="2" t="s">
        <v>14</v>
      </c>
      <c r="J791" s="2" t="s">
        <v>15</v>
      </c>
      <c r="K791" s="2" t="s">
        <v>16</v>
      </c>
      <c r="L791" s="2" t="s">
        <v>17</v>
      </c>
    </row>
    <row r="792" spans="1:12" x14ac:dyDescent="0.25">
      <c r="A792" s="3">
        <v>45716.214675925927</v>
      </c>
      <c r="B792" t="s">
        <v>38</v>
      </c>
      <c r="C792" s="3">
        <v>45716.467523148152</v>
      </c>
      <c r="D792" t="s">
        <v>46</v>
      </c>
      <c r="E792" s="4">
        <v>81.445999999999998</v>
      </c>
      <c r="F792" s="4">
        <v>389124.93900000001</v>
      </c>
      <c r="G792" s="4">
        <v>389206.38500000001</v>
      </c>
      <c r="H792" s="5">
        <f>8922 / 86400</f>
        <v>0.10326388888888889</v>
      </c>
      <c r="I792" t="s">
        <v>235</v>
      </c>
      <c r="J792" t="s">
        <v>64</v>
      </c>
      <c r="K792" s="5">
        <f>21845 / 86400</f>
        <v>0.25283564814814813</v>
      </c>
      <c r="L792" s="5">
        <f>20432 / 86400</f>
        <v>0.23648148148148149</v>
      </c>
    </row>
    <row r="793" spans="1:12" x14ac:dyDescent="0.25">
      <c r="A793" s="3">
        <v>45716.489328703705</v>
      </c>
      <c r="B793" t="s">
        <v>46</v>
      </c>
      <c r="C793" s="3">
        <v>45716.49318287037</v>
      </c>
      <c r="D793" t="s">
        <v>131</v>
      </c>
      <c r="E793" s="4">
        <v>1.21</v>
      </c>
      <c r="F793" s="4">
        <v>389206.38500000001</v>
      </c>
      <c r="G793" s="4">
        <v>389207.59499999997</v>
      </c>
      <c r="H793" s="5">
        <f>60 / 86400</f>
        <v>6.9444444444444447E-4</v>
      </c>
      <c r="I793" t="s">
        <v>149</v>
      </c>
      <c r="J793" t="s">
        <v>64</v>
      </c>
      <c r="K793" s="5">
        <f>332 / 86400</f>
        <v>3.8425925925925928E-3</v>
      </c>
      <c r="L793" s="5">
        <f>645 / 86400</f>
        <v>7.4652777777777781E-3</v>
      </c>
    </row>
    <row r="794" spans="1:12" x14ac:dyDescent="0.25">
      <c r="A794" s="3">
        <v>45716.500648148147</v>
      </c>
      <c r="B794" t="s">
        <v>131</v>
      </c>
      <c r="C794" s="3">
        <v>45716.621365740742</v>
      </c>
      <c r="D794" t="s">
        <v>396</v>
      </c>
      <c r="E794" s="4">
        <v>48.247999999999998</v>
      </c>
      <c r="F794" s="4">
        <v>389207.59499999997</v>
      </c>
      <c r="G794" s="4">
        <v>389255.84299999999</v>
      </c>
      <c r="H794" s="5">
        <f>3578 / 86400</f>
        <v>4.1412037037037039E-2</v>
      </c>
      <c r="I794" t="s">
        <v>39</v>
      </c>
      <c r="J794" t="s">
        <v>62</v>
      </c>
      <c r="K794" s="5">
        <f>10429 / 86400</f>
        <v>0.12070601851851852</v>
      </c>
      <c r="L794" s="5">
        <f>94 / 86400</f>
        <v>1.0879629629629629E-3</v>
      </c>
    </row>
    <row r="795" spans="1:12" x14ac:dyDescent="0.25">
      <c r="A795" s="3">
        <v>45716.622453703705</v>
      </c>
      <c r="B795" t="s">
        <v>396</v>
      </c>
      <c r="C795" s="3">
        <v>45716.7190162037</v>
      </c>
      <c r="D795" t="s">
        <v>38</v>
      </c>
      <c r="E795" s="4">
        <v>35.378</v>
      </c>
      <c r="F795" s="4">
        <v>389255.84299999999</v>
      </c>
      <c r="G795" s="4">
        <v>389291.22100000002</v>
      </c>
      <c r="H795" s="5">
        <f>2539 / 86400</f>
        <v>2.9386574074074075E-2</v>
      </c>
      <c r="I795" t="s">
        <v>65</v>
      </c>
      <c r="J795" t="s">
        <v>35</v>
      </c>
      <c r="K795" s="5">
        <f>8342 / 86400</f>
        <v>9.6550925925925929E-2</v>
      </c>
      <c r="L795" s="5">
        <f>1058 / 86400</f>
        <v>1.224537037037037E-2</v>
      </c>
    </row>
    <row r="796" spans="1:12" x14ac:dyDescent="0.25">
      <c r="A796" s="3">
        <v>45716.731261574074</v>
      </c>
      <c r="B796" t="s">
        <v>38</v>
      </c>
      <c r="C796" s="3">
        <v>45716.737349537041</v>
      </c>
      <c r="D796" t="s">
        <v>38</v>
      </c>
      <c r="E796" s="4">
        <v>1.375</v>
      </c>
      <c r="F796" s="4">
        <v>389291.22100000002</v>
      </c>
      <c r="G796" s="4">
        <v>389292.59600000002</v>
      </c>
      <c r="H796" s="5">
        <f>280 / 86400</f>
        <v>3.2407407407407406E-3</v>
      </c>
      <c r="I796" t="s">
        <v>164</v>
      </c>
      <c r="J796" t="s">
        <v>132</v>
      </c>
      <c r="K796" s="5">
        <f>525 / 86400</f>
        <v>6.076388888888889E-3</v>
      </c>
      <c r="L796" s="5">
        <f>22692 / 86400</f>
        <v>0.26263888888888887</v>
      </c>
    </row>
    <row r="797" spans="1:1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s="10" customFormat="1" ht="20.100000000000001" customHeight="1" x14ac:dyDescent="0.35">
      <c r="A799" s="15" t="s">
        <v>503</v>
      </c>
      <c r="B799" s="15"/>
      <c r="C799" s="15"/>
      <c r="D799" s="15"/>
      <c r="E799" s="15"/>
      <c r="F799" s="15"/>
      <c r="G799" s="15"/>
      <c r="H799" s="15"/>
      <c r="I799" s="15"/>
      <c r="J799" s="15"/>
    </row>
    <row r="800" spans="1:1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</row>
    <row r="801" spans="1:12" ht="30" x14ac:dyDescent="0.25">
      <c r="A801" s="2" t="s">
        <v>6</v>
      </c>
      <c r="B801" s="2" t="s">
        <v>7</v>
      </c>
      <c r="C801" s="2" t="s">
        <v>8</v>
      </c>
      <c r="D801" s="2" t="s">
        <v>9</v>
      </c>
      <c r="E801" s="2" t="s">
        <v>10</v>
      </c>
      <c r="F801" s="2" t="s">
        <v>11</v>
      </c>
      <c r="G801" s="2" t="s">
        <v>12</v>
      </c>
      <c r="H801" s="2" t="s">
        <v>13</v>
      </c>
      <c r="I801" s="2" t="s">
        <v>14</v>
      </c>
      <c r="J801" s="2" t="s">
        <v>15</v>
      </c>
      <c r="K801" s="2" t="s">
        <v>16</v>
      </c>
      <c r="L801" s="2" t="s">
        <v>17</v>
      </c>
    </row>
    <row r="802" spans="1:12" x14ac:dyDescent="0.25">
      <c r="A802" s="3">
        <v>45716.253680555557</v>
      </c>
      <c r="B802" t="s">
        <v>38</v>
      </c>
      <c r="C802" s="3">
        <v>45716.363020833334</v>
      </c>
      <c r="D802" t="s">
        <v>397</v>
      </c>
      <c r="E802" s="4">
        <v>30.917000000000002</v>
      </c>
      <c r="F802" s="4">
        <v>393105.87599999999</v>
      </c>
      <c r="G802" s="4">
        <v>393136.79300000001</v>
      </c>
      <c r="H802" s="5">
        <f>3978 / 86400</f>
        <v>4.6041666666666668E-2</v>
      </c>
      <c r="I802" t="s">
        <v>39</v>
      </c>
      <c r="J802" t="s">
        <v>28</v>
      </c>
      <c r="K802" s="5">
        <f>9446 / 86400</f>
        <v>0.10932870370370371</v>
      </c>
      <c r="L802" s="5">
        <f>22379 / 86400</f>
        <v>0.25901620370370371</v>
      </c>
    </row>
    <row r="803" spans="1:12" x14ac:dyDescent="0.25">
      <c r="A803" s="3">
        <v>45716.368356481486</v>
      </c>
      <c r="B803" t="s">
        <v>397</v>
      </c>
      <c r="C803" s="3">
        <v>45716.513101851851</v>
      </c>
      <c r="D803" t="s">
        <v>50</v>
      </c>
      <c r="E803" s="4">
        <v>50.901000000000003</v>
      </c>
      <c r="F803" s="4">
        <v>393136.79300000001</v>
      </c>
      <c r="G803" s="4">
        <v>393187.69400000002</v>
      </c>
      <c r="H803" s="5">
        <f>4341 / 86400</f>
        <v>5.0243055555555555E-2</v>
      </c>
      <c r="I803" t="s">
        <v>175</v>
      </c>
      <c r="J803" t="s">
        <v>35</v>
      </c>
      <c r="K803" s="5">
        <f>12506 / 86400</f>
        <v>0.14474537037037036</v>
      </c>
      <c r="L803" s="5">
        <f>2609 / 86400</f>
        <v>3.019675925925926E-2</v>
      </c>
    </row>
    <row r="804" spans="1:12" x14ac:dyDescent="0.25">
      <c r="A804" s="3">
        <v>45716.543298611112</v>
      </c>
      <c r="B804" t="s">
        <v>50</v>
      </c>
      <c r="C804" s="3">
        <v>45716.547337962962</v>
      </c>
      <c r="D804" t="s">
        <v>161</v>
      </c>
      <c r="E804" s="4">
        <v>0.97799999999999998</v>
      </c>
      <c r="F804" s="4">
        <v>393187.69400000002</v>
      </c>
      <c r="G804" s="4">
        <v>393188.67200000002</v>
      </c>
      <c r="H804" s="5">
        <f>19 / 86400</f>
        <v>2.199074074074074E-4</v>
      </c>
      <c r="I804" t="s">
        <v>108</v>
      </c>
      <c r="J804" t="s">
        <v>151</v>
      </c>
      <c r="K804" s="5">
        <f>348 / 86400</f>
        <v>4.0277777777777777E-3</v>
      </c>
      <c r="L804" s="5">
        <f>2388 / 86400</f>
        <v>2.763888888888889E-2</v>
      </c>
    </row>
    <row r="805" spans="1:12" x14ac:dyDescent="0.25">
      <c r="A805" s="3">
        <v>45716.574976851851</v>
      </c>
      <c r="B805" t="s">
        <v>161</v>
      </c>
      <c r="C805" s="3">
        <v>45716.664039351846</v>
      </c>
      <c r="D805" t="s">
        <v>330</v>
      </c>
      <c r="E805" s="4">
        <v>40.116</v>
      </c>
      <c r="F805" s="4">
        <v>393188.67200000002</v>
      </c>
      <c r="G805" s="4">
        <v>393228.788</v>
      </c>
      <c r="H805" s="5">
        <f>2458 / 86400</f>
        <v>2.8449074074074075E-2</v>
      </c>
      <c r="I805" t="s">
        <v>66</v>
      </c>
      <c r="J805" t="s">
        <v>85</v>
      </c>
      <c r="K805" s="5">
        <f>7694 / 86400</f>
        <v>8.9050925925925922E-2</v>
      </c>
      <c r="L805" s="5">
        <f>1054 / 86400</f>
        <v>1.2199074074074074E-2</v>
      </c>
    </row>
    <row r="806" spans="1:12" x14ac:dyDescent="0.25">
      <c r="A806" s="3">
        <v>45716.676238425927</v>
      </c>
      <c r="B806" t="s">
        <v>277</v>
      </c>
      <c r="C806" s="3">
        <v>45716.767777777779</v>
      </c>
      <c r="D806" t="s">
        <v>134</v>
      </c>
      <c r="E806" s="4">
        <v>39.576999999999998</v>
      </c>
      <c r="F806" s="4">
        <v>393228.788</v>
      </c>
      <c r="G806" s="4">
        <v>393268.36499999999</v>
      </c>
      <c r="H806" s="5">
        <f>2118 / 86400</f>
        <v>2.4513888888888891E-2</v>
      </c>
      <c r="I806" t="s">
        <v>39</v>
      </c>
      <c r="J806" t="s">
        <v>20</v>
      </c>
      <c r="K806" s="5">
        <f>7908 / 86400</f>
        <v>9.1527777777777777E-2</v>
      </c>
      <c r="L806" s="5">
        <f>124 / 86400</f>
        <v>1.4351851851851852E-3</v>
      </c>
    </row>
    <row r="807" spans="1:12" x14ac:dyDescent="0.25">
      <c r="A807" s="3">
        <v>45716.769212962958</v>
      </c>
      <c r="B807" t="s">
        <v>134</v>
      </c>
      <c r="C807" s="3">
        <v>45716.898784722223</v>
      </c>
      <c r="D807" t="s">
        <v>398</v>
      </c>
      <c r="E807" s="4">
        <v>55.244</v>
      </c>
      <c r="F807" s="4">
        <v>393268.36499999999</v>
      </c>
      <c r="G807" s="4">
        <v>393323.609</v>
      </c>
      <c r="H807" s="5">
        <f>3619 / 86400</f>
        <v>4.1886574074074076E-2</v>
      </c>
      <c r="I807" t="s">
        <v>44</v>
      </c>
      <c r="J807" t="s">
        <v>20</v>
      </c>
      <c r="K807" s="5">
        <f>11195 / 86400</f>
        <v>0.12957175925925926</v>
      </c>
      <c r="L807" s="5">
        <f>385 / 86400</f>
        <v>4.4560185185185189E-3</v>
      </c>
    </row>
    <row r="808" spans="1:12" x14ac:dyDescent="0.25">
      <c r="A808" s="3">
        <v>45716.903240740736</v>
      </c>
      <c r="B808" t="s">
        <v>398</v>
      </c>
      <c r="C808" s="3">
        <v>45716.91269675926</v>
      </c>
      <c r="D808" t="s">
        <v>38</v>
      </c>
      <c r="E808" s="4">
        <v>6.2130000000000001</v>
      </c>
      <c r="F808" s="4">
        <v>393323.609</v>
      </c>
      <c r="G808" s="4">
        <v>393329.82199999999</v>
      </c>
      <c r="H808" s="5">
        <f>220 / 86400</f>
        <v>2.5462962962962965E-3</v>
      </c>
      <c r="I808" t="s">
        <v>58</v>
      </c>
      <c r="J808" t="s">
        <v>140</v>
      </c>
      <c r="K808" s="5">
        <f>816 / 86400</f>
        <v>9.4444444444444445E-3</v>
      </c>
      <c r="L808" s="5">
        <f>7542 / 86400</f>
        <v>8.729166666666667E-2</v>
      </c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2" s="10" customFormat="1" ht="20.100000000000001" customHeight="1" x14ac:dyDescent="0.35">
      <c r="A811" s="15" t="s">
        <v>504</v>
      </c>
      <c r="B811" s="15"/>
      <c r="C811" s="15"/>
      <c r="D811" s="15"/>
      <c r="E811" s="15"/>
      <c r="F811" s="15"/>
      <c r="G811" s="15"/>
      <c r="H811" s="15"/>
      <c r="I811" s="15"/>
      <c r="J811" s="15"/>
    </row>
    <row r="812" spans="1:1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</row>
    <row r="813" spans="1:12" ht="30" x14ac:dyDescent="0.25">
      <c r="A813" s="2" t="s">
        <v>6</v>
      </c>
      <c r="B813" s="2" t="s">
        <v>7</v>
      </c>
      <c r="C813" s="2" t="s">
        <v>8</v>
      </c>
      <c r="D813" s="2" t="s">
        <v>9</v>
      </c>
      <c r="E813" s="2" t="s">
        <v>10</v>
      </c>
      <c r="F813" s="2" t="s">
        <v>11</v>
      </c>
      <c r="G813" s="2" t="s">
        <v>12</v>
      </c>
      <c r="H813" s="2" t="s">
        <v>13</v>
      </c>
      <c r="I813" s="2" t="s">
        <v>14</v>
      </c>
      <c r="J813" s="2" t="s">
        <v>15</v>
      </c>
      <c r="K813" s="2" t="s">
        <v>16</v>
      </c>
      <c r="L813" s="2" t="s">
        <v>17</v>
      </c>
    </row>
    <row r="814" spans="1:12" x14ac:dyDescent="0.25">
      <c r="A814" s="3">
        <v>45716.146620370375</v>
      </c>
      <c r="B814" t="s">
        <v>67</v>
      </c>
      <c r="C814" s="3">
        <v>45716.308645833335</v>
      </c>
      <c r="D814" t="s">
        <v>131</v>
      </c>
      <c r="E814" s="4">
        <v>82.143000000000001</v>
      </c>
      <c r="F814" s="4">
        <v>526541.1</v>
      </c>
      <c r="G814" s="4">
        <v>526623.24300000002</v>
      </c>
      <c r="H814" s="5">
        <f>3624 / 86400</f>
        <v>4.1944444444444444E-2</v>
      </c>
      <c r="I814" t="s">
        <v>54</v>
      </c>
      <c r="J814" t="s">
        <v>190</v>
      </c>
      <c r="K814" s="5">
        <f>13998 / 86400</f>
        <v>0.1620138888888889</v>
      </c>
      <c r="L814" s="5">
        <f>13537 / 86400</f>
        <v>0.15667824074074074</v>
      </c>
    </row>
    <row r="815" spans="1:12" x14ac:dyDescent="0.25">
      <c r="A815" s="3">
        <v>45716.318703703699</v>
      </c>
      <c r="B815" t="s">
        <v>131</v>
      </c>
      <c r="C815" s="3">
        <v>45716.58085648148</v>
      </c>
      <c r="D815" t="s">
        <v>136</v>
      </c>
      <c r="E815" s="4">
        <v>100.6870000000596</v>
      </c>
      <c r="F815" s="4">
        <v>526623.24300000002</v>
      </c>
      <c r="G815" s="4">
        <v>526723.93000000005</v>
      </c>
      <c r="H815" s="5">
        <f>7260 / 86400</f>
        <v>8.4027777777777785E-2</v>
      </c>
      <c r="I815" t="s">
        <v>30</v>
      </c>
      <c r="J815" t="s">
        <v>31</v>
      </c>
      <c r="K815" s="5">
        <f>22650 / 86400</f>
        <v>0.26215277777777779</v>
      </c>
      <c r="L815" s="5">
        <f>4587 / 86400</f>
        <v>5.3090277777777778E-2</v>
      </c>
    </row>
    <row r="816" spans="1:12" x14ac:dyDescent="0.25">
      <c r="A816" s="3">
        <v>45716.633946759262</v>
      </c>
      <c r="B816" t="s">
        <v>136</v>
      </c>
      <c r="C816" s="3">
        <v>45716.703680555554</v>
      </c>
      <c r="D816" t="s">
        <v>399</v>
      </c>
      <c r="E816" s="4">
        <v>28.493999999940396</v>
      </c>
      <c r="F816" s="4">
        <v>526723.93000000005</v>
      </c>
      <c r="G816" s="4">
        <v>526752.424</v>
      </c>
      <c r="H816" s="5">
        <f>1759 / 86400</f>
        <v>2.0358796296296295E-2</v>
      </c>
      <c r="I816" t="s">
        <v>235</v>
      </c>
      <c r="J816" t="s">
        <v>62</v>
      </c>
      <c r="K816" s="5">
        <f>6025 / 86400</f>
        <v>6.9733796296296294E-2</v>
      </c>
      <c r="L816" s="5">
        <f>48 / 86400</f>
        <v>5.5555555555555556E-4</v>
      </c>
    </row>
    <row r="817" spans="1:12" x14ac:dyDescent="0.25">
      <c r="A817" s="3">
        <v>45716.704236111109</v>
      </c>
      <c r="B817" t="s">
        <v>400</v>
      </c>
      <c r="C817" s="3">
        <v>45716.704456018517</v>
      </c>
      <c r="D817" t="s">
        <v>399</v>
      </c>
      <c r="E817" s="4">
        <v>3.5000000059604644E-2</v>
      </c>
      <c r="F817" s="4">
        <v>526752.424</v>
      </c>
      <c r="G817" s="4">
        <v>526752.45900000003</v>
      </c>
      <c r="H817" s="5">
        <f>0 / 86400</f>
        <v>0</v>
      </c>
      <c r="I817" t="s">
        <v>22</v>
      </c>
      <c r="J817" t="s">
        <v>57</v>
      </c>
      <c r="K817" s="5">
        <f>19 / 86400</f>
        <v>2.199074074074074E-4</v>
      </c>
      <c r="L817" s="5">
        <f>1293 / 86400</f>
        <v>1.4965277777777777E-2</v>
      </c>
    </row>
    <row r="818" spans="1:12" x14ac:dyDescent="0.25">
      <c r="A818" s="3">
        <v>45716.719421296293</v>
      </c>
      <c r="B818" t="s">
        <v>399</v>
      </c>
      <c r="C818" s="3">
        <v>45716.721435185187</v>
      </c>
      <c r="D818" t="s">
        <v>67</v>
      </c>
      <c r="E818" s="4">
        <v>0.40200000000000002</v>
      </c>
      <c r="F818" s="4">
        <v>526752.45900000003</v>
      </c>
      <c r="G818" s="4">
        <v>526752.86100000003</v>
      </c>
      <c r="H818" s="5">
        <f>20 / 86400</f>
        <v>2.3148148148148149E-4</v>
      </c>
      <c r="I818" t="s">
        <v>130</v>
      </c>
      <c r="J818" t="s">
        <v>214</v>
      </c>
      <c r="K818" s="5">
        <f>173 / 86400</f>
        <v>2.0023148148148148E-3</v>
      </c>
      <c r="L818" s="5">
        <f>24067 / 86400</f>
        <v>0.27855324074074073</v>
      </c>
    </row>
    <row r="819" spans="1:1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</row>
    <row r="820" spans="1:1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s="10" customFormat="1" ht="20.100000000000001" customHeight="1" x14ac:dyDescent="0.35">
      <c r="A821" s="15" t="s">
        <v>505</v>
      </c>
      <c r="B821" s="15"/>
      <c r="C821" s="15"/>
      <c r="D821" s="15"/>
      <c r="E821" s="15"/>
      <c r="F821" s="15"/>
      <c r="G821" s="15"/>
      <c r="H821" s="15"/>
      <c r="I821" s="15"/>
      <c r="J821" s="15"/>
    </row>
    <row r="822" spans="1:1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 spans="1:12" ht="30" x14ac:dyDescent="0.25">
      <c r="A823" s="2" t="s">
        <v>6</v>
      </c>
      <c r="B823" s="2" t="s">
        <v>7</v>
      </c>
      <c r="C823" s="2" t="s">
        <v>8</v>
      </c>
      <c r="D823" s="2" t="s">
        <v>9</v>
      </c>
      <c r="E823" s="2" t="s">
        <v>10</v>
      </c>
      <c r="F823" s="2" t="s">
        <v>11</v>
      </c>
      <c r="G823" s="2" t="s">
        <v>12</v>
      </c>
      <c r="H823" s="2" t="s">
        <v>13</v>
      </c>
      <c r="I823" s="2" t="s">
        <v>14</v>
      </c>
      <c r="J823" s="2" t="s">
        <v>15</v>
      </c>
      <c r="K823" s="2" t="s">
        <v>16</v>
      </c>
      <c r="L823" s="2" t="s">
        <v>17</v>
      </c>
    </row>
    <row r="824" spans="1:12" x14ac:dyDescent="0.25">
      <c r="A824" s="3">
        <v>45716</v>
      </c>
      <c r="B824" t="s">
        <v>68</v>
      </c>
      <c r="C824" s="3">
        <v>45716.043541666666</v>
      </c>
      <c r="D824" t="s">
        <v>398</v>
      </c>
      <c r="E824" s="4">
        <v>24.318000000000001</v>
      </c>
      <c r="F824" s="4">
        <v>414028.603</v>
      </c>
      <c r="G824" s="4">
        <v>414052.92099999997</v>
      </c>
      <c r="H824" s="5">
        <f>740 / 86400</f>
        <v>8.564814814814815E-3</v>
      </c>
      <c r="I824" t="s">
        <v>159</v>
      </c>
      <c r="J824" t="s">
        <v>153</v>
      </c>
      <c r="K824" s="5">
        <f>3762 / 86400</f>
        <v>4.3541666666666666E-2</v>
      </c>
      <c r="L824" s="5">
        <f>910 / 86400</f>
        <v>1.0532407407407407E-2</v>
      </c>
    </row>
    <row r="825" spans="1:12" x14ac:dyDescent="0.25">
      <c r="A825" s="3">
        <v>45716.054074074069</v>
      </c>
      <c r="B825" t="s">
        <v>398</v>
      </c>
      <c r="C825" s="3">
        <v>45716.06821759259</v>
      </c>
      <c r="D825" t="s">
        <v>401</v>
      </c>
      <c r="E825" s="4">
        <v>8.2110000000000003</v>
      </c>
      <c r="F825" s="4">
        <v>414052.92099999997</v>
      </c>
      <c r="G825" s="4">
        <v>414061.13199999998</v>
      </c>
      <c r="H825" s="5">
        <f>160 / 86400</f>
        <v>1.8518518518518519E-3</v>
      </c>
      <c r="I825" t="s">
        <v>242</v>
      </c>
      <c r="J825" t="s">
        <v>37</v>
      </c>
      <c r="K825" s="5">
        <f>1222 / 86400</f>
        <v>1.4143518518518519E-2</v>
      </c>
      <c r="L825" s="5">
        <f>32247 / 86400</f>
        <v>0.37322916666666667</v>
      </c>
    </row>
    <row r="826" spans="1:12" x14ac:dyDescent="0.25">
      <c r="A826" s="3">
        <v>45716.441446759258</v>
      </c>
      <c r="B826" t="s">
        <v>401</v>
      </c>
      <c r="C826" s="3">
        <v>45716.505833333329</v>
      </c>
      <c r="D826" t="s">
        <v>162</v>
      </c>
      <c r="E826" s="4">
        <v>26.382999999999999</v>
      </c>
      <c r="F826" s="4">
        <v>414061.13199999998</v>
      </c>
      <c r="G826" s="4">
        <v>414087.51500000001</v>
      </c>
      <c r="H826" s="5">
        <f>1799 / 86400</f>
        <v>2.0821759259259259E-2</v>
      </c>
      <c r="I826" t="s">
        <v>219</v>
      </c>
      <c r="J826" t="s">
        <v>62</v>
      </c>
      <c r="K826" s="5">
        <f>5562 / 86400</f>
        <v>6.4375000000000002E-2</v>
      </c>
      <c r="L826" s="5">
        <f>4888 / 86400</f>
        <v>5.6574074074074075E-2</v>
      </c>
    </row>
    <row r="827" spans="1:12" x14ac:dyDescent="0.25">
      <c r="A827" s="3">
        <v>45716.562407407408</v>
      </c>
      <c r="B827" t="s">
        <v>162</v>
      </c>
      <c r="C827" s="3">
        <v>45716.567245370374</v>
      </c>
      <c r="D827" t="s">
        <v>136</v>
      </c>
      <c r="E827" s="4">
        <v>0.73</v>
      </c>
      <c r="F827" s="4">
        <v>414087.51500000001</v>
      </c>
      <c r="G827" s="4">
        <v>414088.245</v>
      </c>
      <c r="H827" s="5">
        <f>239 / 86400</f>
        <v>2.7662037037037039E-3</v>
      </c>
      <c r="I827" t="s">
        <v>206</v>
      </c>
      <c r="J827" t="s">
        <v>137</v>
      </c>
      <c r="K827" s="5">
        <f>417 / 86400</f>
        <v>4.8263888888888887E-3</v>
      </c>
      <c r="L827" s="5">
        <f>1158 / 86400</f>
        <v>1.3402777777777777E-2</v>
      </c>
    </row>
    <row r="828" spans="1:12" x14ac:dyDescent="0.25">
      <c r="A828" s="3">
        <v>45716.580648148149</v>
      </c>
      <c r="B828" t="s">
        <v>136</v>
      </c>
      <c r="C828" s="3">
        <v>45716.89565972222</v>
      </c>
      <c r="D828" t="s">
        <v>119</v>
      </c>
      <c r="E828" s="4">
        <v>100.85599999999999</v>
      </c>
      <c r="F828" s="4">
        <v>414088.245</v>
      </c>
      <c r="G828" s="4">
        <v>414189.10100000002</v>
      </c>
      <c r="H828" s="5">
        <f>10123 / 86400</f>
        <v>0.11716435185185185</v>
      </c>
      <c r="I828" t="s">
        <v>70</v>
      </c>
      <c r="J828" t="s">
        <v>64</v>
      </c>
      <c r="K828" s="5">
        <f>27217 / 86400</f>
        <v>0.3150115740740741</v>
      </c>
      <c r="L828" s="5">
        <f>1116 / 86400</f>
        <v>1.2916666666666667E-2</v>
      </c>
    </row>
    <row r="829" spans="1:12" x14ac:dyDescent="0.25">
      <c r="A829" s="3">
        <v>45716.908576388887</v>
      </c>
      <c r="B829" t="s">
        <v>119</v>
      </c>
      <c r="C829" s="3">
        <v>45716.910324074073</v>
      </c>
      <c r="D829" t="s">
        <v>136</v>
      </c>
      <c r="E829" s="4">
        <v>0.58899999999999997</v>
      </c>
      <c r="F829" s="4">
        <v>414189.10100000002</v>
      </c>
      <c r="G829" s="4">
        <v>414189.69</v>
      </c>
      <c r="H829" s="5">
        <f>20 / 86400</f>
        <v>2.3148148148148149E-4</v>
      </c>
      <c r="I829" t="s">
        <v>179</v>
      </c>
      <c r="J829" t="s">
        <v>72</v>
      </c>
      <c r="K829" s="5">
        <f>150 / 86400</f>
        <v>1.736111111111111E-3</v>
      </c>
      <c r="L829" s="5">
        <f>355 / 86400</f>
        <v>4.1087962962962962E-3</v>
      </c>
    </row>
    <row r="830" spans="1:12" x14ac:dyDescent="0.25">
      <c r="A830" s="3">
        <v>45716.91443287037</v>
      </c>
      <c r="B830" t="s">
        <v>136</v>
      </c>
      <c r="C830" s="3">
        <v>45716.99998842593</v>
      </c>
      <c r="D830" t="s">
        <v>69</v>
      </c>
      <c r="E830" s="4">
        <v>35.957000000000001</v>
      </c>
      <c r="F830" s="4">
        <v>414189.69</v>
      </c>
      <c r="G830" s="4">
        <v>414225.647</v>
      </c>
      <c r="H830" s="5">
        <f>2160 / 86400</f>
        <v>2.5000000000000001E-2</v>
      </c>
      <c r="I830" t="s">
        <v>289</v>
      </c>
      <c r="J830" t="s">
        <v>20</v>
      </c>
      <c r="K830" s="5">
        <f>7392 / 86400</f>
        <v>8.5555555555555551E-2</v>
      </c>
      <c r="L830" s="5">
        <f>0 / 86400</f>
        <v>0</v>
      </c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2" s="10" customFormat="1" ht="20.100000000000001" customHeight="1" x14ac:dyDescent="0.35">
      <c r="A833" s="15" t="s">
        <v>506</v>
      </c>
      <c r="B833" s="15"/>
      <c r="C833" s="15"/>
      <c r="D833" s="15"/>
      <c r="E833" s="15"/>
      <c r="F833" s="15"/>
      <c r="G833" s="15"/>
      <c r="H833" s="15"/>
      <c r="I833" s="15"/>
      <c r="J833" s="15"/>
    </row>
    <row r="834" spans="1:1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</row>
    <row r="835" spans="1:12" ht="30" x14ac:dyDescent="0.25">
      <c r="A835" s="2" t="s">
        <v>6</v>
      </c>
      <c r="B835" s="2" t="s">
        <v>7</v>
      </c>
      <c r="C835" s="2" t="s">
        <v>8</v>
      </c>
      <c r="D835" s="2" t="s">
        <v>9</v>
      </c>
      <c r="E835" s="2" t="s">
        <v>10</v>
      </c>
      <c r="F835" s="2" t="s">
        <v>11</v>
      </c>
      <c r="G835" s="2" t="s">
        <v>12</v>
      </c>
      <c r="H835" s="2" t="s">
        <v>13</v>
      </c>
      <c r="I835" s="2" t="s">
        <v>14</v>
      </c>
      <c r="J835" s="2" t="s">
        <v>15</v>
      </c>
      <c r="K835" s="2" t="s">
        <v>16</v>
      </c>
      <c r="L835" s="2" t="s">
        <v>17</v>
      </c>
    </row>
    <row r="836" spans="1:12" x14ac:dyDescent="0.25">
      <c r="A836" s="3">
        <v>45716.24700231482</v>
      </c>
      <c r="B836" t="s">
        <v>71</v>
      </c>
      <c r="C836" s="3">
        <v>45716.250497685185</v>
      </c>
      <c r="D836" t="s">
        <v>118</v>
      </c>
      <c r="E836" s="4">
        <v>0.307</v>
      </c>
      <c r="F836" s="4">
        <v>404862.22</v>
      </c>
      <c r="G836" s="4">
        <v>404862.527</v>
      </c>
      <c r="H836" s="5">
        <f>179 / 86400</f>
        <v>2.0717592592592593E-3</v>
      </c>
      <c r="I836" t="s">
        <v>153</v>
      </c>
      <c r="J836" t="s">
        <v>147</v>
      </c>
      <c r="K836" s="5">
        <f>301 / 86400</f>
        <v>3.4837962962962965E-3</v>
      </c>
      <c r="L836" s="5">
        <f>21416 / 86400</f>
        <v>0.24787037037037038</v>
      </c>
    </row>
    <row r="837" spans="1:12" x14ac:dyDescent="0.25">
      <c r="A837" s="3">
        <v>45716.25136574074</v>
      </c>
      <c r="B837" t="s">
        <v>118</v>
      </c>
      <c r="C837" s="3">
        <v>45716.254502314812</v>
      </c>
      <c r="D837" t="s">
        <v>311</v>
      </c>
      <c r="E837" s="4">
        <v>0.65500000000000003</v>
      </c>
      <c r="F837" s="4">
        <v>404862.527</v>
      </c>
      <c r="G837" s="4">
        <v>404863.18199999997</v>
      </c>
      <c r="H837" s="5">
        <f>80 / 86400</f>
        <v>9.2592592592592596E-4</v>
      </c>
      <c r="I837" t="s">
        <v>32</v>
      </c>
      <c r="J837" t="s">
        <v>132</v>
      </c>
      <c r="K837" s="5">
        <f>270 / 86400</f>
        <v>3.1250000000000002E-3</v>
      </c>
      <c r="L837" s="5">
        <f>221 / 86400</f>
        <v>2.5578703703703705E-3</v>
      </c>
    </row>
    <row r="838" spans="1:12" x14ac:dyDescent="0.25">
      <c r="A838" s="3">
        <v>45716.257060185184</v>
      </c>
      <c r="B838" t="s">
        <v>311</v>
      </c>
      <c r="C838" s="3">
        <v>45716.400462962964</v>
      </c>
      <c r="D838" t="s">
        <v>387</v>
      </c>
      <c r="E838" s="4">
        <v>49.186999999999998</v>
      </c>
      <c r="F838" s="4">
        <v>404863.18199999997</v>
      </c>
      <c r="G838" s="4">
        <v>404912.36900000001</v>
      </c>
      <c r="H838" s="5">
        <f>5119 / 86400</f>
        <v>5.9247685185185188E-2</v>
      </c>
      <c r="I838" t="s">
        <v>65</v>
      </c>
      <c r="J838" t="s">
        <v>72</v>
      </c>
      <c r="K838" s="5">
        <f>12389 / 86400</f>
        <v>0.1433912037037037</v>
      </c>
      <c r="L838" s="5">
        <f>273 / 86400</f>
        <v>3.1597222222222222E-3</v>
      </c>
    </row>
    <row r="839" spans="1:12" x14ac:dyDescent="0.25">
      <c r="A839" s="3">
        <v>45716.403622685189</v>
      </c>
      <c r="B839" t="s">
        <v>387</v>
      </c>
      <c r="C839" s="3">
        <v>45716.418182870373</v>
      </c>
      <c r="D839" t="s">
        <v>402</v>
      </c>
      <c r="E839" s="4">
        <v>3.85</v>
      </c>
      <c r="F839" s="4">
        <v>404912.36900000001</v>
      </c>
      <c r="G839" s="4">
        <v>404916.21899999998</v>
      </c>
      <c r="H839" s="5">
        <f>480 / 86400</f>
        <v>5.5555555555555558E-3</v>
      </c>
      <c r="I839" t="s">
        <v>165</v>
      </c>
      <c r="J839" t="s">
        <v>100</v>
      </c>
      <c r="K839" s="5">
        <f>1257 / 86400</f>
        <v>1.4548611111111111E-2</v>
      </c>
      <c r="L839" s="5">
        <f>1897 / 86400</f>
        <v>2.1956018518518517E-2</v>
      </c>
    </row>
    <row r="840" spans="1:12" x14ac:dyDescent="0.25">
      <c r="A840" s="3">
        <v>45716.440138888887</v>
      </c>
      <c r="B840" t="s">
        <v>402</v>
      </c>
      <c r="C840" s="3">
        <v>45716.564652777779</v>
      </c>
      <c r="D840" t="s">
        <v>403</v>
      </c>
      <c r="E840" s="4">
        <v>47.703000000000003</v>
      </c>
      <c r="F840" s="4">
        <v>404916.21899999998</v>
      </c>
      <c r="G840" s="4">
        <v>404963.92200000002</v>
      </c>
      <c r="H840" s="5">
        <f>3561 / 86400</f>
        <v>4.1215277777777781E-2</v>
      </c>
      <c r="I840" t="s">
        <v>129</v>
      </c>
      <c r="J840" t="s">
        <v>31</v>
      </c>
      <c r="K840" s="5">
        <f>10758 / 86400</f>
        <v>0.12451388888888888</v>
      </c>
      <c r="L840" s="5">
        <f>115 / 86400</f>
        <v>1.3310185185185185E-3</v>
      </c>
    </row>
    <row r="841" spans="1:12" x14ac:dyDescent="0.25">
      <c r="A841" s="3">
        <v>45716.565983796296</v>
      </c>
      <c r="B841" t="s">
        <v>403</v>
      </c>
      <c r="C841" s="3">
        <v>45716.567048611112</v>
      </c>
      <c r="D841" t="s">
        <v>131</v>
      </c>
      <c r="E841" s="4">
        <v>0.27800000000000002</v>
      </c>
      <c r="F841" s="4">
        <v>404963.92200000002</v>
      </c>
      <c r="G841" s="4">
        <v>404964.2</v>
      </c>
      <c r="H841" s="5">
        <f>0 / 86400</f>
        <v>0</v>
      </c>
      <c r="I841" t="s">
        <v>108</v>
      </c>
      <c r="J841" t="s">
        <v>100</v>
      </c>
      <c r="K841" s="5">
        <f>92 / 86400</f>
        <v>1.0648148148148149E-3</v>
      </c>
      <c r="L841" s="5">
        <f>1427 / 86400</f>
        <v>1.6516203703703703E-2</v>
      </c>
    </row>
    <row r="842" spans="1:12" x14ac:dyDescent="0.25">
      <c r="A842" s="3">
        <v>45716.583564814813</v>
      </c>
      <c r="B842" t="s">
        <v>131</v>
      </c>
      <c r="C842" s="3">
        <v>45716.718217592592</v>
      </c>
      <c r="D842" t="s">
        <v>404</v>
      </c>
      <c r="E842" s="4">
        <v>50.395000000000003</v>
      </c>
      <c r="F842" s="4">
        <v>404964.2</v>
      </c>
      <c r="G842" s="4">
        <v>405014.59499999997</v>
      </c>
      <c r="H842" s="5">
        <f>3879 / 86400</f>
        <v>4.4895833333333336E-2</v>
      </c>
      <c r="I842" t="s">
        <v>235</v>
      </c>
      <c r="J842" t="s">
        <v>31</v>
      </c>
      <c r="K842" s="5">
        <f>11634 / 86400</f>
        <v>0.13465277777777779</v>
      </c>
      <c r="L842" s="5">
        <f>117 / 86400</f>
        <v>1.3541666666666667E-3</v>
      </c>
    </row>
    <row r="843" spans="1:12" x14ac:dyDescent="0.25">
      <c r="A843" s="3">
        <v>45716.719571759255</v>
      </c>
      <c r="B843" t="s">
        <v>404</v>
      </c>
      <c r="C843" s="3">
        <v>45716.720995370371</v>
      </c>
      <c r="D843" t="s">
        <v>150</v>
      </c>
      <c r="E843" s="4">
        <v>0.34200000000000003</v>
      </c>
      <c r="F843" s="4">
        <v>405014.59499999997</v>
      </c>
      <c r="G843" s="4">
        <v>405014.93699999998</v>
      </c>
      <c r="H843" s="5">
        <f>40 / 86400</f>
        <v>4.6296296296296298E-4</v>
      </c>
      <c r="I843" t="s">
        <v>149</v>
      </c>
      <c r="J843" t="s">
        <v>151</v>
      </c>
      <c r="K843" s="5">
        <f>123 / 86400</f>
        <v>1.4236111111111112E-3</v>
      </c>
      <c r="L843" s="5">
        <f>514 / 86400</f>
        <v>5.9490740740740745E-3</v>
      </c>
    </row>
    <row r="844" spans="1:12" x14ac:dyDescent="0.25">
      <c r="A844" s="3">
        <v>45716.726944444439</v>
      </c>
      <c r="B844" t="s">
        <v>150</v>
      </c>
      <c r="C844" s="3">
        <v>45716.891099537039</v>
      </c>
      <c r="D844" t="s">
        <v>136</v>
      </c>
      <c r="E844" s="4">
        <v>49.021000000000001</v>
      </c>
      <c r="F844" s="4">
        <v>405014.93699999998</v>
      </c>
      <c r="G844" s="4">
        <v>405063.95799999998</v>
      </c>
      <c r="H844" s="5">
        <f>5221 / 86400</f>
        <v>6.0428240740740741E-2</v>
      </c>
      <c r="I844" t="s">
        <v>56</v>
      </c>
      <c r="J844" t="s">
        <v>28</v>
      </c>
      <c r="K844" s="5">
        <f>14183 / 86400</f>
        <v>0.16415509259259259</v>
      </c>
      <c r="L844" s="5">
        <f>261 / 86400</f>
        <v>3.0208333333333333E-3</v>
      </c>
    </row>
    <row r="845" spans="1:12" x14ac:dyDescent="0.25">
      <c r="A845" s="3">
        <v>45716.894120370373</v>
      </c>
      <c r="B845" t="s">
        <v>136</v>
      </c>
      <c r="C845" s="3">
        <v>45716.895752314813</v>
      </c>
      <c r="D845" t="s">
        <v>405</v>
      </c>
      <c r="E845" s="4">
        <v>0.34499999999999997</v>
      </c>
      <c r="F845" s="4">
        <v>405063.95799999998</v>
      </c>
      <c r="G845" s="4">
        <v>405064.30300000001</v>
      </c>
      <c r="H845" s="5">
        <f>20 / 86400</f>
        <v>2.3148148148148149E-4</v>
      </c>
      <c r="I845" t="s">
        <v>85</v>
      </c>
      <c r="J845" t="s">
        <v>132</v>
      </c>
      <c r="K845" s="5">
        <f>140 / 86400</f>
        <v>1.6203703703703703E-3</v>
      </c>
      <c r="L845" s="5">
        <f>669 / 86400</f>
        <v>7.743055555555556E-3</v>
      </c>
    </row>
    <row r="846" spans="1:12" x14ac:dyDescent="0.25">
      <c r="A846" s="3">
        <v>45716.903495370367</v>
      </c>
      <c r="B846" t="s">
        <v>405</v>
      </c>
      <c r="C846" s="3">
        <v>45716.906041666662</v>
      </c>
      <c r="D846" t="s">
        <v>71</v>
      </c>
      <c r="E846" s="4">
        <v>0.48499999999999999</v>
      </c>
      <c r="F846" s="4">
        <v>405064.30300000001</v>
      </c>
      <c r="G846" s="4">
        <v>405064.788</v>
      </c>
      <c r="H846" s="5">
        <f>0 / 86400</f>
        <v>0</v>
      </c>
      <c r="I846" t="s">
        <v>130</v>
      </c>
      <c r="J846" t="s">
        <v>214</v>
      </c>
      <c r="K846" s="5">
        <f>219 / 86400</f>
        <v>2.5347222222222221E-3</v>
      </c>
      <c r="L846" s="5">
        <f>8117 / 86400</f>
        <v>9.3946759259259258E-2</v>
      </c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s="10" customFormat="1" ht="20.100000000000001" customHeight="1" x14ac:dyDescent="0.35">
      <c r="A849" s="15" t="s">
        <v>507</v>
      </c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2" ht="30" x14ac:dyDescent="0.25">
      <c r="A851" s="2" t="s">
        <v>6</v>
      </c>
      <c r="B851" s="2" t="s">
        <v>7</v>
      </c>
      <c r="C851" s="2" t="s">
        <v>8</v>
      </c>
      <c r="D851" s="2" t="s">
        <v>9</v>
      </c>
      <c r="E851" s="2" t="s">
        <v>10</v>
      </c>
      <c r="F851" s="2" t="s">
        <v>11</v>
      </c>
      <c r="G851" s="2" t="s">
        <v>12</v>
      </c>
      <c r="H851" s="2" t="s">
        <v>13</v>
      </c>
      <c r="I851" s="2" t="s">
        <v>14</v>
      </c>
      <c r="J851" s="2" t="s">
        <v>15</v>
      </c>
      <c r="K851" s="2" t="s">
        <v>16</v>
      </c>
      <c r="L851" s="2" t="s">
        <v>17</v>
      </c>
    </row>
    <row r="852" spans="1:12" x14ac:dyDescent="0.25">
      <c r="A852" s="3">
        <v>45716.268414351856</v>
      </c>
      <c r="B852" t="s">
        <v>73</v>
      </c>
      <c r="C852" s="3">
        <v>45716.26944444445</v>
      </c>
      <c r="D852" t="s">
        <v>73</v>
      </c>
      <c r="E852" s="4">
        <v>0</v>
      </c>
      <c r="F852" s="4">
        <v>409018.60499999998</v>
      </c>
      <c r="G852" s="4">
        <v>409018.60499999998</v>
      </c>
      <c r="H852" s="5">
        <f>79 / 86400</f>
        <v>9.1435185185185185E-4</v>
      </c>
      <c r="I852" t="s">
        <v>22</v>
      </c>
      <c r="J852" t="s">
        <v>22</v>
      </c>
      <c r="K852" s="5">
        <f>88 / 86400</f>
        <v>1.0185185185185184E-3</v>
      </c>
      <c r="L852" s="5">
        <f>25940 / 86400</f>
        <v>0.30023148148148149</v>
      </c>
    </row>
    <row r="853" spans="1:12" x14ac:dyDescent="0.25">
      <c r="A853" s="3">
        <v>45716.301261574074</v>
      </c>
      <c r="B853" t="s">
        <v>73</v>
      </c>
      <c r="C853" s="3">
        <v>45716.360914351855</v>
      </c>
      <c r="D853" t="s">
        <v>128</v>
      </c>
      <c r="E853" s="4">
        <v>34.683</v>
      </c>
      <c r="F853" s="4">
        <v>409018.60499999998</v>
      </c>
      <c r="G853" s="4">
        <v>409053.288</v>
      </c>
      <c r="H853" s="5">
        <f>701 / 86400</f>
        <v>8.1134259259259267E-3</v>
      </c>
      <c r="I853" t="s">
        <v>87</v>
      </c>
      <c r="J853" t="s">
        <v>37</v>
      </c>
      <c r="K853" s="5">
        <f>5153 / 86400</f>
        <v>5.9641203703703703E-2</v>
      </c>
      <c r="L853" s="5">
        <f>439 / 86400</f>
        <v>5.0810185185185186E-3</v>
      </c>
    </row>
    <row r="854" spans="1:12" x14ac:dyDescent="0.25">
      <c r="A854" s="3">
        <v>45716.365995370375</v>
      </c>
      <c r="B854" t="s">
        <v>128</v>
      </c>
      <c r="C854" s="3">
        <v>45716.367789351847</v>
      </c>
      <c r="D854" t="s">
        <v>131</v>
      </c>
      <c r="E854" s="4">
        <v>0.433</v>
      </c>
      <c r="F854" s="4">
        <v>409053.288</v>
      </c>
      <c r="G854" s="4">
        <v>409053.72100000002</v>
      </c>
      <c r="H854" s="5">
        <f>20 / 86400</f>
        <v>2.3148148148148149E-4</v>
      </c>
      <c r="I854" t="s">
        <v>37</v>
      </c>
      <c r="J854" t="s">
        <v>151</v>
      </c>
      <c r="K854" s="5">
        <f>155 / 86400</f>
        <v>1.7939814814814815E-3</v>
      </c>
      <c r="L854" s="5">
        <f>619 / 86400</f>
        <v>7.1643518518518514E-3</v>
      </c>
    </row>
    <row r="855" spans="1:12" x14ac:dyDescent="0.25">
      <c r="A855" s="3">
        <v>45716.374953703707</v>
      </c>
      <c r="B855" t="s">
        <v>131</v>
      </c>
      <c r="C855" s="3">
        <v>45716.375173611115</v>
      </c>
      <c r="D855" t="s">
        <v>161</v>
      </c>
      <c r="E855" s="4">
        <v>1.2999999999999999E-2</v>
      </c>
      <c r="F855" s="4">
        <v>409053.72100000002</v>
      </c>
      <c r="G855" s="4">
        <v>409053.734</v>
      </c>
      <c r="H855" s="5">
        <f>0 / 86400</f>
        <v>0</v>
      </c>
      <c r="I855" t="s">
        <v>25</v>
      </c>
      <c r="J855" t="s">
        <v>156</v>
      </c>
      <c r="K855" s="5">
        <f>19 / 86400</f>
        <v>2.199074074074074E-4</v>
      </c>
      <c r="L855" s="5">
        <f>1284 / 86400</f>
        <v>1.4861111111111111E-2</v>
      </c>
    </row>
    <row r="856" spans="1:12" x14ac:dyDescent="0.25">
      <c r="A856" s="3">
        <v>45716.390034722222</v>
      </c>
      <c r="B856" t="s">
        <v>161</v>
      </c>
      <c r="C856" s="3">
        <v>45716.655115740738</v>
      </c>
      <c r="D856" t="s">
        <v>46</v>
      </c>
      <c r="E856" s="4">
        <v>102.64400000000001</v>
      </c>
      <c r="F856" s="4">
        <v>409053.734</v>
      </c>
      <c r="G856" s="4">
        <v>409156.37800000003</v>
      </c>
      <c r="H856" s="5">
        <f>8240 / 86400</f>
        <v>9.5370370370370369E-2</v>
      </c>
      <c r="I856" t="s">
        <v>47</v>
      </c>
      <c r="J856" t="s">
        <v>31</v>
      </c>
      <c r="K856" s="5">
        <f>22903 / 86400</f>
        <v>0.26508101851851851</v>
      </c>
      <c r="L856" s="5">
        <f>606 / 86400</f>
        <v>7.013888888888889E-3</v>
      </c>
    </row>
    <row r="857" spans="1:12" x14ac:dyDescent="0.25">
      <c r="A857" s="3">
        <v>45716.662129629629</v>
      </c>
      <c r="B857" t="s">
        <v>46</v>
      </c>
      <c r="C857" s="3">
        <v>45716.663738425923</v>
      </c>
      <c r="D857" t="s">
        <v>406</v>
      </c>
      <c r="E857" s="4">
        <v>0.2</v>
      </c>
      <c r="F857" s="4">
        <v>409156.37800000003</v>
      </c>
      <c r="G857" s="4">
        <v>409156.57799999998</v>
      </c>
      <c r="H857" s="5">
        <f>20 / 86400</f>
        <v>2.3148148148148149E-4</v>
      </c>
      <c r="I857" t="s">
        <v>151</v>
      </c>
      <c r="J857" t="s">
        <v>25</v>
      </c>
      <c r="K857" s="5">
        <f>139 / 86400</f>
        <v>1.6087962962962963E-3</v>
      </c>
      <c r="L857" s="5">
        <f>2107 / 86400</f>
        <v>2.4386574074074074E-2</v>
      </c>
    </row>
    <row r="858" spans="1:12" x14ac:dyDescent="0.25">
      <c r="A858" s="3">
        <v>45716.688125000001</v>
      </c>
      <c r="B858" t="s">
        <v>406</v>
      </c>
      <c r="C858" s="3">
        <v>45716.691759259258</v>
      </c>
      <c r="D858" t="s">
        <v>161</v>
      </c>
      <c r="E858" s="4">
        <v>1.165</v>
      </c>
      <c r="F858" s="4">
        <v>409156.57799999998</v>
      </c>
      <c r="G858" s="4">
        <v>409157.74300000002</v>
      </c>
      <c r="H858" s="5">
        <f>0 / 86400</f>
        <v>0</v>
      </c>
      <c r="I858" t="s">
        <v>142</v>
      </c>
      <c r="J858" t="s">
        <v>64</v>
      </c>
      <c r="K858" s="5">
        <f>313 / 86400</f>
        <v>3.6226851851851854E-3</v>
      </c>
      <c r="L858" s="5">
        <f>1827 / 86400</f>
        <v>2.1145833333333332E-2</v>
      </c>
    </row>
    <row r="859" spans="1:12" x14ac:dyDescent="0.25">
      <c r="A859" s="3">
        <v>45716.712905092594</v>
      </c>
      <c r="B859" t="s">
        <v>161</v>
      </c>
      <c r="C859" s="3">
        <v>45716.797118055554</v>
      </c>
      <c r="D859" t="s">
        <v>138</v>
      </c>
      <c r="E859" s="4">
        <v>36.631999999999998</v>
      </c>
      <c r="F859" s="4">
        <v>409157.74300000002</v>
      </c>
      <c r="G859" s="4">
        <v>409194.375</v>
      </c>
      <c r="H859" s="5">
        <f>2117 / 86400</f>
        <v>2.4502314814814814E-2</v>
      </c>
      <c r="I859" t="s">
        <v>52</v>
      </c>
      <c r="J859" t="s">
        <v>20</v>
      </c>
      <c r="K859" s="5">
        <f>7275 / 86400</f>
        <v>8.4201388888888895E-2</v>
      </c>
      <c r="L859" s="5">
        <f>357 / 86400</f>
        <v>4.1319444444444442E-3</v>
      </c>
    </row>
    <row r="860" spans="1:12" x14ac:dyDescent="0.25">
      <c r="A860" s="3">
        <v>45716.801250000004</v>
      </c>
      <c r="B860" t="s">
        <v>138</v>
      </c>
      <c r="C860" s="3">
        <v>45716.806331018517</v>
      </c>
      <c r="D860" t="s">
        <v>73</v>
      </c>
      <c r="E860" s="4">
        <v>1.341</v>
      </c>
      <c r="F860" s="4">
        <v>409194.375</v>
      </c>
      <c r="G860" s="4">
        <v>409195.71600000001</v>
      </c>
      <c r="H860" s="5">
        <f>100 / 86400</f>
        <v>1.1574074074074073E-3</v>
      </c>
      <c r="I860" t="s">
        <v>130</v>
      </c>
      <c r="J860" t="s">
        <v>100</v>
      </c>
      <c r="K860" s="5">
        <f>438 / 86400</f>
        <v>5.0694444444444441E-3</v>
      </c>
      <c r="L860" s="5">
        <f>580 / 86400</f>
        <v>6.7129629629629631E-3</v>
      </c>
    </row>
    <row r="861" spans="1:12" x14ac:dyDescent="0.25">
      <c r="A861" s="3">
        <v>45716.813043981485</v>
      </c>
      <c r="B861" t="s">
        <v>73</v>
      </c>
      <c r="C861" s="3">
        <v>45716.813425925924</v>
      </c>
      <c r="D861" t="s">
        <v>73</v>
      </c>
      <c r="E861" s="4">
        <v>1.4E-2</v>
      </c>
      <c r="F861" s="4">
        <v>409195.71600000001</v>
      </c>
      <c r="G861" s="4">
        <v>409195.73</v>
      </c>
      <c r="H861" s="5">
        <f>19 / 86400</f>
        <v>2.199074074074074E-4</v>
      </c>
      <c r="I861" t="s">
        <v>22</v>
      </c>
      <c r="J861" t="s">
        <v>156</v>
      </c>
      <c r="K861" s="5">
        <f>32 / 86400</f>
        <v>3.7037037037037035E-4</v>
      </c>
      <c r="L861" s="5">
        <f>16119 / 86400</f>
        <v>0.18656249999999999</v>
      </c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s="10" customFormat="1" ht="20.100000000000001" customHeight="1" x14ac:dyDescent="0.35">
      <c r="A864" s="15" t="s">
        <v>508</v>
      </c>
      <c r="B864" s="15"/>
      <c r="C864" s="15"/>
      <c r="D864" s="15"/>
      <c r="E864" s="15"/>
      <c r="F864" s="15"/>
      <c r="G864" s="15"/>
      <c r="H864" s="15"/>
      <c r="I864" s="15"/>
      <c r="J864" s="15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ht="30" x14ac:dyDescent="0.25">
      <c r="A866" s="2" t="s">
        <v>6</v>
      </c>
      <c r="B866" s="2" t="s">
        <v>7</v>
      </c>
      <c r="C866" s="2" t="s">
        <v>8</v>
      </c>
      <c r="D866" s="2" t="s">
        <v>9</v>
      </c>
      <c r="E866" s="2" t="s">
        <v>10</v>
      </c>
      <c r="F866" s="2" t="s">
        <v>11</v>
      </c>
      <c r="G866" s="2" t="s">
        <v>12</v>
      </c>
      <c r="H866" s="2" t="s">
        <v>13</v>
      </c>
      <c r="I866" s="2" t="s">
        <v>14</v>
      </c>
      <c r="J866" s="2" t="s">
        <v>15</v>
      </c>
      <c r="K866" s="2" t="s">
        <v>16</v>
      </c>
      <c r="L866" s="2" t="s">
        <v>17</v>
      </c>
    </row>
    <row r="867" spans="1:12" x14ac:dyDescent="0.25">
      <c r="A867" s="3">
        <v>45716.298032407409</v>
      </c>
      <c r="B867" t="s">
        <v>74</v>
      </c>
      <c r="C867" s="3">
        <v>45716.397534722222</v>
      </c>
      <c r="D867" t="s">
        <v>136</v>
      </c>
      <c r="E867" s="4">
        <v>43.365000000000002</v>
      </c>
      <c r="F867" s="4">
        <v>349318.359</v>
      </c>
      <c r="G867" s="4">
        <v>349361.72399999999</v>
      </c>
      <c r="H867" s="5">
        <f>2520 / 86400</f>
        <v>2.9166666666666667E-2</v>
      </c>
      <c r="I867" t="s">
        <v>104</v>
      </c>
      <c r="J867" t="s">
        <v>20</v>
      </c>
      <c r="K867" s="5">
        <f>8596 / 86400</f>
        <v>9.9490740740740741E-2</v>
      </c>
      <c r="L867" s="5">
        <f>26026 / 86400</f>
        <v>0.30122685185185183</v>
      </c>
    </row>
    <row r="868" spans="1:12" x14ac:dyDescent="0.25">
      <c r="A868" s="3">
        <v>45716.400729166664</v>
      </c>
      <c r="B868" t="s">
        <v>136</v>
      </c>
      <c r="C868" s="3">
        <v>45716.405821759261</v>
      </c>
      <c r="D868" t="s">
        <v>161</v>
      </c>
      <c r="E868" s="4">
        <v>1.32</v>
      </c>
      <c r="F868" s="4">
        <v>349361.72399999999</v>
      </c>
      <c r="G868" s="4">
        <v>349363.04399999999</v>
      </c>
      <c r="H868" s="5">
        <f>139 / 86400</f>
        <v>1.6087962962962963E-3</v>
      </c>
      <c r="I868" t="s">
        <v>145</v>
      </c>
      <c r="J868" t="s">
        <v>100</v>
      </c>
      <c r="K868" s="5">
        <f>440 / 86400</f>
        <v>5.092592592592593E-3</v>
      </c>
      <c r="L868" s="5">
        <f>6114 / 86400</f>
        <v>7.076388888888889E-2</v>
      </c>
    </row>
    <row r="869" spans="1:12" x14ac:dyDescent="0.25">
      <c r="A869" s="3">
        <v>45716.476585648154</v>
      </c>
      <c r="B869" t="s">
        <v>161</v>
      </c>
      <c r="C869" s="3">
        <v>45716.586863425924</v>
      </c>
      <c r="D869" t="s">
        <v>407</v>
      </c>
      <c r="E869" s="4">
        <v>43.393000000000001</v>
      </c>
      <c r="F869" s="4">
        <v>349363.04399999999</v>
      </c>
      <c r="G869" s="4">
        <v>349406.43699999998</v>
      </c>
      <c r="H869" s="5">
        <f>3119 / 86400</f>
        <v>3.6099537037037034E-2</v>
      </c>
      <c r="I869" t="s">
        <v>75</v>
      </c>
      <c r="J869" t="s">
        <v>31</v>
      </c>
      <c r="K869" s="5">
        <f>9527 / 86400</f>
        <v>0.1102662037037037</v>
      </c>
      <c r="L869" s="5">
        <f>3 / 86400</f>
        <v>3.4722222222222222E-5</v>
      </c>
    </row>
    <row r="870" spans="1:12" x14ac:dyDescent="0.25">
      <c r="A870" s="3">
        <v>45716.586898148147</v>
      </c>
      <c r="B870" t="s">
        <v>407</v>
      </c>
      <c r="C870" s="3">
        <v>45716.605706018519</v>
      </c>
      <c r="D870" t="s">
        <v>408</v>
      </c>
      <c r="E870" s="4">
        <v>2.89</v>
      </c>
      <c r="F870" s="4">
        <v>349406.43699999998</v>
      </c>
      <c r="G870" s="4">
        <v>349409.32699999999</v>
      </c>
      <c r="H870" s="5">
        <f>1059 / 86400</f>
        <v>1.2256944444444445E-2</v>
      </c>
      <c r="I870" t="s">
        <v>164</v>
      </c>
      <c r="J870" t="s">
        <v>137</v>
      </c>
      <c r="K870" s="5">
        <f>1625 / 86400</f>
        <v>1.8807870370370371E-2</v>
      </c>
      <c r="L870" s="5">
        <f>99 / 86400</f>
        <v>1.1458333333333333E-3</v>
      </c>
    </row>
    <row r="871" spans="1:12" x14ac:dyDescent="0.25">
      <c r="A871" s="3">
        <v>45716.606851851851</v>
      </c>
      <c r="B871" t="s">
        <v>408</v>
      </c>
      <c r="C871" s="3">
        <v>45716.617858796293</v>
      </c>
      <c r="D871" t="s">
        <v>409</v>
      </c>
      <c r="E871" s="4">
        <v>1.754</v>
      </c>
      <c r="F871" s="4">
        <v>349409.32699999999</v>
      </c>
      <c r="G871" s="4">
        <v>349411.08100000001</v>
      </c>
      <c r="H871" s="5">
        <f>459 / 86400</f>
        <v>5.3125000000000004E-3</v>
      </c>
      <c r="I871" t="s">
        <v>176</v>
      </c>
      <c r="J871" t="s">
        <v>57</v>
      </c>
      <c r="K871" s="5">
        <f>951 / 86400</f>
        <v>1.1006944444444444E-2</v>
      </c>
      <c r="L871" s="5">
        <f>56 / 86400</f>
        <v>6.4814814814814813E-4</v>
      </c>
    </row>
    <row r="872" spans="1:12" x14ac:dyDescent="0.25">
      <c r="A872" s="3">
        <v>45716.618506944447</v>
      </c>
      <c r="B872" t="s">
        <v>409</v>
      </c>
      <c r="C872" s="3">
        <v>45716.620462962965</v>
      </c>
      <c r="D872" t="s">
        <v>410</v>
      </c>
      <c r="E872" s="4">
        <v>7.1999999999999995E-2</v>
      </c>
      <c r="F872" s="4">
        <v>349411.08100000001</v>
      </c>
      <c r="G872" s="4">
        <v>349411.15299999999</v>
      </c>
      <c r="H872" s="5">
        <f>140 / 86400</f>
        <v>1.6203703703703703E-3</v>
      </c>
      <c r="I872" t="s">
        <v>57</v>
      </c>
      <c r="J872" t="s">
        <v>156</v>
      </c>
      <c r="K872" s="5">
        <f>169 / 86400</f>
        <v>1.9560185185185184E-3</v>
      </c>
      <c r="L872" s="5">
        <f>151 / 86400</f>
        <v>1.7476851851851852E-3</v>
      </c>
    </row>
    <row r="873" spans="1:12" x14ac:dyDescent="0.25">
      <c r="A873" s="3">
        <v>45716.622210648144</v>
      </c>
      <c r="B873" t="s">
        <v>410</v>
      </c>
      <c r="C873" s="3">
        <v>45716.622685185182</v>
      </c>
      <c r="D873" t="s">
        <v>411</v>
      </c>
      <c r="E873" s="4">
        <v>7.0000000000000007E-2</v>
      </c>
      <c r="F873" s="4">
        <v>349411.15299999999</v>
      </c>
      <c r="G873" s="4">
        <v>349411.223</v>
      </c>
      <c r="H873" s="5">
        <f>0 / 86400</f>
        <v>0</v>
      </c>
      <c r="I873" t="s">
        <v>57</v>
      </c>
      <c r="J873" t="s">
        <v>137</v>
      </c>
      <c r="K873" s="5">
        <f>41 / 86400</f>
        <v>4.7453703703703704E-4</v>
      </c>
      <c r="L873" s="5">
        <f>73 / 86400</f>
        <v>8.4490740740740739E-4</v>
      </c>
    </row>
    <row r="874" spans="1:12" x14ac:dyDescent="0.25">
      <c r="A874" s="3">
        <v>45716.623530092591</v>
      </c>
      <c r="B874" t="s">
        <v>411</v>
      </c>
      <c r="C874" s="3">
        <v>45716.625185185185</v>
      </c>
      <c r="D874" t="s">
        <v>411</v>
      </c>
      <c r="E874" s="4">
        <v>6.2E-2</v>
      </c>
      <c r="F874" s="4">
        <v>349411.223</v>
      </c>
      <c r="G874" s="4">
        <v>349411.28499999997</v>
      </c>
      <c r="H874" s="5">
        <f>100 / 86400</f>
        <v>1.1574074074074073E-3</v>
      </c>
      <c r="I874" t="s">
        <v>100</v>
      </c>
      <c r="J874" t="s">
        <v>156</v>
      </c>
      <c r="K874" s="5">
        <f>142 / 86400</f>
        <v>1.6435185185185185E-3</v>
      </c>
      <c r="L874" s="5">
        <f>484 / 86400</f>
        <v>5.6018518518518518E-3</v>
      </c>
    </row>
    <row r="875" spans="1:12" x14ac:dyDescent="0.25">
      <c r="A875" s="3">
        <v>45716.630787037036</v>
      </c>
      <c r="B875" t="s">
        <v>411</v>
      </c>
      <c r="C875" s="3">
        <v>45716.636030092588</v>
      </c>
      <c r="D875" t="s">
        <v>407</v>
      </c>
      <c r="E875" s="4">
        <v>2.3330000000000002</v>
      </c>
      <c r="F875" s="4">
        <v>349411.28499999997</v>
      </c>
      <c r="G875" s="4">
        <v>349413.61800000002</v>
      </c>
      <c r="H875" s="5">
        <f>80 / 86400</f>
        <v>9.2592592592592596E-4</v>
      </c>
      <c r="I875" t="s">
        <v>200</v>
      </c>
      <c r="J875" t="s">
        <v>85</v>
      </c>
      <c r="K875" s="5">
        <f>452 / 86400</f>
        <v>5.2314814814814811E-3</v>
      </c>
      <c r="L875" s="5">
        <f>3542 / 86400</f>
        <v>4.099537037037037E-2</v>
      </c>
    </row>
    <row r="876" spans="1:12" x14ac:dyDescent="0.25">
      <c r="A876" s="3">
        <v>45716.677025462966</v>
      </c>
      <c r="B876" t="s">
        <v>407</v>
      </c>
      <c r="C876" s="3">
        <v>45716.681192129632</v>
      </c>
      <c r="D876" t="s">
        <v>412</v>
      </c>
      <c r="E876" s="4">
        <v>0.96699999999999997</v>
      </c>
      <c r="F876" s="4">
        <v>349413.61800000002</v>
      </c>
      <c r="G876" s="4">
        <v>349414.58500000002</v>
      </c>
      <c r="H876" s="5">
        <f>79 / 86400</f>
        <v>9.1435185185185185E-4</v>
      </c>
      <c r="I876" t="s">
        <v>179</v>
      </c>
      <c r="J876" t="s">
        <v>151</v>
      </c>
      <c r="K876" s="5">
        <f>360 / 86400</f>
        <v>4.1666666666666666E-3</v>
      </c>
      <c r="L876" s="5">
        <f>60 / 86400</f>
        <v>6.9444444444444447E-4</v>
      </c>
    </row>
    <row r="877" spans="1:12" x14ac:dyDescent="0.25">
      <c r="A877" s="3">
        <v>45716.681886574079</v>
      </c>
      <c r="B877" t="s">
        <v>412</v>
      </c>
      <c r="C877" s="3">
        <v>45716.68304398148</v>
      </c>
      <c r="D877" t="s">
        <v>74</v>
      </c>
      <c r="E877" s="4">
        <v>0.151</v>
      </c>
      <c r="F877" s="4">
        <v>349414.58500000002</v>
      </c>
      <c r="G877" s="4">
        <v>349414.73599999998</v>
      </c>
      <c r="H877" s="5">
        <f>20 / 86400</f>
        <v>2.3148148148148149E-4</v>
      </c>
      <c r="I877" t="s">
        <v>151</v>
      </c>
      <c r="J877" t="s">
        <v>25</v>
      </c>
      <c r="K877" s="5">
        <f>100 / 86400</f>
        <v>1.1574074074074073E-3</v>
      </c>
      <c r="L877" s="5">
        <f>27384 / 86400</f>
        <v>0.31694444444444442</v>
      </c>
    </row>
    <row r="878" spans="1:1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</row>
    <row r="879" spans="1:1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</row>
    <row r="880" spans="1:12" s="10" customFormat="1" ht="20.100000000000001" customHeight="1" x14ac:dyDescent="0.35">
      <c r="A880" s="15" t="s">
        <v>509</v>
      </c>
      <c r="B880" s="15"/>
      <c r="C880" s="15"/>
      <c r="D880" s="15"/>
      <c r="E880" s="15"/>
      <c r="F880" s="15"/>
      <c r="G880" s="15"/>
      <c r="H880" s="15"/>
      <c r="I880" s="15"/>
      <c r="J880" s="15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ht="30" x14ac:dyDescent="0.25">
      <c r="A882" s="2" t="s">
        <v>6</v>
      </c>
      <c r="B882" s="2" t="s">
        <v>7</v>
      </c>
      <c r="C882" s="2" t="s">
        <v>8</v>
      </c>
      <c r="D882" s="2" t="s">
        <v>9</v>
      </c>
      <c r="E882" s="2" t="s">
        <v>10</v>
      </c>
      <c r="F882" s="2" t="s">
        <v>11</v>
      </c>
      <c r="G882" s="2" t="s">
        <v>12</v>
      </c>
      <c r="H882" s="2" t="s">
        <v>13</v>
      </c>
      <c r="I882" s="2" t="s">
        <v>14</v>
      </c>
      <c r="J882" s="2" t="s">
        <v>15</v>
      </c>
      <c r="K882" s="2" t="s">
        <v>16</v>
      </c>
      <c r="L882" s="2" t="s">
        <v>17</v>
      </c>
    </row>
    <row r="883" spans="1:12" x14ac:dyDescent="0.25">
      <c r="A883" s="3">
        <v>45716.171875</v>
      </c>
      <c r="B883" t="s">
        <v>76</v>
      </c>
      <c r="C883" s="3">
        <v>45716.37363425926</v>
      </c>
      <c r="D883" t="s">
        <v>161</v>
      </c>
      <c r="E883" s="4">
        <v>89.587999999999994</v>
      </c>
      <c r="F883" s="4">
        <v>43594.593999999997</v>
      </c>
      <c r="G883" s="4">
        <v>43684.182000000001</v>
      </c>
      <c r="H883" s="5">
        <f>5320 / 86400</f>
        <v>6.1574074074074073E-2</v>
      </c>
      <c r="I883" t="s">
        <v>27</v>
      </c>
      <c r="J883" t="s">
        <v>85</v>
      </c>
      <c r="K883" s="5">
        <f>17432 / 86400</f>
        <v>0.20175925925925925</v>
      </c>
      <c r="L883" s="5">
        <f>16288 / 86400</f>
        <v>0.18851851851851853</v>
      </c>
    </row>
    <row r="884" spans="1:12" x14ac:dyDescent="0.25">
      <c r="A884" s="3">
        <v>45716.390277777777</v>
      </c>
      <c r="B884" t="s">
        <v>161</v>
      </c>
      <c r="C884" s="3">
        <v>45716.651863425926</v>
      </c>
      <c r="D884" t="s">
        <v>136</v>
      </c>
      <c r="E884" s="4">
        <v>101.559</v>
      </c>
      <c r="F884" s="4">
        <v>43684.182000000001</v>
      </c>
      <c r="G884" s="4">
        <v>43785.741000000002</v>
      </c>
      <c r="H884" s="5">
        <f>7806 / 86400</f>
        <v>9.0347222222222218E-2</v>
      </c>
      <c r="I884" t="s">
        <v>78</v>
      </c>
      <c r="J884" t="s">
        <v>31</v>
      </c>
      <c r="K884" s="5">
        <f>22600 / 86400</f>
        <v>0.26157407407407407</v>
      </c>
      <c r="L884" s="5">
        <f>337 / 86400</f>
        <v>3.9004629629629628E-3</v>
      </c>
    </row>
    <row r="885" spans="1:12" x14ac:dyDescent="0.25">
      <c r="A885" s="3">
        <v>45716.655763888892</v>
      </c>
      <c r="B885" t="s">
        <v>136</v>
      </c>
      <c r="C885" s="3">
        <v>45716.656064814815</v>
      </c>
      <c r="D885" t="s">
        <v>134</v>
      </c>
      <c r="E885" s="4">
        <v>2.3E-2</v>
      </c>
      <c r="F885" s="4">
        <v>43785.741000000002</v>
      </c>
      <c r="G885" s="4">
        <v>43785.764000000003</v>
      </c>
      <c r="H885" s="5">
        <f>0 / 86400</f>
        <v>0</v>
      </c>
      <c r="I885" t="s">
        <v>147</v>
      </c>
      <c r="J885" t="s">
        <v>33</v>
      </c>
      <c r="K885" s="5">
        <f>25 / 86400</f>
        <v>2.8935185185185184E-4</v>
      </c>
      <c r="L885" s="5">
        <f>479 / 86400</f>
        <v>5.5439814814814813E-3</v>
      </c>
    </row>
    <row r="886" spans="1:12" x14ac:dyDescent="0.25">
      <c r="A886" s="3">
        <v>45716.661608796298</v>
      </c>
      <c r="B886" t="s">
        <v>134</v>
      </c>
      <c r="C886" s="3">
        <v>45716.661712962959</v>
      </c>
      <c r="D886" t="s">
        <v>134</v>
      </c>
      <c r="E886" s="4">
        <v>0</v>
      </c>
      <c r="F886" s="4">
        <v>43785.764000000003</v>
      </c>
      <c r="G886" s="4">
        <v>43785.764000000003</v>
      </c>
      <c r="H886" s="5">
        <f>0 / 86400</f>
        <v>0</v>
      </c>
      <c r="I886" t="s">
        <v>22</v>
      </c>
      <c r="J886" t="s">
        <v>22</v>
      </c>
      <c r="K886" s="5">
        <f>9 / 86400</f>
        <v>1.0416666666666667E-4</v>
      </c>
      <c r="L886" s="5">
        <f>222 / 86400</f>
        <v>2.5694444444444445E-3</v>
      </c>
    </row>
    <row r="887" spans="1:12" x14ac:dyDescent="0.25">
      <c r="A887" s="3">
        <v>45716.664282407408</v>
      </c>
      <c r="B887" t="s">
        <v>134</v>
      </c>
      <c r="C887" s="3">
        <v>45716.665833333333</v>
      </c>
      <c r="D887" t="s">
        <v>134</v>
      </c>
      <c r="E887" s="4">
        <v>2E-3</v>
      </c>
      <c r="F887" s="4">
        <v>43785.764000000003</v>
      </c>
      <c r="G887" s="4">
        <v>43785.766000000003</v>
      </c>
      <c r="H887" s="5">
        <f>119 / 86400</f>
        <v>1.3773148148148147E-3</v>
      </c>
      <c r="I887" t="s">
        <v>22</v>
      </c>
      <c r="J887" t="s">
        <v>22</v>
      </c>
      <c r="K887" s="5">
        <f>134 / 86400</f>
        <v>1.5509259259259259E-3</v>
      </c>
      <c r="L887" s="5">
        <f>231 / 86400</f>
        <v>2.673611111111111E-3</v>
      </c>
    </row>
    <row r="888" spans="1:12" x14ac:dyDescent="0.25">
      <c r="A888" s="3">
        <v>45716.668506944443</v>
      </c>
      <c r="B888" t="s">
        <v>134</v>
      </c>
      <c r="C888" s="3">
        <v>45716.695011574076</v>
      </c>
      <c r="D888" t="s">
        <v>398</v>
      </c>
      <c r="E888" s="4">
        <v>13.206</v>
      </c>
      <c r="F888" s="4">
        <v>43785.766000000003</v>
      </c>
      <c r="G888" s="4">
        <v>43798.972000000002</v>
      </c>
      <c r="H888" s="5">
        <f>419 / 86400</f>
        <v>4.8495370370370368E-3</v>
      </c>
      <c r="I888" t="s">
        <v>227</v>
      </c>
      <c r="J888" t="s">
        <v>190</v>
      </c>
      <c r="K888" s="5">
        <f>2289 / 86400</f>
        <v>2.6493055555555554E-2</v>
      </c>
      <c r="L888" s="5">
        <f>3621 / 86400</f>
        <v>4.1909722222222223E-2</v>
      </c>
    </row>
    <row r="889" spans="1:12" x14ac:dyDescent="0.25">
      <c r="A889" s="3">
        <v>45716.736921296295</v>
      </c>
      <c r="B889" t="s">
        <v>398</v>
      </c>
      <c r="C889" s="3">
        <v>45716.99998842593</v>
      </c>
      <c r="D889" t="s">
        <v>77</v>
      </c>
      <c r="E889" s="4">
        <v>108.13200000000001</v>
      </c>
      <c r="F889" s="4">
        <v>43798.972000000002</v>
      </c>
      <c r="G889" s="4">
        <v>43907.103999999999</v>
      </c>
      <c r="H889" s="5">
        <f>7821 / 86400</f>
        <v>9.0520833333333328E-2</v>
      </c>
      <c r="I889" t="s">
        <v>235</v>
      </c>
      <c r="J889" t="s">
        <v>62</v>
      </c>
      <c r="K889" s="5">
        <f>22729 / 86400</f>
        <v>0.26306712962962964</v>
      </c>
      <c r="L889" s="5">
        <f>0 / 86400</f>
        <v>0</v>
      </c>
    </row>
    <row r="890" spans="1:1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</row>
    <row r="891" spans="1:1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2" s="10" customFormat="1" ht="20.100000000000001" customHeight="1" x14ac:dyDescent="0.35">
      <c r="A892" s="15" t="s">
        <v>510</v>
      </c>
      <c r="B892" s="15"/>
      <c r="C892" s="15"/>
      <c r="D892" s="15"/>
      <c r="E892" s="15"/>
      <c r="F892" s="15"/>
      <c r="G892" s="15"/>
      <c r="H892" s="15"/>
      <c r="I892" s="15"/>
      <c r="J892" s="15"/>
    </row>
    <row r="893" spans="1:1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</row>
    <row r="894" spans="1:12" ht="30" x14ac:dyDescent="0.25">
      <c r="A894" s="2" t="s">
        <v>6</v>
      </c>
      <c r="B894" s="2" t="s">
        <v>7</v>
      </c>
      <c r="C894" s="2" t="s">
        <v>8</v>
      </c>
      <c r="D894" s="2" t="s">
        <v>9</v>
      </c>
      <c r="E894" s="2" t="s">
        <v>10</v>
      </c>
      <c r="F894" s="2" t="s">
        <v>11</v>
      </c>
      <c r="G894" s="2" t="s">
        <v>12</v>
      </c>
      <c r="H894" s="2" t="s">
        <v>13</v>
      </c>
      <c r="I894" s="2" t="s">
        <v>14</v>
      </c>
      <c r="J894" s="2" t="s">
        <v>15</v>
      </c>
      <c r="K894" s="2" t="s">
        <v>16</v>
      </c>
      <c r="L894" s="2" t="s">
        <v>17</v>
      </c>
    </row>
    <row r="895" spans="1:12" x14ac:dyDescent="0.25">
      <c r="A895" s="3">
        <v>45716.003229166672</v>
      </c>
      <c r="B895" t="s">
        <v>79</v>
      </c>
      <c r="C895" s="3">
        <v>45716.003680555557</v>
      </c>
      <c r="D895" t="s">
        <v>413</v>
      </c>
      <c r="E895" s="4">
        <v>7.0000000000000007E-2</v>
      </c>
      <c r="F895" s="4">
        <v>532.16899999999998</v>
      </c>
      <c r="G895" s="4">
        <v>532.23900000000003</v>
      </c>
      <c r="H895" s="5">
        <f>0 / 86400</f>
        <v>0</v>
      </c>
      <c r="I895" t="s">
        <v>28</v>
      </c>
      <c r="J895" t="s">
        <v>137</v>
      </c>
      <c r="K895" s="5">
        <f>39 / 86400</f>
        <v>4.5138888888888887E-4</v>
      </c>
      <c r="L895" s="5">
        <f>584 / 86400</f>
        <v>6.7592592592592591E-3</v>
      </c>
    </row>
    <row r="896" spans="1:12" x14ac:dyDescent="0.25">
      <c r="A896" s="3">
        <v>45716.007210648153</v>
      </c>
      <c r="B896" t="s">
        <v>413</v>
      </c>
      <c r="C896" s="3">
        <v>45716.011122685188</v>
      </c>
      <c r="D896" t="s">
        <v>38</v>
      </c>
      <c r="E896" s="4">
        <v>1.35</v>
      </c>
      <c r="F896" s="4">
        <v>532.23900000000003</v>
      </c>
      <c r="G896" s="4">
        <v>533.58900000000006</v>
      </c>
      <c r="H896" s="5">
        <f>119 / 86400</f>
        <v>1.3773148148148147E-3</v>
      </c>
      <c r="I896" t="s">
        <v>165</v>
      </c>
      <c r="J896" t="s">
        <v>72</v>
      </c>
      <c r="K896" s="5">
        <f>338 / 86400</f>
        <v>3.9120370370370368E-3</v>
      </c>
      <c r="L896" s="5">
        <f>13900 / 86400</f>
        <v>0.16087962962962962</v>
      </c>
    </row>
    <row r="897" spans="1:12" x14ac:dyDescent="0.25">
      <c r="A897" s="3">
        <v>45716.172002314815</v>
      </c>
      <c r="B897" t="s">
        <v>38</v>
      </c>
      <c r="C897" s="3">
        <v>45716.340324074074</v>
      </c>
      <c r="D897" t="s">
        <v>46</v>
      </c>
      <c r="E897" s="4">
        <v>84.120999999999995</v>
      </c>
      <c r="F897" s="4">
        <v>533.58900000000006</v>
      </c>
      <c r="G897" s="4">
        <v>617.71</v>
      </c>
      <c r="H897" s="5">
        <f>3519 / 86400</f>
        <v>4.0729166666666664E-2</v>
      </c>
      <c r="I897" t="s">
        <v>27</v>
      </c>
      <c r="J897" t="s">
        <v>190</v>
      </c>
      <c r="K897" s="5">
        <f>14542 / 86400</f>
        <v>0.16831018518518517</v>
      </c>
      <c r="L897" s="5">
        <f>1777 / 86400</f>
        <v>2.056712962962963E-2</v>
      </c>
    </row>
    <row r="898" spans="1:12" x14ac:dyDescent="0.25">
      <c r="A898" s="3">
        <v>45716.360891203702</v>
      </c>
      <c r="B898" t="s">
        <v>46</v>
      </c>
      <c r="C898" s="3">
        <v>45716.365868055553</v>
      </c>
      <c r="D898" t="s">
        <v>105</v>
      </c>
      <c r="E898" s="4">
        <v>1.8819999999999999</v>
      </c>
      <c r="F898" s="4">
        <v>617.71</v>
      </c>
      <c r="G898" s="4">
        <v>619.59199999999998</v>
      </c>
      <c r="H898" s="5">
        <f>80 / 86400</f>
        <v>9.2592592592592596E-4</v>
      </c>
      <c r="I898" t="s">
        <v>164</v>
      </c>
      <c r="J898" t="s">
        <v>31</v>
      </c>
      <c r="K898" s="5">
        <f>429 / 86400</f>
        <v>4.9652777777777777E-3</v>
      </c>
      <c r="L898" s="5">
        <f>488 / 86400</f>
        <v>5.6481481481481478E-3</v>
      </c>
    </row>
    <row r="899" spans="1:12" x14ac:dyDescent="0.25">
      <c r="A899" s="3">
        <v>45716.371516203704</v>
      </c>
      <c r="B899" t="s">
        <v>105</v>
      </c>
      <c r="C899" s="3">
        <v>45716.371770833328</v>
      </c>
      <c r="D899" t="s">
        <v>105</v>
      </c>
      <c r="E899" s="4">
        <v>0</v>
      </c>
      <c r="F899" s="4">
        <v>619.59199999999998</v>
      </c>
      <c r="G899" s="4">
        <v>619.59199999999998</v>
      </c>
      <c r="H899" s="5">
        <f>19 / 86400</f>
        <v>2.199074074074074E-4</v>
      </c>
      <c r="I899" t="s">
        <v>22</v>
      </c>
      <c r="J899" t="s">
        <v>22</v>
      </c>
      <c r="K899" s="5">
        <f>21 / 86400</f>
        <v>2.4305555555555555E-4</v>
      </c>
      <c r="L899" s="5">
        <f>3939 / 86400</f>
        <v>4.5590277777777778E-2</v>
      </c>
    </row>
    <row r="900" spans="1:12" x14ac:dyDescent="0.25">
      <c r="A900" s="3">
        <v>45716.417361111111</v>
      </c>
      <c r="B900" t="s">
        <v>105</v>
      </c>
      <c r="C900" s="3">
        <v>45716.417534722219</v>
      </c>
      <c r="D900" t="s">
        <v>105</v>
      </c>
      <c r="E900" s="4">
        <v>5.0000000000000001E-3</v>
      </c>
      <c r="F900" s="4">
        <v>619.59199999999998</v>
      </c>
      <c r="G900" s="4">
        <v>619.59699999999998</v>
      </c>
      <c r="H900" s="5">
        <f>0 / 86400</f>
        <v>0</v>
      </c>
      <c r="I900" t="s">
        <v>22</v>
      </c>
      <c r="J900" t="s">
        <v>59</v>
      </c>
      <c r="K900" s="5">
        <f>15 / 86400</f>
        <v>1.7361111111111112E-4</v>
      </c>
      <c r="L900" s="5">
        <f>371 / 86400</f>
        <v>4.2939814814814811E-3</v>
      </c>
    </row>
    <row r="901" spans="1:12" x14ac:dyDescent="0.25">
      <c r="A901" s="3">
        <v>45716.421828703707</v>
      </c>
      <c r="B901" t="s">
        <v>105</v>
      </c>
      <c r="C901" s="3">
        <v>45716.423657407402</v>
      </c>
      <c r="D901" t="s">
        <v>105</v>
      </c>
      <c r="E901" s="4">
        <v>1.2999999999999999E-2</v>
      </c>
      <c r="F901" s="4">
        <v>619.59699999999998</v>
      </c>
      <c r="G901" s="4">
        <v>619.61</v>
      </c>
      <c r="H901" s="5">
        <f>99 / 86400</f>
        <v>1.1458333333333333E-3</v>
      </c>
      <c r="I901" t="s">
        <v>59</v>
      </c>
      <c r="J901" t="s">
        <v>22</v>
      </c>
      <c r="K901" s="5">
        <f>158 / 86400</f>
        <v>1.8287037037037037E-3</v>
      </c>
      <c r="L901" s="5">
        <f>14946 / 86400</f>
        <v>0.17298611111111112</v>
      </c>
    </row>
    <row r="902" spans="1:12" x14ac:dyDescent="0.25">
      <c r="A902" s="3">
        <v>45716.596643518518</v>
      </c>
      <c r="B902" t="s">
        <v>105</v>
      </c>
      <c r="C902" s="3">
        <v>45716.641666666663</v>
      </c>
      <c r="D902" t="s">
        <v>89</v>
      </c>
      <c r="E902" s="4">
        <v>22.26</v>
      </c>
      <c r="F902" s="4">
        <v>619.61</v>
      </c>
      <c r="G902" s="4">
        <v>641.87</v>
      </c>
      <c r="H902" s="5">
        <f>1019 / 86400</f>
        <v>1.1793981481481482E-2</v>
      </c>
      <c r="I902" t="s">
        <v>58</v>
      </c>
      <c r="J902" t="s">
        <v>190</v>
      </c>
      <c r="K902" s="5">
        <f>3890 / 86400</f>
        <v>4.5023148148148145E-2</v>
      </c>
      <c r="L902" s="5">
        <f>381 / 86400</f>
        <v>4.409722222222222E-3</v>
      </c>
    </row>
    <row r="903" spans="1:12" x14ac:dyDescent="0.25">
      <c r="A903" s="3">
        <v>45716.64607638889</v>
      </c>
      <c r="B903" t="s">
        <v>89</v>
      </c>
      <c r="C903" s="3">
        <v>45716.653113425928</v>
      </c>
      <c r="D903" t="s">
        <v>169</v>
      </c>
      <c r="E903" s="4">
        <v>2.4009999999999998</v>
      </c>
      <c r="F903" s="4">
        <v>641.87</v>
      </c>
      <c r="G903" s="4">
        <v>644.27099999999996</v>
      </c>
      <c r="H903" s="5">
        <f>240 / 86400</f>
        <v>2.7777777777777779E-3</v>
      </c>
      <c r="I903" t="s">
        <v>110</v>
      </c>
      <c r="J903" t="s">
        <v>72</v>
      </c>
      <c r="K903" s="5">
        <f>608 / 86400</f>
        <v>7.037037037037037E-3</v>
      </c>
      <c r="L903" s="5">
        <f>175 / 86400</f>
        <v>2.0254629629629629E-3</v>
      </c>
    </row>
    <row r="904" spans="1:12" x14ac:dyDescent="0.25">
      <c r="A904" s="3">
        <v>45716.655138888891</v>
      </c>
      <c r="B904" t="s">
        <v>169</v>
      </c>
      <c r="C904" s="3">
        <v>45716.870462962965</v>
      </c>
      <c r="D904" t="s">
        <v>314</v>
      </c>
      <c r="E904" s="4">
        <v>74.186999999999998</v>
      </c>
      <c r="F904" s="4">
        <v>644.27099999999996</v>
      </c>
      <c r="G904" s="4">
        <v>718.45799999999997</v>
      </c>
      <c r="H904" s="5">
        <f>7580 / 86400</f>
        <v>8.773148148148148E-2</v>
      </c>
      <c r="I904" t="s">
        <v>81</v>
      </c>
      <c r="J904" t="s">
        <v>72</v>
      </c>
      <c r="K904" s="5">
        <f>18604 / 86400</f>
        <v>0.21532407407407408</v>
      </c>
      <c r="L904" s="5">
        <f>84 / 86400</f>
        <v>9.7222222222222219E-4</v>
      </c>
    </row>
    <row r="905" spans="1:12" x14ac:dyDescent="0.25">
      <c r="A905" s="3">
        <v>45716.871435185181</v>
      </c>
      <c r="B905" t="s">
        <v>314</v>
      </c>
      <c r="C905" s="3">
        <v>45716.99998842593</v>
      </c>
      <c r="D905" t="s">
        <v>80</v>
      </c>
      <c r="E905" s="4">
        <v>60.816000000000003</v>
      </c>
      <c r="F905" s="4">
        <v>718.45799999999997</v>
      </c>
      <c r="G905" s="4">
        <v>779.274</v>
      </c>
      <c r="H905" s="5">
        <f>3439 / 86400</f>
        <v>3.9803240740740743E-2</v>
      </c>
      <c r="I905" t="s">
        <v>75</v>
      </c>
      <c r="J905" t="s">
        <v>108</v>
      </c>
      <c r="K905" s="5">
        <f>11107 / 86400</f>
        <v>0.12855324074074073</v>
      </c>
      <c r="L905" s="5">
        <f>0 / 86400</f>
        <v>0</v>
      </c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</row>
    <row r="908" spans="1:12" s="10" customFormat="1" ht="20.100000000000001" customHeight="1" x14ac:dyDescent="0.35">
      <c r="A908" s="15" t="s">
        <v>511</v>
      </c>
      <c r="B908" s="15"/>
      <c r="C908" s="15"/>
      <c r="D908" s="15"/>
      <c r="E908" s="15"/>
      <c r="F908" s="15"/>
      <c r="G908" s="15"/>
      <c r="H908" s="15"/>
      <c r="I908" s="15"/>
      <c r="J908" s="15"/>
    </row>
    <row r="909" spans="1:1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</row>
    <row r="910" spans="1:12" ht="30" x14ac:dyDescent="0.25">
      <c r="A910" s="2" t="s">
        <v>6</v>
      </c>
      <c r="B910" s="2" t="s">
        <v>7</v>
      </c>
      <c r="C910" s="2" t="s">
        <v>8</v>
      </c>
      <c r="D910" s="2" t="s">
        <v>9</v>
      </c>
      <c r="E910" s="2" t="s">
        <v>10</v>
      </c>
      <c r="F910" s="2" t="s">
        <v>11</v>
      </c>
      <c r="G910" s="2" t="s">
        <v>12</v>
      </c>
      <c r="H910" s="2" t="s">
        <v>13</v>
      </c>
      <c r="I910" s="2" t="s">
        <v>14</v>
      </c>
      <c r="J910" s="2" t="s">
        <v>15</v>
      </c>
      <c r="K910" s="2" t="s">
        <v>16</v>
      </c>
      <c r="L910" s="2" t="s">
        <v>17</v>
      </c>
    </row>
    <row r="911" spans="1:12" x14ac:dyDescent="0.25">
      <c r="A911" s="3">
        <v>45716.189317129625</v>
      </c>
      <c r="B911" t="s">
        <v>79</v>
      </c>
      <c r="C911" s="3">
        <v>45716.190127314811</v>
      </c>
      <c r="D911" t="s">
        <v>79</v>
      </c>
      <c r="E911" s="4">
        <v>0</v>
      </c>
      <c r="F911" s="4">
        <v>532009.24100000004</v>
      </c>
      <c r="G911" s="4">
        <v>532009.24100000004</v>
      </c>
      <c r="H911" s="5">
        <f>59 / 86400</f>
        <v>6.8287037037037036E-4</v>
      </c>
      <c r="I911" t="s">
        <v>22</v>
      </c>
      <c r="J911" t="s">
        <v>22</v>
      </c>
      <c r="K911" s="5">
        <f>70 / 86400</f>
        <v>8.1018518518518516E-4</v>
      </c>
      <c r="L911" s="5">
        <f>16482 / 86400</f>
        <v>0.1907638888888889</v>
      </c>
    </row>
    <row r="912" spans="1:12" x14ac:dyDescent="0.25">
      <c r="A912" s="3">
        <v>45716.191574074073</v>
      </c>
      <c r="B912" t="s">
        <v>79</v>
      </c>
      <c r="C912" s="3">
        <v>45716.196215277778</v>
      </c>
      <c r="D912" t="s">
        <v>79</v>
      </c>
      <c r="E912" s="4">
        <v>1.3029999999403954</v>
      </c>
      <c r="F912" s="4">
        <v>532009.24100000004</v>
      </c>
      <c r="G912" s="4">
        <v>532010.54399999999</v>
      </c>
      <c r="H912" s="5">
        <f>139 / 86400</f>
        <v>1.6087962962962963E-3</v>
      </c>
      <c r="I912" t="s">
        <v>149</v>
      </c>
      <c r="J912" t="s">
        <v>28</v>
      </c>
      <c r="K912" s="5">
        <f>401 / 86400</f>
        <v>4.6412037037037038E-3</v>
      </c>
      <c r="L912" s="5">
        <f>91 / 86400</f>
        <v>1.0532407407407407E-3</v>
      </c>
    </row>
    <row r="913" spans="1:12" x14ac:dyDescent="0.25">
      <c r="A913" s="3">
        <v>45716.197268518517</v>
      </c>
      <c r="B913" t="s">
        <v>79</v>
      </c>
      <c r="C913" s="3">
        <v>45716.365787037037</v>
      </c>
      <c r="D913" t="s">
        <v>309</v>
      </c>
      <c r="E913" s="4">
        <v>86.942999999940398</v>
      </c>
      <c r="F913" s="4">
        <v>532010.54399999999</v>
      </c>
      <c r="G913" s="4">
        <v>532097.48699999996</v>
      </c>
      <c r="H913" s="5">
        <f>3580 / 86400</f>
        <v>4.1435185185185186E-2</v>
      </c>
      <c r="I913" t="s">
        <v>66</v>
      </c>
      <c r="J913" t="s">
        <v>190</v>
      </c>
      <c r="K913" s="5">
        <f>14560 / 86400</f>
        <v>0.16851851851851851</v>
      </c>
      <c r="L913" s="5">
        <f>937 / 86400</f>
        <v>1.0844907407407407E-2</v>
      </c>
    </row>
    <row r="914" spans="1:12" x14ac:dyDescent="0.25">
      <c r="A914" s="3">
        <v>45716.37663194444</v>
      </c>
      <c r="B914" t="s">
        <v>310</v>
      </c>
      <c r="C914" s="3">
        <v>45716.378020833334</v>
      </c>
      <c r="D914" t="s">
        <v>46</v>
      </c>
      <c r="E914" s="4">
        <v>0.40500000005960463</v>
      </c>
      <c r="F914" s="4">
        <v>532097.48699999996</v>
      </c>
      <c r="G914" s="4">
        <v>532097.89199999999</v>
      </c>
      <c r="H914" s="5">
        <f>19 / 86400</f>
        <v>2.199074074074074E-4</v>
      </c>
      <c r="I914" t="s">
        <v>97</v>
      </c>
      <c r="J914" t="s">
        <v>28</v>
      </c>
      <c r="K914" s="5">
        <f>120 / 86400</f>
        <v>1.3888888888888889E-3</v>
      </c>
      <c r="L914" s="5">
        <f>1499 / 86400</f>
        <v>1.7349537037037038E-2</v>
      </c>
    </row>
    <row r="915" spans="1:12" x14ac:dyDescent="0.25">
      <c r="A915" s="3">
        <v>45716.395370370374</v>
      </c>
      <c r="B915" t="s">
        <v>46</v>
      </c>
      <c r="C915" s="3">
        <v>45716.39644675926</v>
      </c>
      <c r="D915" t="s">
        <v>46</v>
      </c>
      <c r="E915" s="4">
        <v>0.11</v>
      </c>
      <c r="F915" s="4">
        <v>532097.89199999999</v>
      </c>
      <c r="G915" s="4">
        <v>532098.00199999998</v>
      </c>
      <c r="H915" s="5">
        <f>20 / 86400</f>
        <v>2.3148148148148149E-4</v>
      </c>
      <c r="I915" t="s">
        <v>100</v>
      </c>
      <c r="J915" t="s">
        <v>147</v>
      </c>
      <c r="K915" s="5">
        <f>93 / 86400</f>
        <v>1.0763888888888889E-3</v>
      </c>
      <c r="L915" s="5">
        <f>710 / 86400</f>
        <v>8.2175925925925923E-3</v>
      </c>
    </row>
    <row r="916" spans="1:12" x14ac:dyDescent="0.25">
      <c r="A916" s="3">
        <v>45716.404664351852</v>
      </c>
      <c r="B916" t="s">
        <v>46</v>
      </c>
      <c r="C916" s="3">
        <v>45716.410474537042</v>
      </c>
      <c r="D916" t="s">
        <v>161</v>
      </c>
      <c r="E916" s="4">
        <v>1.27</v>
      </c>
      <c r="F916" s="4">
        <v>532098.00199999998</v>
      </c>
      <c r="G916" s="4">
        <v>532099.272</v>
      </c>
      <c r="H916" s="5">
        <f>60 / 86400</f>
        <v>6.9444444444444447E-4</v>
      </c>
      <c r="I916" t="s">
        <v>130</v>
      </c>
      <c r="J916" t="s">
        <v>132</v>
      </c>
      <c r="K916" s="5">
        <f>502 / 86400</f>
        <v>5.8101851851851856E-3</v>
      </c>
      <c r="L916" s="5">
        <f>1284 / 86400</f>
        <v>1.4861111111111111E-2</v>
      </c>
    </row>
    <row r="917" spans="1:12" x14ac:dyDescent="0.25">
      <c r="A917" s="3">
        <v>45716.425335648149</v>
      </c>
      <c r="B917" t="s">
        <v>161</v>
      </c>
      <c r="C917" s="3">
        <v>45716.556574074071</v>
      </c>
      <c r="D917" t="s">
        <v>247</v>
      </c>
      <c r="E917" s="4">
        <v>50.975000000000001</v>
      </c>
      <c r="F917" s="4">
        <v>532099.272</v>
      </c>
      <c r="G917" s="4">
        <v>532150.24699999997</v>
      </c>
      <c r="H917" s="5">
        <f>4303 / 86400</f>
        <v>4.9803240740740738E-2</v>
      </c>
      <c r="I917" t="s">
        <v>75</v>
      </c>
      <c r="J917" t="s">
        <v>31</v>
      </c>
      <c r="K917" s="5">
        <f>11338 / 86400</f>
        <v>0.13122685185185184</v>
      </c>
      <c r="L917" s="5">
        <f>190 / 86400</f>
        <v>2.1990740740740742E-3</v>
      </c>
    </row>
    <row r="918" spans="1:12" x14ac:dyDescent="0.25">
      <c r="A918" s="3">
        <v>45716.55877314815</v>
      </c>
      <c r="B918" t="s">
        <v>247</v>
      </c>
      <c r="C918" s="3">
        <v>45716.694548611107</v>
      </c>
      <c r="D918" t="s">
        <v>136</v>
      </c>
      <c r="E918" s="4">
        <v>49.93</v>
      </c>
      <c r="F918" s="4">
        <v>532150.24699999997</v>
      </c>
      <c r="G918" s="4">
        <v>532200.17700000003</v>
      </c>
      <c r="H918" s="5">
        <f>4339 / 86400</f>
        <v>5.0219907407407408E-2</v>
      </c>
      <c r="I918" t="s">
        <v>39</v>
      </c>
      <c r="J918" t="s">
        <v>35</v>
      </c>
      <c r="K918" s="5">
        <f>11730 / 86400</f>
        <v>0.13576388888888888</v>
      </c>
      <c r="L918" s="5">
        <f>291 / 86400</f>
        <v>3.3680555555555556E-3</v>
      </c>
    </row>
    <row r="919" spans="1:12" x14ac:dyDescent="0.25">
      <c r="A919" s="3">
        <v>45716.697916666672</v>
      </c>
      <c r="B919" t="s">
        <v>136</v>
      </c>
      <c r="C919" s="3">
        <v>45716.698101851856</v>
      </c>
      <c r="D919" t="s">
        <v>136</v>
      </c>
      <c r="E919" s="4">
        <v>1.0000000059604644E-2</v>
      </c>
      <c r="F919" s="4">
        <v>532200.17700000003</v>
      </c>
      <c r="G919" s="4">
        <v>532200.18700000003</v>
      </c>
      <c r="H919" s="5">
        <f>0 / 86400</f>
        <v>0</v>
      </c>
      <c r="I919" t="s">
        <v>25</v>
      </c>
      <c r="J919" t="s">
        <v>156</v>
      </c>
      <c r="K919" s="5">
        <f>15 / 86400</f>
        <v>1.7361111111111112E-4</v>
      </c>
      <c r="L919" s="5">
        <f>127 / 86400</f>
        <v>1.4699074074074074E-3</v>
      </c>
    </row>
    <row r="920" spans="1:12" x14ac:dyDescent="0.25">
      <c r="A920" s="3">
        <v>45716.699571759258</v>
      </c>
      <c r="B920" t="s">
        <v>136</v>
      </c>
      <c r="C920" s="3">
        <v>45716.702743055561</v>
      </c>
      <c r="D920" t="s">
        <v>135</v>
      </c>
      <c r="E920" s="4">
        <v>0.24099999988079071</v>
      </c>
      <c r="F920" s="4">
        <v>532200.18700000003</v>
      </c>
      <c r="G920" s="4">
        <v>532200.42799999996</v>
      </c>
      <c r="H920" s="5">
        <f>199 / 86400</f>
        <v>2.3032407407407407E-3</v>
      </c>
      <c r="I920" t="s">
        <v>28</v>
      </c>
      <c r="J920" t="s">
        <v>33</v>
      </c>
      <c r="K920" s="5">
        <f>273 / 86400</f>
        <v>3.1597222222222222E-3</v>
      </c>
      <c r="L920" s="5">
        <f>964 / 86400</f>
        <v>1.1157407407407408E-2</v>
      </c>
    </row>
    <row r="921" spans="1:12" x14ac:dyDescent="0.25">
      <c r="A921" s="3">
        <v>45716.713900462964</v>
      </c>
      <c r="B921" t="s">
        <v>135</v>
      </c>
      <c r="C921" s="3">
        <v>45716.71402777778</v>
      </c>
      <c r="D921" t="s">
        <v>135</v>
      </c>
      <c r="E921" s="4">
        <v>3.0000000596046446E-3</v>
      </c>
      <c r="F921" s="4">
        <v>532200.42799999996</v>
      </c>
      <c r="G921" s="4">
        <v>532200.43099999998</v>
      </c>
      <c r="H921" s="5">
        <f>0 / 86400</f>
        <v>0</v>
      </c>
      <c r="I921" t="s">
        <v>22</v>
      </c>
      <c r="J921" t="s">
        <v>59</v>
      </c>
      <c r="K921" s="5">
        <f>10 / 86400</f>
        <v>1.1574074074074075E-4</v>
      </c>
      <c r="L921" s="5">
        <f>688 / 86400</f>
        <v>7.9629629629629634E-3</v>
      </c>
    </row>
    <row r="922" spans="1:12" x14ac:dyDescent="0.25">
      <c r="A922" s="3">
        <v>45716.721990740742</v>
      </c>
      <c r="B922" t="s">
        <v>135</v>
      </c>
      <c r="C922" s="3">
        <v>45716.770486111112</v>
      </c>
      <c r="D922" t="s">
        <v>174</v>
      </c>
      <c r="E922" s="4">
        <v>19.576000000000001</v>
      </c>
      <c r="F922" s="4">
        <v>532200.43099999998</v>
      </c>
      <c r="G922" s="4">
        <v>532220.00699999998</v>
      </c>
      <c r="H922" s="5">
        <f>1739 / 86400</f>
        <v>2.0127314814814813E-2</v>
      </c>
      <c r="I922" t="s">
        <v>83</v>
      </c>
      <c r="J922" t="s">
        <v>62</v>
      </c>
      <c r="K922" s="5">
        <f>4189 / 86400</f>
        <v>4.8483796296296296E-2</v>
      </c>
      <c r="L922" s="5">
        <f>120 / 86400</f>
        <v>1.3888888888888889E-3</v>
      </c>
    </row>
    <row r="923" spans="1:12" x14ac:dyDescent="0.25">
      <c r="A923" s="3">
        <v>45716.771874999999</v>
      </c>
      <c r="B923" t="s">
        <v>174</v>
      </c>
      <c r="C923" s="3">
        <v>45716.772314814814</v>
      </c>
      <c r="D923" t="s">
        <v>174</v>
      </c>
      <c r="E923" s="4">
        <v>0</v>
      </c>
      <c r="F923" s="4">
        <v>532220.00699999998</v>
      </c>
      <c r="G923" s="4">
        <v>532220.00699999998</v>
      </c>
      <c r="H923" s="5">
        <f>19 / 86400</f>
        <v>2.199074074074074E-4</v>
      </c>
      <c r="I923" t="s">
        <v>22</v>
      </c>
      <c r="J923" t="s">
        <v>22</v>
      </c>
      <c r="K923" s="5">
        <f>38 / 86400</f>
        <v>4.3981481481481481E-4</v>
      </c>
      <c r="L923" s="5">
        <f>32 / 86400</f>
        <v>3.7037037037037035E-4</v>
      </c>
    </row>
    <row r="924" spans="1:12" x14ac:dyDescent="0.25">
      <c r="A924" s="3">
        <v>45716.772685185184</v>
      </c>
      <c r="B924" t="s">
        <v>174</v>
      </c>
      <c r="C924" s="3">
        <v>45716.772824074069</v>
      </c>
      <c r="D924" t="s">
        <v>174</v>
      </c>
      <c r="E924" s="4">
        <v>0</v>
      </c>
      <c r="F924" s="4">
        <v>532220.00699999998</v>
      </c>
      <c r="G924" s="4">
        <v>532220.00699999998</v>
      </c>
      <c r="H924" s="5">
        <f>0 / 86400</f>
        <v>0</v>
      </c>
      <c r="I924" t="s">
        <v>22</v>
      </c>
      <c r="J924" t="s">
        <v>22</v>
      </c>
      <c r="K924" s="5">
        <f>11 / 86400</f>
        <v>1.273148148148148E-4</v>
      </c>
      <c r="L924" s="5">
        <f>7 / 86400</f>
        <v>8.1018518518518516E-5</v>
      </c>
    </row>
    <row r="925" spans="1:12" x14ac:dyDescent="0.25">
      <c r="A925" s="3">
        <v>45716.772905092592</v>
      </c>
      <c r="B925" t="s">
        <v>174</v>
      </c>
      <c r="C925" s="3">
        <v>45716.773240740746</v>
      </c>
      <c r="D925" t="s">
        <v>174</v>
      </c>
      <c r="E925" s="4">
        <v>0</v>
      </c>
      <c r="F925" s="4">
        <v>532220.00699999998</v>
      </c>
      <c r="G925" s="4">
        <v>532220.00699999998</v>
      </c>
      <c r="H925" s="5">
        <f>21 / 86400</f>
        <v>2.4305555555555555E-4</v>
      </c>
      <c r="I925" t="s">
        <v>22</v>
      </c>
      <c r="J925" t="s">
        <v>22</v>
      </c>
      <c r="K925" s="5">
        <f>29 / 86400</f>
        <v>3.3564814814814812E-4</v>
      </c>
      <c r="L925" s="5">
        <f>217 / 86400</f>
        <v>2.5115740740740741E-3</v>
      </c>
    </row>
    <row r="926" spans="1:12" x14ac:dyDescent="0.25">
      <c r="A926" s="3">
        <v>45716.775752314818</v>
      </c>
      <c r="B926" t="s">
        <v>174</v>
      </c>
      <c r="C926" s="3">
        <v>45716.785833333328</v>
      </c>
      <c r="D926" t="s">
        <v>414</v>
      </c>
      <c r="E926" s="4">
        <v>5.9259999999403954</v>
      </c>
      <c r="F926" s="4">
        <v>532220.00699999998</v>
      </c>
      <c r="G926" s="4">
        <v>532225.93299999996</v>
      </c>
      <c r="H926" s="5">
        <f>120 / 86400</f>
        <v>1.3888888888888889E-3</v>
      </c>
      <c r="I926" t="s">
        <v>289</v>
      </c>
      <c r="J926" t="s">
        <v>37</v>
      </c>
      <c r="K926" s="5">
        <f>871 / 86400</f>
        <v>1.0081018518518519E-2</v>
      </c>
      <c r="L926" s="5">
        <f>2 / 86400</f>
        <v>2.3148148148148147E-5</v>
      </c>
    </row>
    <row r="927" spans="1:12" x14ac:dyDescent="0.25">
      <c r="A927" s="3">
        <v>45716.785856481481</v>
      </c>
      <c r="B927" t="s">
        <v>414</v>
      </c>
      <c r="C927" s="3">
        <v>45716.790023148147</v>
      </c>
      <c r="D927" t="s">
        <v>415</v>
      </c>
      <c r="E927" s="4">
        <v>1.5090000001192092</v>
      </c>
      <c r="F927" s="4">
        <v>532225.93299999996</v>
      </c>
      <c r="G927" s="4">
        <v>532227.44200000004</v>
      </c>
      <c r="H927" s="5">
        <f>92 / 86400</f>
        <v>1.0648148148148149E-3</v>
      </c>
      <c r="I927" t="s">
        <v>56</v>
      </c>
      <c r="J927" t="s">
        <v>35</v>
      </c>
      <c r="K927" s="5">
        <f>360 / 86400</f>
        <v>4.1666666666666666E-3</v>
      </c>
      <c r="L927" s="5">
        <f>7194 / 86400</f>
        <v>8.3263888888888887E-2</v>
      </c>
    </row>
    <row r="928" spans="1:12" x14ac:dyDescent="0.25">
      <c r="A928" s="3">
        <v>45716.873287037037</v>
      </c>
      <c r="B928" t="s">
        <v>415</v>
      </c>
      <c r="C928" s="3">
        <v>45716.937824074077</v>
      </c>
      <c r="D928" t="s">
        <v>331</v>
      </c>
      <c r="E928" s="4">
        <v>27.738</v>
      </c>
      <c r="F928" s="4">
        <v>532227.44200000004</v>
      </c>
      <c r="G928" s="4">
        <v>532255.18000000005</v>
      </c>
      <c r="H928" s="5">
        <f>2440 / 86400</f>
        <v>2.824074074074074E-2</v>
      </c>
      <c r="I928" t="s">
        <v>47</v>
      </c>
      <c r="J928" t="s">
        <v>20</v>
      </c>
      <c r="K928" s="5">
        <f>5575 / 86400</f>
        <v>6.4525462962962965E-2</v>
      </c>
      <c r="L928" s="5">
        <f>54 / 86400</f>
        <v>6.2500000000000001E-4</v>
      </c>
    </row>
    <row r="929" spans="1:12" x14ac:dyDescent="0.25">
      <c r="A929" s="3">
        <v>45716.938449074078</v>
      </c>
      <c r="B929" t="s">
        <v>331</v>
      </c>
      <c r="C929" s="3">
        <v>45716.994155092594</v>
      </c>
      <c r="D929" t="s">
        <v>38</v>
      </c>
      <c r="E929" s="4">
        <v>23.088000000000001</v>
      </c>
      <c r="F929" s="4">
        <v>532255.18000000005</v>
      </c>
      <c r="G929" s="4">
        <v>532278.26800000004</v>
      </c>
      <c r="H929" s="5">
        <f>2339 / 86400</f>
        <v>2.7071759259259261E-2</v>
      </c>
      <c r="I929" t="s">
        <v>65</v>
      </c>
      <c r="J929" t="s">
        <v>62</v>
      </c>
      <c r="K929" s="5">
        <f>4812 / 86400</f>
        <v>5.5694444444444442E-2</v>
      </c>
      <c r="L929" s="5">
        <f>246 / 86400</f>
        <v>2.8472222222222223E-3</v>
      </c>
    </row>
    <row r="930" spans="1:12" x14ac:dyDescent="0.25">
      <c r="A930" s="3">
        <v>45716.99700231482</v>
      </c>
      <c r="B930" t="s">
        <v>38</v>
      </c>
      <c r="C930" s="3">
        <v>45716.997060185182</v>
      </c>
      <c r="D930" t="s">
        <v>38</v>
      </c>
      <c r="E930" s="4">
        <v>0</v>
      </c>
      <c r="F930" s="4">
        <v>532278.26800000004</v>
      </c>
      <c r="G930" s="4">
        <v>532278.26800000004</v>
      </c>
      <c r="H930" s="5">
        <f>0 / 86400</f>
        <v>0</v>
      </c>
      <c r="I930" t="s">
        <v>22</v>
      </c>
      <c r="J930" t="s">
        <v>22</v>
      </c>
      <c r="K930" s="5">
        <f>5 / 86400</f>
        <v>5.7870370370370373E-5</v>
      </c>
      <c r="L930" s="5">
        <f>1 / 86400</f>
        <v>1.1574074074074073E-5</v>
      </c>
    </row>
    <row r="931" spans="1:12" x14ac:dyDescent="0.25">
      <c r="A931" s="3">
        <v>45716.997071759259</v>
      </c>
      <c r="B931" t="s">
        <v>38</v>
      </c>
      <c r="C931" s="3">
        <v>45716.99998842593</v>
      </c>
      <c r="D931" t="s">
        <v>82</v>
      </c>
      <c r="E931" s="4">
        <v>0.56899999999999995</v>
      </c>
      <c r="F931" s="4">
        <v>532278.26800000004</v>
      </c>
      <c r="G931" s="4">
        <v>532278.83700000006</v>
      </c>
      <c r="H931" s="5">
        <f>60 / 86400</f>
        <v>6.9444444444444447E-4</v>
      </c>
      <c r="I931" t="s">
        <v>20</v>
      </c>
      <c r="J931" t="s">
        <v>214</v>
      </c>
      <c r="K931" s="5">
        <f>252 / 86400</f>
        <v>2.9166666666666668E-3</v>
      </c>
      <c r="L931" s="5">
        <f>0 / 86400</f>
        <v>0</v>
      </c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</row>
    <row r="934" spans="1:12" s="10" customFormat="1" ht="20.100000000000001" customHeight="1" x14ac:dyDescent="0.35">
      <c r="A934" s="15" t="s">
        <v>512</v>
      </c>
      <c r="B934" s="15"/>
      <c r="C934" s="15"/>
      <c r="D934" s="15"/>
      <c r="E934" s="15"/>
      <c r="F934" s="15"/>
      <c r="G934" s="15"/>
      <c r="H934" s="15"/>
      <c r="I934" s="15"/>
      <c r="J934" s="15"/>
    </row>
    <row r="935" spans="1:1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2" ht="30" x14ac:dyDescent="0.25">
      <c r="A936" s="2" t="s">
        <v>6</v>
      </c>
      <c r="B936" s="2" t="s">
        <v>7</v>
      </c>
      <c r="C936" s="2" t="s">
        <v>8</v>
      </c>
      <c r="D936" s="2" t="s">
        <v>9</v>
      </c>
      <c r="E936" s="2" t="s">
        <v>10</v>
      </c>
      <c r="F936" s="2" t="s">
        <v>11</v>
      </c>
      <c r="G936" s="2" t="s">
        <v>12</v>
      </c>
      <c r="H936" s="2" t="s">
        <v>13</v>
      </c>
      <c r="I936" s="2" t="s">
        <v>14</v>
      </c>
      <c r="J936" s="2" t="s">
        <v>15</v>
      </c>
      <c r="K936" s="2" t="s">
        <v>16</v>
      </c>
      <c r="L936" s="2" t="s">
        <v>17</v>
      </c>
    </row>
    <row r="937" spans="1:12" x14ac:dyDescent="0.25">
      <c r="A937" s="3">
        <v>45716.305625000001</v>
      </c>
      <c r="B937" t="s">
        <v>38</v>
      </c>
      <c r="C937" s="3">
        <v>45716.415810185186</v>
      </c>
      <c r="D937" t="s">
        <v>186</v>
      </c>
      <c r="E937" s="4">
        <v>52.808</v>
      </c>
      <c r="F937" s="4">
        <v>570497.82499999995</v>
      </c>
      <c r="G937" s="4">
        <v>570550.63300000003</v>
      </c>
      <c r="H937" s="5">
        <f>2919 / 86400</f>
        <v>3.3784722222222223E-2</v>
      </c>
      <c r="I937" t="s">
        <v>44</v>
      </c>
      <c r="J937" t="s">
        <v>108</v>
      </c>
      <c r="K937" s="5">
        <f>9519 / 86400</f>
        <v>0.11017361111111111</v>
      </c>
      <c r="L937" s="5">
        <f>26951 / 86400</f>
        <v>0.31193287037037037</v>
      </c>
    </row>
    <row r="938" spans="1:12" x14ac:dyDescent="0.25">
      <c r="A938" s="3">
        <v>45716.422118055554</v>
      </c>
      <c r="B938" t="s">
        <v>186</v>
      </c>
      <c r="C938" s="3">
        <v>45716.506076388891</v>
      </c>
      <c r="D938" t="s">
        <v>46</v>
      </c>
      <c r="E938" s="4">
        <v>35.753999999999998</v>
      </c>
      <c r="F938" s="4">
        <v>570550.63300000003</v>
      </c>
      <c r="G938" s="4">
        <v>570586.38699999999</v>
      </c>
      <c r="H938" s="5">
        <f>2160 / 86400</f>
        <v>2.5000000000000001E-2</v>
      </c>
      <c r="I938" t="s">
        <v>129</v>
      </c>
      <c r="J938" t="s">
        <v>20</v>
      </c>
      <c r="K938" s="5">
        <f>7253 / 86400</f>
        <v>8.3946759259259263E-2</v>
      </c>
      <c r="L938" s="5">
        <f>2051 / 86400</f>
        <v>2.3738425925925927E-2</v>
      </c>
    </row>
    <row r="939" spans="1:12" x14ac:dyDescent="0.25">
      <c r="A939" s="3">
        <v>45716.529814814814</v>
      </c>
      <c r="B939" t="s">
        <v>46</v>
      </c>
      <c r="C939" s="3">
        <v>45716.602812500001</v>
      </c>
      <c r="D939" t="s">
        <v>186</v>
      </c>
      <c r="E939" s="4">
        <v>35.372999999999998</v>
      </c>
      <c r="F939" s="4">
        <v>570586.38699999999</v>
      </c>
      <c r="G939" s="4">
        <v>570621.76</v>
      </c>
      <c r="H939" s="5">
        <f>1919 / 86400</f>
        <v>2.2210648148148149E-2</v>
      </c>
      <c r="I939" t="s">
        <v>84</v>
      </c>
      <c r="J939" t="s">
        <v>108</v>
      </c>
      <c r="K939" s="5">
        <f>6306 / 86400</f>
        <v>7.2986111111111113E-2</v>
      </c>
      <c r="L939" s="5">
        <f>701 / 86400</f>
        <v>8.1134259259259267E-3</v>
      </c>
    </row>
    <row r="940" spans="1:12" x14ac:dyDescent="0.25">
      <c r="A940" s="3">
        <v>45716.610925925925</v>
      </c>
      <c r="B940" t="s">
        <v>186</v>
      </c>
      <c r="C940" s="3">
        <v>45716.617384259254</v>
      </c>
      <c r="D940" t="s">
        <v>123</v>
      </c>
      <c r="E940" s="4">
        <v>1.944</v>
      </c>
      <c r="F940" s="4">
        <v>570621.76</v>
      </c>
      <c r="G940" s="4">
        <v>570623.70400000003</v>
      </c>
      <c r="H940" s="5">
        <f>240 / 86400</f>
        <v>2.7777777777777779E-3</v>
      </c>
      <c r="I940" t="s">
        <v>167</v>
      </c>
      <c r="J940" t="s">
        <v>64</v>
      </c>
      <c r="K940" s="5">
        <f>557 / 86400</f>
        <v>6.4467592592592588E-3</v>
      </c>
      <c r="L940" s="5">
        <f>5 / 86400</f>
        <v>5.7870370370370373E-5</v>
      </c>
    </row>
    <row r="941" spans="1:12" x14ac:dyDescent="0.25">
      <c r="A941" s="3">
        <v>45716.617442129631</v>
      </c>
      <c r="B941" t="s">
        <v>123</v>
      </c>
      <c r="C941" s="3">
        <v>45716.799444444448</v>
      </c>
      <c r="D941" t="s">
        <v>38</v>
      </c>
      <c r="E941" s="4">
        <v>76.991</v>
      </c>
      <c r="F941" s="4">
        <v>570623.70400000003</v>
      </c>
      <c r="G941" s="4">
        <v>570700.69499999995</v>
      </c>
      <c r="H941" s="5">
        <f>5248 / 86400</f>
        <v>6.0740740740740741E-2</v>
      </c>
      <c r="I941" t="s">
        <v>66</v>
      </c>
      <c r="J941" t="s">
        <v>20</v>
      </c>
      <c r="K941" s="5">
        <f>15725 / 86400</f>
        <v>0.18200231481481483</v>
      </c>
      <c r="L941" s="5">
        <f>675 / 86400</f>
        <v>7.8125E-3</v>
      </c>
    </row>
    <row r="942" spans="1:12" x14ac:dyDescent="0.25">
      <c r="A942" s="3">
        <v>45716.807256944448</v>
      </c>
      <c r="B942" t="s">
        <v>38</v>
      </c>
      <c r="C942" s="3">
        <v>45716.811041666668</v>
      </c>
      <c r="D942" t="s">
        <v>38</v>
      </c>
      <c r="E942" s="4">
        <v>1.415</v>
      </c>
      <c r="F942" s="4">
        <v>570700.69499999995</v>
      </c>
      <c r="G942" s="4">
        <v>570702.11</v>
      </c>
      <c r="H942" s="5">
        <f>60 / 86400</f>
        <v>6.9444444444444447E-4</v>
      </c>
      <c r="I942" t="s">
        <v>171</v>
      </c>
      <c r="J942" t="s">
        <v>31</v>
      </c>
      <c r="K942" s="5">
        <f>326 / 86400</f>
        <v>3.7731481481481483E-3</v>
      </c>
      <c r="L942" s="5">
        <f>16325 / 86400</f>
        <v>0.18894675925925927</v>
      </c>
    </row>
    <row r="943" spans="1:1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 spans="1:1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</row>
    <row r="945" spans="1:12" s="10" customFormat="1" ht="20.100000000000001" customHeight="1" x14ac:dyDescent="0.35">
      <c r="A945" s="15" t="s">
        <v>513</v>
      </c>
      <c r="B945" s="15"/>
      <c r="C945" s="15"/>
      <c r="D945" s="15"/>
      <c r="E945" s="15"/>
      <c r="F945" s="15"/>
      <c r="G945" s="15"/>
      <c r="H945" s="15"/>
      <c r="I945" s="15"/>
      <c r="J945" s="15"/>
    </row>
    <row r="946" spans="1:1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</row>
    <row r="947" spans="1:12" ht="30" x14ac:dyDescent="0.25">
      <c r="A947" s="2" t="s">
        <v>6</v>
      </c>
      <c r="B947" s="2" t="s">
        <v>7</v>
      </c>
      <c r="C947" s="2" t="s">
        <v>8</v>
      </c>
      <c r="D947" s="2" t="s">
        <v>9</v>
      </c>
      <c r="E947" s="2" t="s">
        <v>10</v>
      </c>
      <c r="F947" s="2" t="s">
        <v>11</v>
      </c>
      <c r="G947" s="2" t="s">
        <v>12</v>
      </c>
      <c r="H947" s="2" t="s">
        <v>13</v>
      </c>
      <c r="I947" s="2" t="s">
        <v>14</v>
      </c>
      <c r="J947" s="2" t="s">
        <v>15</v>
      </c>
      <c r="K947" s="2" t="s">
        <v>16</v>
      </c>
      <c r="L947" s="2" t="s">
        <v>17</v>
      </c>
    </row>
    <row r="948" spans="1:12" x14ac:dyDescent="0.25">
      <c r="A948" s="3">
        <v>45716.251018518524</v>
      </c>
      <c r="B948" t="s">
        <v>86</v>
      </c>
      <c r="C948" s="3">
        <v>45716.256006944444</v>
      </c>
      <c r="D948" t="s">
        <v>363</v>
      </c>
      <c r="E948" s="4">
        <v>1.3069999999999999</v>
      </c>
      <c r="F948" s="4">
        <v>437461.93400000001</v>
      </c>
      <c r="G948" s="4">
        <v>437463.24099999998</v>
      </c>
      <c r="H948" s="5">
        <f>139 / 86400</f>
        <v>1.6087962962962963E-3</v>
      </c>
      <c r="I948" t="s">
        <v>180</v>
      </c>
      <c r="J948" t="s">
        <v>100</v>
      </c>
      <c r="K948" s="5">
        <f>430 / 86400</f>
        <v>4.9768518518518521E-3</v>
      </c>
      <c r="L948" s="5">
        <f>22153 / 86400</f>
        <v>0.25640046296296298</v>
      </c>
    </row>
    <row r="949" spans="1:12" x14ac:dyDescent="0.25">
      <c r="A949" s="3">
        <v>45716.261388888888</v>
      </c>
      <c r="B949" t="s">
        <v>363</v>
      </c>
      <c r="C949" s="3">
        <v>45716.331712962958</v>
      </c>
      <c r="D949" t="s">
        <v>161</v>
      </c>
      <c r="E949" s="4">
        <v>37.051000000000002</v>
      </c>
      <c r="F949" s="4">
        <v>437463.24099999998</v>
      </c>
      <c r="G949" s="4">
        <v>437500.29200000002</v>
      </c>
      <c r="H949" s="5">
        <f>1499 / 86400</f>
        <v>1.7349537037037038E-2</v>
      </c>
      <c r="I949" t="s">
        <v>178</v>
      </c>
      <c r="J949" t="s">
        <v>130</v>
      </c>
      <c r="K949" s="5">
        <f>6075 / 86400</f>
        <v>7.03125E-2</v>
      </c>
      <c r="L949" s="5">
        <f>1467 / 86400</f>
        <v>1.6979166666666667E-2</v>
      </c>
    </row>
    <row r="950" spans="1:12" x14ac:dyDescent="0.25">
      <c r="A950" s="3">
        <v>45716.348692129628</v>
      </c>
      <c r="B950" t="s">
        <v>161</v>
      </c>
      <c r="C950" s="3">
        <v>45716.351111111115</v>
      </c>
      <c r="D950" t="s">
        <v>308</v>
      </c>
      <c r="E950" s="4">
        <v>0.42499999999999999</v>
      </c>
      <c r="F950" s="4">
        <v>437500.29200000002</v>
      </c>
      <c r="G950" s="4">
        <v>437500.717</v>
      </c>
      <c r="H950" s="5">
        <f>80 / 86400</f>
        <v>9.2592592592592596E-4</v>
      </c>
      <c r="I950" t="s">
        <v>35</v>
      </c>
      <c r="J950" t="s">
        <v>57</v>
      </c>
      <c r="K950" s="5">
        <f>209 / 86400</f>
        <v>2.4189814814814816E-3</v>
      </c>
      <c r="L950" s="5">
        <f>3899 / 86400</f>
        <v>4.5127314814814815E-2</v>
      </c>
    </row>
    <row r="951" spans="1:12" x14ac:dyDescent="0.25">
      <c r="A951" s="3">
        <v>45716.396238425921</v>
      </c>
      <c r="B951" t="s">
        <v>308</v>
      </c>
      <c r="C951" s="3">
        <v>45716.669687500005</v>
      </c>
      <c r="D951" t="s">
        <v>119</v>
      </c>
      <c r="E951" s="4">
        <v>101.742</v>
      </c>
      <c r="F951" s="4">
        <v>437500.717</v>
      </c>
      <c r="G951" s="4">
        <v>437602.45899999997</v>
      </c>
      <c r="H951" s="5">
        <f>7588 / 86400</f>
        <v>8.7824074074074068E-2</v>
      </c>
      <c r="I951" t="s">
        <v>87</v>
      </c>
      <c r="J951" t="s">
        <v>31</v>
      </c>
      <c r="K951" s="5">
        <f>23625 / 86400</f>
        <v>0.2734375</v>
      </c>
      <c r="L951" s="5">
        <f>3504 / 86400</f>
        <v>4.0555555555555553E-2</v>
      </c>
    </row>
    <row r="952" spans="1:12" x14ac:dyDescent="0.25">
      <c r="A952" s="3">
        <v>45716.710243055553</v>
      </c>
      <c r="B952" t="s">
        <v>119</v>
      </c>
      <c r="C952" s="3">
        <v>45716.715324074074</v>
      </c>
      <c r="D952" t="s">
        <v>136</v>
      </c>
      <c r="E952" s="4">
        <v>0.70599999999999996</v>
      </c>
      <c r="F952" s="4">
        <v>437602.45899999997</v>
      </c>
      <c r="G952" s="4">
        <v>437603.16499999998</v>
      </c>
      <c r="H952" s="5">
        <f>139 / 86400</f>
        <v>1.6087962962962963E-3</v>
      </c>
      <c r="I952" t="s">
        <v>108</v>
      </c>
      <c r="J952" t="s">
        <v>137</v>
      </c>
      <c r="K952" s="5">
        <f>438 / 86400</f>
        <v>5.0694444444444441E-3</v>
      </c>
      <c r="L952" s="5">
        <f>794 / 86400</f>
        <v>9.1898148148148156E-3</v>
      </c>
    </row>
    <row r="953" spans="1:12" x14ac:dyDescent="0.25">
      <c r="A953" s="3">
        <v>45716.72451388889</v>
      </c>
      <c r="B953" t="s">
        <v>136</v>
      </c>
      <c r="C953" s="3">
        <v>45716.725127314814</v>
      </c>
      <c r="D953" t="s">
        <v>136</v>
      </c>
      <c r="E953" s="4">
        <v>1.4E-2</v>
      </c>
      <c r="F953" s="4">
        <v>437603.16499999998</v>
      </c>
      <c r="G953" s="4">
        <v>437603.179</v>
      </c>
      <c r="H953" s="5">
        <f>0 / 86400</f>
        <v>0</v>
      </c>
      <c r="I953" t="s">
        <v>147</v>
      </c>
      <c r="J953" t="s">
        <v>59</v>
      </c>
      <c r="K953" s="5">
        <f>53 / 86400</f>
        <v>6.134259259259259E-4</v>
      </c>
      <c r="L953" s="5">
        <f>1414 / 86400</f>
        <v>1.636574074074074E-2</v>
      </c>
    </row>
    <row r="954" spans="1:12" x14ac:dyDescent="0.25">
      <c r="A954" s="3">
        <v>45716.741493055553</v>
      </c>
      <c r="B954" t="s">
        <v>136</v>
      </c>
      <c r="C954" s="3">
        <v>45716.742280092592</v>
      </c>
      <c r="D954" t="s">
        <v>134</v>
      </c>
      <c r="E954" s="4">
        <v>9.5000000000000001E-2</v>
      </c>
      <c r="F954" s="4">
        <v>437603.179</v>
      </c>
      <c r="G954" s="4">
        <v>437603.27399999998</v>
      </c>
      <c r="H954" s="5">
        <f>0 / 86400</f>
        <v>0</v>
      </c>
      <c r="I954" t="s">
        <v>100</v>
      </c>
      <c r="J954" t="s">
        <v>25</v>
      </c>
      <c r="K954" s="5">
        <f>68 / 86400</f>
        <v>7.8703703703703705E-4</v>
      </c>
      <c r="L954" s="5">
        <f>319 / 86400</f>
        <v>3.6921296296296298E-3</v>
      </c>
    </row>
    <row r="955" spans="1:12" x14ac:dyDescent="0.25">
      <c r="A955" s="3">
        <v>45716.745972222227</v>
      </c>
      <c r="B955" t="s">
        <v>134</v>
      </c>
      <c r="C955" s="3">
        <v>45716.752280092594</v>
      </c>
      <c r="D955" t="s">
        <v>162</v>
      </c>
      <c r="E955" s="4">
        <v>1.454</v>
      </c>
      <c r="F955" s="4">
        <v>437603.27399999998</v>
      </c>
      <c r="G955" s="4">
        <v>437604.728</v>
      </c>
      <c r="H955" s="5">
        <f>100 / 86400</f>
        <v>1.1574074074074073E-3</v>
      </c>
      <c r="I955" t="s">
        <v>37</v>
      </c>
      <c r="J955" t="s">
        <v>151</v>
      </c>
      <c r="K955" s="5">
        <f>544 / 86400</f>
        <v>6.2962962962962964E-3</v>
      </c>
      <c r="L955" s="5">
        <f>462 / 86400</f>
        <v>5.347222222222222E-3</v>
      </c>
    </row>
    <row r="956" spans="1:12" x14ac:dyDescent="0.25">
      <c r="A956" s="3">
        <v>45716.757627314815</v>
      </c>
      <c r="B956" t="s">
        <v>162</v>
      </c>
      <c r="C956" s="3">
        <v>45716.758506944447</v>
      </c>
      <c r="D956" t="s">
        <v>162</v>
      </c>
      <c r="E956" s="4">
        <v>2.5000000000000001E-2</v>
      </c>
      <c r="F956" s="4">
        <v>437604.728</v>
      </c>
      <c r="G956" s="4">
        <v>437604.75300000003</v>
      </c>
      <c r="H956" s="5">
        <f>39 / 86400</f>
        <v>4.5138888888888887E-4</v>
      </c>
      <c r="I956" t="s">
        <v>57</v>
      </c>
      <c r="J956" t="s">
        <v>59</v>
      </c>
      <c r="K956" s="5">
        <f>75 / 86400</f>
        <v>8.6805555555555551E-4</v>
      </c>
      <c r="L956" s="5">
        <f>1109 / 86400</f>
        <v>1.2835648148148148E-2</v>
      </c>
    </row>
    <row r="957" spans="1:12" x14ac:dyDescent="0.25">
      <c r="A957" s="3">
        <v>45716.77134259259</v>
      </c>
      <c r="B957" t="s">
        <v>162</v>
      </c>
      <c r="C957" s="3">
        <v>45716.944386574076</v>
      </c>
      <c r="D957" t="s">
        <v>416</v>
      </c>
      <c r="E957" s="4">
        <v>64.72</v>
      </c>
      <c r="F957" s="4">
        <v>437604.75300000003</v>
      </c>
      <c r="G957" s="4">
        <v>437669.473</v>
      </c>
      <c r="H957" s="5">
        <f>5033 / 86400</f>
        <v>5.8252314814814812E-2</v>
      </c>
      <c r="I957" t="s">
        <v>39</v>
      </c>
      <c r="J957" t="s">
        <v>31</v>
      </c>
      <c r="K957" s="5">
        <f>14950 / 86400</f>
        <v>0.17303240740740741</v>
      </c>
      <c r="L957" s="5">
        <f>317 / 86400</f>
        <v>3.6689814814814814E-3</v>
      </c>
    </row>
    <row r="958" spans="1:12" x14ac:dyDescent="0.25">
      <c r="A958" s="3">
        <v>45716.948055555556</v>
      </c>
      <c r="B958" t="s">
        <v>416</v>
      </c>
      <c r="C958" s="3">
        <v>45716.948506944449</v>
      </c>
      <c r="D958" t="s">
        <v>416</v>
      </c>
      <c r="E958" s="4">
        <v>3.6999999999999998E-2</v>
      </c>
      <c r="F958" s="4">
        <v>437669.473</v>
      </c>
      <c r="G958" s="4">
        <v>437669.51</v>
      </c>
      <c r="H958" s="5">
        <f>0 / 86400</f>
        <v>0</v>
      </c>
      <c r="I958" t="s">
        <v>214</v>
      </c>
      <c r="J958" t="s">
        <v>33</v>
      </c>
      <c r="K958" s="5">
        <f>39 / 86400</f>
        <v>4.5138888888888887E-4</v>
      </c>
      <c r="L958" s="5">
        <f>51 / 86400</f>
        <v>5.9027777777777778E-4</v>
      </c>
    </row>
    <row r="959" spans="1:12" x14ac:dyDescent="0.25">
      <c r="A959" s="3">
        <v>45716.949097222227</v>
      </c>
      <c r="B959" t="s">
        <v>416</v>
      </c>
      <c r="C959" s="3">
        <v>45716.96398148148</v>
      </c>
      <c r="D959" t="s">
        <v>86</v>
      </c>
      <c r="E959" s="4">
        <v>3.6379999999999999</v>
      </c>
      <c r="F959" s="4">
        <v>437669.51</v>
      </c>
      <c r="G959" s="4">
        <v>437673.14799999999</v>
      </c>
      <c r="H959" s="5">
        <f>619 / 86400</f>
        <v>7.1643518518518514E-3</v>
      </c>
      <c r="I959" t="s">
        <v>180</v>
      </c>
      <c r="J959" t="s">
        <v>151</v>
      </c>
      <c r="K959" s="5">
        <f>1285 / 86400</f>
        <v>1.4872685185185185E-2</v>
      </c>
      <c r="L959" s="5">
        <f>275 / 86400</f>
        <v>3.1828703703703702E-3</v>
      </c>
    </row>
    <row r="960" spans="1:12" x14ac:dyDescent="0.25">
      <c r="A960" s="3">
        <v>45716.967164351852</v>
      </c>
      <c r="B960" t="s">
        <v>86</v>
      </c>
      <c r="C960" s="3">
        <v>45716.968344907407</v>
      </c>
      <c r="D960" t="s">
        <v>86</v>
      </c>
      <c r="E960" s="4">
        <v>1.7999999999999999E-2</v>
      </c>
      <c r="F960" s="4">
        <v>437673.14799999999</v>
      </c>
      <c r="G960" s="4">
        <v>437673.16600000003</v>
      </c>
      <c r="H960" s="5">
        <f>40 / 86400</f>
        <v>4.6296296296296298E-4</v>
      </c>
      <c r="I960" t="s">
        <v>137</v>
      </c>
      <c r="J960" t="s">
        <v>59</v>
      </c>
      <c r="K960" s="5">
        <f>102 / 86400</f>
        <v>1.1805555555555556E-3</v>
      </c>
      <c r="L960" s="5">
        <f>2734 / 86400</f>
        <v>3.1643518518518515E-2</v>
      </c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s="10" customFormat="1" ht="20.100000000000001" customHeight="1" x14ac:dyDescent="0.35">
      <c r="A963" s="15" t="s">
        <v>514</v>
      </c>
      <c r="B963" s="15"/>
      <c r="C963" s="15"/>
      <c r="D963" s="15"/>
      <c r="E963" s="15"/>
      <c r="F963" s="15"/>
      <c r="G963" s="15"/>
      <c r="H963" s="15"/>
      <c r="I963" s="15"/>
      <c r="J963" s="15"/>
    </row>
    <row r="964" spans="1:1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</row>
    <row r="965" spans="1:12" ht="30" x14ac:dyDescent="0.25">
      <c r="A965" s="2" t="s">
        <v>6</v>
      </c>
      <c r="B965" s="2" t="s">
        <v>7</v>
      </c>
      <c r="C965" s="2" t="s">
        <v>8</v>
      </c>
      <c r="D965" s="2" t="s">
        <v>9</v>
      </c>
      <c r="E965" s="2" t="s">
        <v>10</v>
      </c>
      <c r="F965" s="2" t="s">
        <v>11</v>
      </c>
      <c r="G965" s="2" t="s">
        <v>12</v>
      </c>
      <c r="H965" s="2" t="s">
        <v>13</v>
      </c>
      <c r="I965" s="2" t="s">
        <v>14</v>
      </c>
      <c r="J965" s="2" t="s">
        <v>15</v>
      </c>
      <c r="K965" s="2" t="s">
        <v>16</v>
      </c>
      <c r="L965" s="2" t="s">
        <v>17</v>
      </c>
    </row>
    <row r="966" spans="1:12" x14ac:dyDescent="0.25">
      <c r="A966" s="3">
        <v>45716.216203703705</v>
      </c>
      <c r="B966" t="s">
        <v>88</v>
      </c>
      <c r="C966" s="3">
        <v>45716.216990740737</v>
      </c>
      <c r="D966" t="s">
        <v>417</v>
      </c>
      <c r="E966" s="4">
        <v>2.1999999999999999E-2</v>
      </c>
      <c r="F966" s="4">
        <v>518475.95299999998</v>
      </c>
      <c r="G966" s="4">
        <v>518475.97499999998</v>
      </c>
      <c r="H966" s="5">
        <f>0 / 86400</f>
        <v>0</v>
      </c>
      <c r="I966" t="s">
        <v>35</v>
      </c>
      <c r="J966" t="s">
        <v>59</v>
      </c>
      <c r="K966" s="5">
        <f>68 / 86400</f>
        <v>7.8703703703703705E-4</v>
      </c>
      <c r="L966" s="5">
        <f>20491 / 86400</f>
        <v>0.23716435185185186</v>
      </c>
    </row>
    <row r="967" spans="1:12" x14ac:dyDescent="0.25">
      <c r="A967" s="3">
        <v>45716.237951388888</v>
      </c>
      <c r="B967" t="s">
        <v>119</v>
      </c>
      <c r="C967" s="3">
        <v>45716.239606481482</v>
      </c>
      <c r="D967" t="s">
        <v>146</v>
      </c>
      <c r="E967" s="4">
        <v>2.5999999999999999E-2</v>
      </c>
      <c r="F967" s="4">
        <v>518475.98300000001</v>
      </c>
      <c r="G967" s="4">
        <v>518476.00900000002</v>
      </c>
      <c r="H967" s="5">
        <f>90 / 86400</f>
        <v>1.0416666666666667E-3</v>
      </c>
      <c r="I967" t="s">
        <v>214</v>
      </c>
      <c r="J967" t="s">
        <v>59</v>
      </c>
      <c r="K967" s="5">
        <f>143 / 86400</f>
        <v>1.6550925925925926E-3</v>
      </c>
      <c r="L967" s="5">
        <f>10 / 86400</f>
        <v>1.1574074074074075E-4</v>
      </c>
    </row>
    <row r="968" spans="1:12" x14ac:dyDescent="0.25">
      <c r="A968" s="3">
        <v>45716.239722222221</v>
      </c>
      <c r="B968" t="s">
        <v>146</v>
      </c>
      <c r="C968" s="3">
        <v>45716.239965277782</v>
      </c>
      <c r="D968" t="s">
        <v>146</v>
      </c>
      <c r="E968" s="4">
        <v>0</v>
      </c>
      <c r="F968" s="4">
        <v>518476.00900000002</v>
      </c>
      <c r="G968" s="4">
        <v>518476.00900000002</v>
      </c>
      <c r="H968" s="5">
        <f>12 / 86400</f>
        <v>1.3888888888888889E-4</v>
      </c>
      <c r="I968" t="s">
        <v>22</v>
      </c>
      <c r="J968" t="s">
        <v>22</v>
      </c>
      <c r="K968" s="5">
        <f>21 / 86400</f>
        <v>2.4305555555555555E-4</v>
      </c>
      <c r="L968" s="5">
        <f>12 / 86400</f>
        <v>1.3888888888888889E-4</v>
      </c>
    </row>
    <row r="969" spans="1:12" x14ac:dyDescent="0.25">
      <c r="A969" s="3">
        <v>45716.240104166667</v>
      </c>
      <c r="B969" t="s">
        <v>146</v>
      </c>
      <c r="C969" s="3">
        <v>45716.240219907406</v>
      </c>
      <c r="D969" t="s">
        <v>146</v>
      </c>
      <c r="E969" s="4">
        <v>0</v>
      </c>
      <c r="F969" s="4">
        <v>518476.00900000002</v>
      </c>
      <c r="G969" s="4">
        <v>518476.00900000002</v>
      </c>
      <c r="H969" s="5">
        <f>4 / 86400</f>
        <v>4.6296296296296294E-5</v>
      </c>
      <c r="I969" t="s">
        <v>22</v>
      </c>
      <c r="J969" t="s">
        <v>22</v>
      </c>
      <c r="K969" s="5">
        <f>10 / 86400</f>
        <v>1.1574074074074075E-4</v>
      </c>
      <c r="L969" s="5">
        <f>2 / 86400</f>
        <v>2.3148148148148147E-5</v>
      </c>
    </row>
    <row r="970" spans="1:12" x14ac:dyDescent="0.25">
      <c r="A970" s="3">
        <v>45716.240243055552</v>
      </c>
      <c r="B970" t="s">
        <v>146</v>
      </c>
      <c r="C970" s="3">
        <v>45716.241203703699</v>
      </c>
      <c r="D970" t="s">
        <v>146</v>
      </c>
      <c r="E970" s="4">
        <v>1E-3</v>
      </c>
      <c r="F970" s="4">
        <v>518476.00900000002</v>
      </c>
      <c r="G970" s="4">
        <v>518476.01</v>
      </c>
      <c r="H970" s="5">
        <f>78 / 86400</f>
        <v>9.0277777777777774E-4</v>
      </c>
      <c r="I970" t="s">
        <v>22</v>
      </c>
      <c r="J970" t="s">
        <v>22</v>
      </c>
      <c r="K970" s="5">
        <f>83 / 86400</f>
        <v>9.6064814814814819E-4</v>
      </c>
      <c r="L970" s="5">
        <f>5 / 86400</f>
        <v>5.7870370370370373E-5</v>
      </c>
    </row>
    <row r="971" spans="1:12" x14ac:dyDescent="0.25">
      <c r="A971" s="3">
        <v>45716.241261574076</v>
      </c>
      <c r="B971" t="s">
        <v>146</v>
      </c>
      <c r="C971" s="3">
        <v>45716.241354166668</v>
      </c>
      <c r="D971" t="s">
        <v>146</v>
      </c>
      <c r="E971" s="4">
        <v>5.0000000000000001E-3</v>
      </c>
      <c r="F971" s="4">
        <v>518476.011</v>
      </c>
      <c r="G971" s="4">
        <v>518476.016</v>
      </c>
      <c r="H971" s="5">
        <f>0 / 86400</f>
        <v>0</v>
      </c>
      <c r="I971" t="s">
        <v>132</v>
      </c>
      <c r="J971" t="s">
        <v>156</v>
      </c>
      <c r="K971" s="5">
        <f>8 / 86400</f>
        <v>9.2592592592592588E-5</v>
      </c>
      <c r="L971" s="5">
        <f>2 / 86400</f>
        <v>2.3148148148148147E-5</v>
      </c>
    </row>
    <row r="972" spans="1:12" x14ac:dyDescent="0.25">
      <c r="A972" s="3">
        <v>45716.241377314815</v>
      </c>
      <c r="B972" t="s">
        <v>146</v>
      </c>
      <c r="C972" s="3">
        <v>45716.241724537038</v>
      </c>
      <c r="D972" t="s">
        <v>134</v>
      </c>
      <c r="E972" s="4">
        <v>0.19700000000000001</v>
      </c>
      <c r="F972" s="4">
        <v>518476.01899999997</v>
      </c>
      <c r="G972" s="4">
        <v>518476.21600000001</v>
      </c>
      <c r="H972" s="5">
        <f>0 / 86400</f>
        <v>0</v>
      </c>
      <c r="I972" t="s">
        <v>206</v>
      </c>
      <c r="J972" t="s">
        <v>37</v>
      </c>
      <c r="K972" s="5">
        <f>30 / 86400</f>
        <v>3.4722222222222224E-4</v>
      </c>
      <c r="L972" s="5">
        <f>47 / 86400</f>
        <v>5.4398148148148144E-4</v>
      </c>
    </row>
    <row r="973" spans="1:12" x14ac:dyDescent="0.25">
      <c r="A973" s="3">
        <v>45716.242268518516</v>
      </c>
      <c r="B973" t="s">
        <v>134</v>
      </c>
      <c r="C973" s="3">
        <v>45716.242349537039</v>
      </c>
      <c r="D973" t="s">
        <v>418</v>
      </c>
      <c r="E973" s="4">
        <v>8.9999999999999993E-3</v>
      </c>
      <c r="F973" s="4">
        <v>518476.272</v>
      </c>
      <c r="G973" s="4">
        <v>518476.28100000002</v>
      </c>
      <c r="H973" s="5">
        <f>0 / 86400</f>
        <v>0</v>
      </c>
      <c r="I973" t="s">
        <v>140</v>
      </c>
      <c r="J973" t="s">
        <v>25</v>
      </c>
      <c r="K973" s="5">
        <f>7 / 86400</f>
        <v>8.1018518518518516E-5</v>
      </c>
      <c r="L973" s="5">
        <f>53 / 86400</f>
        <v>6.134259259259259E-4</v>
      </c>
    </row>
    <row r="974" spans="1:12" x14ac:dyDescent="0.25">
      <c r="A974" s="3">
        <v>45716.242962962962</v>
      </c>
      <c r="B974" t="s">
        <v>311</v>
      </c>
      <c r="C974" s="3">
        <v>45716.243310185186</v>
      </c>
      <c r="D974" t="s">
        <v>21</v>
      </c>
      <c r="E974" s="4">
        <v>5.8999999999999997E-2</v>
      </c>
      <c r="F974" s="4">
        <v>518476.36</v>
      </c>
      <c r="G974" s="4">
        <v>518476.41899999999</v>
      </c>
      <c r="H974" s="5">
        <f>0 / 86400</f>
        <v>0</v>
      </c>
      <c r="I974" t="s">
        <v>211</v>
      </c>
      <c r="J974" t="s">
        <v>57</v>
      </c>
      <c r="K974" s="5">
        <f>30 / 86400</f>
        <v>3.4722222222222224E-4</v>
      </c>
      <c r="L974" s="5">
        <f>104 / 86400</f>
        <v>1.2037037037037038E-3</v>
      </c>
    </row>
    <row r="975" spans="1:12" x14ac:dyDescent="0.25">
      <c r="A975" s="3">
        <v>45716.244513888887</v>
      </c>
      <c r="B975" t="s">
        <v>21</v>
      </c>
      <c r="C975" s="3">
        <v>45716.244571759264</v>
      </c>
      <c r="D975" t="s">
        <v>21</v>
      </c>
      <c r="E975" s="4">
        <v>3.5999999999999997E-2</v>
      </c>
      <c r="F975" s="4">
        <v>518476.446</v>
      </c>
      <c r="G975" s="4">
        <v>518476.48200000002</v>
      </c>
      <c r="H975" s="5">
        <f>0 / 86400</f>
        <v>0</v>
      </c>
      <c r="I975" t="s">
        <v>168</v>
      </c>
      <c r="J975" t="s">
        <v>236</v>
      </c>
      <c r="K975" s="5">
        <f>5 / 86400</f>
        <v>5.7870370370370373E-5</v>
      </c>
      <c r="L975" s="5">
        <f>2 / 86400</f>
        <v>2.3148148148148147E-5</v>
      </c>
    </row>
    <row r="976" spans="1:12" x14ac:dyDescent="0.25">
      <c r="A976" s="3">
        <v>45716.244594907403</v>
      </c>
      <c r="B976" t="s">
        <v>21</v>
      </c>
      <c r="C976" s="3">
        <v>45716.245023148149</v>
      </c>
      <c r="D976" t="s">
        <v>21</v>
      </c>
      <c r="E976" s="4">
        <v>2.7E-2</v>
      </c>
      <c r="F976" s="4">
        <v>518476.49200000003</v>
      </c>
      <c r="G976" s="4">
        <v>518476.51899999997</v>
      </c>
      <c r="H976" s="5">
        <f>14 / 86400</f>
        <v>1.6203703703703703E-4</v>
      </c>
      <c r="I976" t="s">
        <v>164</v>
      </c>
      <c r="J976" t="s">
        <v>33</v>
      </c>
      <c r="K976" s="5">
        <f>37 / 86400</f>
        <v>4.2824074074074075E-4</v>
      </c>
      <c r="L976" s="5">
        <f>77 / 86400</f>
        <v>8.9120370370370373E-4</v>
      </c>
    </row>
    <row r="977" spans="1:12" x14ac:dyDescent="0.25">
      <c r="A977" s="3">
        <v>45716.24591435185</v>
      </c>
      <c r="B977" t="s">
        <v>21</v>
      </c>
      <c r="C977" s="3">
        <v>45716.246932870374</v>
      </c>
      <c r="D977" t="s">
        <v>419</v>
      </c>
      <c r="E977" s="4">
        <v>6.8000000000000005E-2</v>
      </c>
      <c r="F977" s="4">
        <v>518476.527</v>
      </c>
      <c r="G977" s="4">
        <v>518476.59499999997</v>
      </c>
      <c r="H977" s="5">
        <f t="shared" ref="H977:H984" si="8">0 / 86400</f>
        <v>0</v>
      </c>
      <c r="I977" t="s">
        <v>182</v>
      </c>
      <c r="J977" t="s">
        <v>33</v>
      </c>
      <c r="K977" s="5">
        <f>88 / 86400</f>
        <v>1.0185185185185184E-3</v>
      </c>
      <c r="L977" s="5">
        <f>38 / 86400</f>
        <v>4.3981481481481481E-4</v>
      </c>
    </row>
    <row r="978" spans="1:12" x14ac:dyDescent="0.25">
      <c r="A978" s="3">
        <v>45716.247372685189</v>
      </c>
      <c r="B978" t="s">
        <v>21</v>
      </c>
      <c r="C978" s="3">
        <v>45716.247499999998</v>
      </c>
      <c r="D978" t="s">
        <v>313</v>
      </c>
      <c r="E978" s="4">
        <v>9.4E-2</v>
      </c>
      <c r="F978" s="4">
        <v>518476.62199999997</v>
      </c>
      <c r="G978" s="4">
        <v>518476.71600000001</v>
      </c>
      <c r="H978" s="5">
        <f t="shared" si="8"/>
        <v>0</v>
      </c>
      <c r="I978" t="s">
        <v>182</v>
      </c>
      <c r="J978" t="s">
        <v>206</v>
      </c>
      <c r="K978" s="5">
        <f>11 / 86400</f>
        <v>1.273148148148148E-4</v>
      </c>
      <c r="L978" s="5">
        <f>20 / 86400</f>
        <v>2.3148148148148149E-4</v>
      </c>
    </row>
    <row r="979" spans="1:12" x14ac:dyDescent="0.25">
      <c r="A979" s="3">
        <v>45716.247731481482</v>
      </c>
      <c r="B979" t="s">
        <v>420</v>
      </c>
      <c r="C979" s="3">
        <v>45716.247870370367</v>
      </c>
      <c r="D979" t="s">
        <v>420</v>
      </c>
      <c r="E979" s="4">
        <v>0.03</v>
      </c>
      <c r="F979" s="4">
        <v>518476.74699999997</v>
      </c>
      <c r="G979" s="4">
        <v>518476.777</v>
      </c>
      <c r="H979" s="5">
        <f t="shared" si="8"/>
        <v>0</v>
      </c>
      <c r="I979" t="s">
        <v>100</v>
      </c>
      <c r="J979" t="s">
        <v>132</v>
      </c>
      <c r="K979" s="5">
        <f>12 / 86400</f>
        <v>1.3888888888888889E-4</v>
      </c>
      <c r="L979" s="5">
        <f>3 / 86400</f>
        <v>3.4722222222222222E-5</v>
      </c>
    </row>
    <row r="980" spans="1:12" x14ac:dyDescent="0.25">
      <c r="A980" s="3">
        <v>45716.24790509259</v>
      </c>
      <c r="B980" t="s">
        <v>420</v>
      </c>
      <c r="C980" s="3">
        <v>45716.247939814813</v>
      </c>
      <c r="D980" t="s">
        <v>420</v>
      </c>
      <c r="E980" s="4">
        <v>6.0000000000000001E-3</v>
      </c>
      <c r="F980" s="4">
        <v>518476.777</v>
      </c>
      <c r="G980" s="4">
        <v>518476.783</v>
      </c>
      <c r="H980" s="5">
        <f t="shared" si="8"/>
        <v>0</v>
      </c>
      <c r="I980" t="s">
        <v>35</v>
      </c>
      <c r="J980" t="s">
        <v>57</v>
      </c>
      <c r="K980" s="5">
        <f>3 / 86400</f>
        <v>3.4722222222222222E-5</v>
      </c>
      <c r="L980" s="5">
        <f>5 / 86400</f>
        <v>5.7870370370370373E-5</v>
      </c>
    </row>
    <row r="981" spans="1:12" x14ac:dyDescent="0.25">
      <c r="A981" s="3">
        <v>45716.24799768519</v>
      </c>
      <c r="B981" t="s">
        <v>314</v>
      </c>
      <c r="C981" s="3">
        <v>45716.248067129629</v>
      </c>
      <c r="D981" t="s">
        <v>314</v>
      </c>
      <c r="E981" s="4">
        <v>3.2000000000000001E-2</v>
      </c>
      <c r="F981" s="4">
        <v>518476.80099999998</v>
      </c>
      <c r="G981" s="4">
        <v>518476.83299999998</v>
      </c>
      <c r="H981" s="5">
        <f t="shared" si="8"/>
        <v>0</v>
      </c>
      <c r="I981" t="s">
        <v>211</v>
      </c>
      <c r="J981" t="s">
        <v>85</v>
      </c>
      <c r="K981" s="5">
        <f>6 / 86400</f>
        <v>6.9444444444444444E-5</v>
      </c>
      <c r="L981" s="5">
        <f>11 / 86400</f>
        <v>1.273148148148148E-4</v>
      </c>
    </row>
    <row r="982" spans="1:12" x14ac:dyDescent="0.25">
      <c r="A982" s="3">
        <v>45716.248194444444</v>
      </c>
      <c r="B982" t="s">
        <v>314</v>
      </c>
      <c r="C982" s="3">
        <v>45716.24827546296</v>
      </c>
      <c r="D982" t="s">
        <v>314</v>
      </c>
      <c r="E982" s="4">
        <v>0</v>
      </c>
      <c r="F982" s="4">
        <v>518476.83299999998</v>
      </c>
      <c r="G982" s="4">
        <v>518476.83299999998</v>
      </c>
      <c r="H982" s="5">
        <f t="shared" si="8"/>
        <v>0</v>
      </c>
      <c r="I982" t="s">
        <v>25</v>
      </c>
      <c r="J982" t="s">
        <v>22</v>
      </c>
      <c r="K982" s="5">
        <f>7 / 86400</f>
        <v>8.1018518518518516E-5</v>
      </c>
      <c r="L982" s="5">
        <f>9 / 86400</f>
        <v>1.0416666666666667E-4</v>
      </c>
    </row>
    <row r="983" spans="1:12" x14ac:dyDescent="0.25">
      <c r="A983" s="3">
        <v>45716.248379629629</v>
      </c>
      <c r="B983" t="s">
        <v>314</v>
      </c>
      <c r="C983" s="3">
        <v>45716.248900462961</v>
      </c>
      <c r="D983" t="s">
        <v>302</v>
      </c>
      <c r="E983" s="4">
        <v>0.17699999999999999</v>
      </c>
      <c r="F983" s="4">
        <v>518476.83899999998</v>
      </c>
      <c r="G983" s="4">
        <v>518477.016</v>
      </c>
      <c r="H983" s="5">
        <f t="shared" si="8"/>
        <v>0</v>
      </c>
      <c r="I983" t="s">
        <v>207</v>
      </c>
      <c r="J983" t="s">
        <v>72</v>
      </c>
      <c r="K983" s="5">
        <f>45 / 86400</f>
        <v>5.2083333333333333E-4</v>
      </c>
      <c r="L983" s="5">
        <f>9 / 86400</f>
        <v>1.0416666666666667E-4</v>
      </c>
    </row>
    <row r="984" spans="1:12" x14ac:dyDescent="0.25">
      <c r="A984" s="3">
        <v>45716.24900462963</v>
      </c>
      <c r="B984" t="s">
        <v>421</v>
      </c>
      <c r="C984" s="3">
        <v>45716.249421296292</v>
      </c>
      <c r="D984" t="s">
        <v>422</v>
      </c>
      <c r="E984" s="4">
        <v>0.16700000000000001</v>
      </c>
      <c r="F984" s="4">
        <v>518477.02799999999</v>
      </c>
      <c r="G984" s="4">
        <v>518477.19500000001</v>
      </c>
      <c r="H984" s="5">
        <f t="shared" si="8"/>
        <v>0</v>
      </c>
      <c r="I984" t="s">
        <v>37</v>
      </c>
      <c r="J984" t="s">
        <v>62</v>
      </c>
      <c r="K984" s="5">
        <f>36 / 86400</f>
        <v>4.1666666666666669E-4</v>
      </c>
      <c r="L984" s="5">
        <f>2 / 86400</f>
        <v>2.3148148148148147E-5</v>
      </c>
    </row>
    <row r="985" spans="1:12" x14ac:dyDescent="0.25">
      <c r="A985" s="3">
        <v>45716.249444444446</v>
      </c>
      <c r="B985" t="s">
        <v>422</v>
      </c>
      <c r="C985" s="3">
        <v>45716.250405092593</v>
      </c>
      <c r="D985" t="s">
        <v>348</v>
      </c>
      <c r="E985" s="4">
        <v>0.186</v>
      </c>
      <c r="F985" s="4">
        <v>518477.20199999999</v>
      </c>
      <c r="G985" s="4">
        <v>518477.38799999998</v>
      </c>
      <c r="H985" s="5">
        <f>30 / 86400</f>
        <v>3.4722222222222224E-4</v>
      </c>
      <c r="I985" t="s">
        <v>236</v>
      </c>
      <c r="J985" t="s">
        <v>214</v>
      </c>
      <c r="K985" s="5">
        <f>83 / 86400</f>
        <v>9.6064814814814819E-4</v>
      </c>
      <c r="L985" s="5">
        <f>5 / 86400</f>
        <v>5.7870370370370373E-5</v>
      </c>
    </row>
    <row r="986" spans="1:12" x14ac:dyDescent="0.25">
      <c r="A986" s="3">
        <v>45716.250462962962</v>
      </c>
      <c r="B986" t="s">
        <v>348</v>
      </c>
      <c r="C986" s="3">
        <v>45716.251111111109</v>
      </c>
      <c r="D986" t="s">
        <v>423</v>
      </c>
      <c r="E986" s="4">
        <v>0.32400000000000001</v>
      </c>
      <c r="F986" s="4">
        <v>518477.4</v>
      </c>
      <c r="G986" s="4">
        <v>518477.72399999999</v>
      </c>
      <c r="H986" s="5">
        <f>19 / 86400</f>
        <v>2.199074074074074E-4</v>
      </c>
      <c r="I986" t="s">
        <v>176</v>
      </c>
      <c r="J986" t="s">
        <v>190</v>
      </c>
      <c r="K986" s="5">
        <f>56 / 86400</f>
        <v>6.4814814814814813E-4</v>
      </c>
      <c r="L986" s="5">
        <f>4 / 86400</f>
        <v>4.6296296296296294E-5</v>
      </c>
    </row>
    <row r="987" spans="1:12" x14ac:dyDescent="0.25">
      <c r="A987" s="3">
        <v>45716.251157407409</v>
      </c>
      <c r="B987" t="s">
        <v>297</v>
      </c>
      <c r="C987" s="3">
        <v>45716.252627314811</v>
      </c>
      <c r="D987" t="s">
        <v>319</v>
      </c>
      <c r="E987" s="4">
        <v>0.53200000000000003</v>
      </c>
      <c r="F987" s="4">
        <v>518477.739</v>
      </c>
      <c r="G987" s="4">
        <v>518478.27100000001</v>
      </c>
      <c r="H987" s="5">
        <f>30 / 86400</f>
        <v>3.4722222222222224E-4</v>
      </c>
      <c r="I987" t="s">
        <v>185</v>
      </c>
      <c r="J987" t="s">
        <v>35</v>
      </c>
      <c r="K987" s="5">
        <f>127 / 86400</f>
        <v>1.4699074074074074E-3</v>
      </c>
      <c r="L987" s="5">
        <f>78 / 86400</f>
        <v>9.0277777777777774E-4</v>
      </c>
    </row>
    <row r="988" spans="1:12" x14ac:dyDescent="0.25">
      <c r="A988" s="3">
        <v>45716.253530092596</v>
      </c>
      <c r="B988" t="s">
        <v>297</v>
      </c>
      <c r="C988" s="3">
        <v>45716.253587962958</v>
      </c>
      <c r="D988" t="s">
        <v>297</v>
      </c>
      <c r="E988" s="4">
        <v>2E-3</v>
      </c>
      <c r="F988" s="4">
        <v>518478.31599999999</v>
      </c>
      <c r="G988" s="4">
        <v>518478.31800000003</v>
      </c>
      <c r="H988" s="5">
        <f>0 / 86400</f>
        <v>0</v>
      </c>
      <c r="I988" t="s">
        <v>57</v>
      </c>
      <c r="J988" t="s">
        <v>59</v>
      </c>
      <c r="K988" s="5">
        <f>5 / 86400</f>
        <v>5.7870370370370373E-5</v>
      </c>
      <c r="L988" s="5">
        <f>44 / 86400</f>
        <v>5.0925925925925921E-4</v>
      </c>
    </row>
    <row r="989" spans="1:12" x14ac:dyDescent="0.25">
      <c r="A989" s="3">
        <v>45716.25409722222</v>
      </c>
      <c r="B989" t="s">
        <v>297</v>
      </c>
      <c r="C989" s="3">
        <v>45716.254212962958</v>
      </c>
      <c r="D989" t="s">
        <v>297</v>
      </c>
      <c r="E989" s="4">
        <v>0.06</v>
      </c>
      <c r="F989" s="4">
        <v>518478.36499999999</v>
      </c>
      <c r="G989" s="4">
        <v>518478.42499999999</v>
      </c>
      <c r="H989" s="5">
        <f>0 / 86400</f>
        <v>0</v>
      </c>
      <c r="I989" t="s">
        <v>182</v>
      </c>
      <c r="J989" t="s">
        <v>130</v>
      </c>
      <c r="K989" s="5">
        <f>10 / 86400</f>
        <v>1.1574074074074075E-4</v>
      </c>
      <c r="L989" s="5">
        <f>23 / 86400</f>
        <v>2.6620370370370372E-4</v>
      </c>
    </row>
    <row r="990" spans="1:12" x14ac:dyDescent="0.25">
      <c r="A990" s="3">
        <v>45716.254479166666</v>
      </c>
      <c r="B990" t="s">
        <v>297</v>
      </c>
      <c r="C990" s="3">
        <v>45716.25481481482</v>
      </c>
      <c r="D990" t="s">
        <v>296</v>
      </c>
      <c r="E990" s="4">
        <v>0.155</v>
      </c>
      <c r="F990" s="4">
        <v>518478.47600000002</v>
      </c>
      <c r="G990" s="4">
        <v>518478.63099999999</v>
      </c>
      <c r="H990" s="5">
        <f>25 / 86400</f>
        <v>2.8935185185185184E-4</v>
      </c>
      <c r="I990" t="s">
        <v>110</v>
      </c>
      <c r="J990" t="s">
        <v>85</v>
      </c>
      <c r="K990" s="5">
        <f>29 / 86400</f>
        <v>3.3564814814814812E-4</v>
      </c>
      <c r="L990" s="5">
        <f>6 / 86400</f>
        <v>6.9444444444444444E-5</v>
      </c>
    </row>
    <row r="991" spans="1:12" x14ac:dyDescent="0.25">
      <c r="A991" s="3">
        <v>45716.254884259259</v>
      </c>
      <c r="B991" t="s">
        <v>296</v>
      </c>
      <c r="C991" s="3">
        <v>45716.258310185185</v>
      </c>
      <c r="D991" t="s">
        <v>424</v>
      </c>
      <c r="E991" s="4">
        <v>0.32200000000000001</v>
      </c>
      <c r="F991" s="4">
        <v>518478.63500000001</v>
      </c>
      <c r="G991" s="4">
        <v>518478.95699999999</v>
      </c>
      <c r="H991" s="5">
        <f>15 / 86400</f>
        <v>1.7361111111111112E-4</v>
      </c>
      <c r="I991" t="s">
        <v>66</v>
      </c>
      <c r="J991" t="s">
        <v>147</v>
      </c>
      <c r="K991" s="5">
        <f>296 / 86400</f>
        <v>3.425925925925926E-3</v>
      </c>
      <c r="L991" s="5">
        <f>29 / 86400</f>
        <v>3.3564814814814812E-4</v>
      </c>
    </row>
    <row r="992" spans="1:12" x14ac:dyDescent="0.25">
      <c r="A992" s="3">
        <v>45716.258645833332</v>
      </c>
      <c r="B992" t="s">
        <v>425</v>
      </c>
      <c r="C992" s="3">
        <v>45716.258703703701</v>
      </c>
      <c r="D992" t="s">
        <v>425</v>
      </c>
      <c r="E992" s="4">
        <v>1E-3</v>
      </c>
      <c r="F992" s="4">
        <v>518479.00099999999</v>
      </c>
      <c r="G992" s="4">
        <v>518479.00199999998</v>
      </c>
      <c r="H992" s="5">
        <f>0 / 86400</f>
        <v>0</v>
      </c>
      <c r="I992" t="s">
        <v>151</v>
      </c>
      <c r="J992" t="s">
        <v>59</v>
      </c>
      <c r="K992" s="5">
        <f>5 / 86400</f>
        <v>5.7870370370370373E-5</v>
      </c>
      <c r="L992" s="5">
        <f>26 / 86400</f>
        <v>3.0092592592592595E-4</v>
      </c>
    </row>
    <row r="993" spans="1:12" x14ac:dyDescent="0.25">
      <c r="A993" s="3">
        <v>45716.259004629625</v>
      </c>
      <c r="B993" t="s">
        <v>426</v>
      </c>
      <c r="C993" s="3">
        <v>45716.259097222224</v>
      </c>
      <c r="D993" t="s">
        <v>36</v>
      </c>
      <c r="E993" s="4">
        <v>2.1999999999999999E-2</v>
      </c>
      <c r="F993" s="4">
        <v>518479.01500000001</v>
      </c>
      <c r="G993" s="4">
        <v>518479.03700000001</v>
      </c>
      <c r="H993" s="5">
        <f>0 / 86400</f>
        <v>0</v>
      </c>
      <c r="I993" t="s">
        <v>185</v>
      </c>
      <c r="J993" t="s">
        <v>151</v>
      </c>
      <c r="K993" s="5">
        <f>8 / 86400</f>
        <v>9.2592592592592588E-5</v>
      </c>
      <c r="L993" s="5">
        <f>20 / 86400</f>
        <v>2.3148148148148149E-4</v>
      </c>
    </row>
    <row r="994" spans="1:12" x14ac:dyDescent="0.25">
      <c r="A994" s="3">
        <v>45716.259328703702</v>
      </c>
      <c r="B994" t="s">
        <v>36</v>
      </c>
      <c r="C994" s="3">
        <v>45716.25981481481</v>
      </c>
      <c r="D994" t="s">
        <v>36</v>
      </c>
      <c r="E994" s="4">
        <v>0.09</v>
      </c>
      <c r="F994" s="4">
        <v>518479.049</v>
      </c>
      <c r="G994" s="4">
        <v>518479.13900000002</v>
      </c>
      <c r="H994" s="5">
        <f>10 / 86400</f>
        <v>1.1574074074074075E-4</v>
      </c>
      <c r="I994" t="s">
        <v>153</v>
      </c>
      <c r="J994" t="s">
        <v>214</v>
      </c>
      <c r="K994" s="5">
        <f>42 / 86400</f>
        <v>4.861111111111111E-4</v>
      </c>
      <c r="L994" s="5">
        <f>17 / 86400</f>
        <v>1.9675925925925926E-4</v>
      </c>
    </row>
    <row r="995" spans="1:12" x14ac:dyDescent="0.25">
      <c r="A995" s="3">
        <v>45716.260011574079</v>
      </c>
      <c r="B995" t="s">
        <v>36</v>
      </c>
      <c r="C995" s="3">
        <v>45716.260069444441</v>
      </c>
      <c r="D995" t="s">
        <v>36</v>
      </c>
      <c r="E995" s="4">
        <v>3.5999999999999997E-2</v>
      </c>
      <c r="F995" s="4">
        <v>518479.16499999998</v>
      </c>
      <c r="G995" s="4">
        <v>518479.201</v>
      </c>
      <c r="H995" s="5">
        <f t="shared" ref="H995:H1005" si="9">0 / 86400</f>
        <v>0</v>
      </c>
      <c r="I995" t="s">
        <v>165</v>
      </c>
      <c r="J995" t="s">
        <v>236</v>
      </c>
      <c r="K995" s="5">
        <f>5 / 86400</f>
        <v>5.7870370370370373E-5</v>
      </c>
      <c r="L995" s="5">
        <f>2 / 86400</f>
        <v>2.3148148148148147E-5</v>
      </c>
    </row>
    <row r="996" spans="1:12" x14ac:dyDescent="0.25">
      <c r="A996" s="3">
        <v>45716.260092592594</v>
      </c>
      <c r="B996" t="s">
        <v>36</v>
      </c>
      <c r="C996" s="3">
        <v>45716.260127314818</v>
      </c>
      <c r="D996" t="s">
        <v>36</v>
      </c>
      <c r="E996" s="4">
        <v>2E-3</v>
      </c>
      <c r="F996" s="4">
        <v>518479.201</v>
      </c>
      <c r="G996" s="4">
        <v>518479.20299999998</v>
      </c>
      <c r="H996" s="5">
        <f t="shared" si="9"/>
        <v>0</v>
      </c>
      <c r="I996" t="s">
        <v>20</v>
      </c>
      <c r="J996" t="s">
        <v>156</v>
      </c>
      <c r="K996" s="5">
        <f>3 / 86400</f>
        <v>3.4722222222222222E-5</v>
      </c>
      <c r="L996" s="5">
        <f>25 / 86400</f>
        <v>2.8935185185185184E-4</v>
      </c>
    </row>
    <row r="997" spans="1:12" x14ac:dyDescent="0.25">
      <c r="A997" s="3">
        <v>45716.260416666672</v>
      </c>
      <c r="B997" t="s">
        <v>427</v>
      </c>
      <c r="C997" s="3">
        <v>45716.26048611111</v>
      </c>
      <c r="D997" t="s">
        <v>36</v>
      </c>
      <c r="E997" s="4">
        <v>8.9999999999999993E-3</v>
      </c>
      <c r="F997" s="4">
        <v>518479.21500000003</v>
      </c>
      <c r="G997" s="4">
        <v>518479.22399999999</v>
      </c>
      <c r="H997" s="5">
        <f t="shared" si="9"/>
        <v>0</v>
      </c>
      <c r="I997" t="s">
        <v>165</v>
      </c>
      <c r="J997" t="s">
        <v>25</v>
      </c>
      <c r="K997" s="5">
        <f>6 / 86400</f>
        <v>6.9444444444444444E-5</v>
      </c>
      <c r="L997" s="5">
        <f>36 / 86400</f>
        <v>4.1666666666666669E-4</v>
      </c>
    </row>
    <row r="998" spans="1:12" x14ac:dyDescent="0.25">
      <c r="A998" s="3">
        <v>45716.26090277778</v>
      </c>
      <c r="B998" t="s">
        <v>352</v>
      </c>
      <c r="C998" s="3">
        <v>45716.260972222226</v>
      </c>
      <c r="D998" t="s">
        <v>352</v>
      </c>
      <c r="E998" s="4">
        <v>1.4999999999999999E-2</v>
      </c>
      <c r="F998" s="4">
        <v>518479.41800000001</v>
      </c>
      <c r="G998" s="4">
        <v>518479.43300000002</v>
      </c>
      <c r="H998" s="5">
        <f t="shared" si="9"/>
        <v>0</v>
      </c>
      <c r="I998" t="s">
        <v>149</v>
      </c>
      <c r="J998" t="s">
        <v>132</v>
      </c>
      <c r="K998" s="5">
        <f>6 / 86400</f>
        <v>6.9444444444444444E-5</v>
      </c>
      <c r="L998" s="5">
        <f>21 / 86400</f>
        <v>2.4305555555555555E-4</v>
      </c>
    </row>
    <row r="999" spans="1:12" x14ac:dyDescent="0.25">
      <c r="A999" s="3">
        <v>45716.261215277773</v>
      </c>
      <c r="B999" t="s">
        <v>36</v>
      </c>
      <c r="C999" s="3">
        <v>45716.261759259258</v>
      </c>
      <c r="D999" t="s">
        <v>36</v>
      </c>
      <c r="E999" s="4">
        <v>5.6000000000000001E-2</v>
      </c>
      <c r="F999" s="4">
        <v>518479.44699999999</v>
      </c>
      <c r="G999" s="4">
        <v>518479.50300000003</v>
      </c>
      <c r="H999" s="5">
        <f t="shared" si="9"/>
        <v>0</v>
      </c>
      <c r="I999" t="s">
        <v>160</v>
      </c>
      <c r="J999" t="s">
        <v>147</v>
      </c>
      <c r="K999" s="5">
        <f>47 / 86400</f>
        <v>5.4398148148148144E-4</v>
      </c>
      <c r="L999" s="5">
        <f>13 / 86400</f>
        <v>1.5046296296296297E-4</v>
      </c>
    </row>
    <row r="1000" spans="1:12" x14ac:dyDescent="0.25">
      <c r="A1000" s="3">
        <v>45716.26190972222</v>
      </c>
      <c r="B1000" t="s">
        <v>36</v>
      </c>
      <c r="C1000" s="3">
        <v>45716.262060185181</v>
      </c>
      <c r="D1000" t="s">
        <v>36</v>
      </c>
      <c r="E1000" s="4">
        <v>8.1000000000000003E-2</v>
      </c>
      <c r="F1000" s="4">
        <v>518479.52799999999</v>
      </c>
      <c r="G1000" s="4">
        <v>518479.609</v>
      </c>
      <c r="H1000" s="5">
        <f t="shared" si="9"/>
        <v>0</v>
      </c>
      <c r="I1000" t="s">
        <v>185</v>
      </c>
      <c r="J1000" t="s">
        <v>130</v>
      </c>
      <c r="K1000" s="5">
        <f>13 / 86400</f>
        <v>1.5046296296296297E-4</v>
      </c>
      <c r="L1000" s="5">
        <f>7 / 86400</f>
        <v>8.1018518518518516E-5</v>
      </c>
    </row>
    <row r="1001" spans="1:12" x14ac:dyDescent="0.25">
      <c r="A1001" s="3">
        <v>45716.262141203704</v>
      </c>
      <c r="B1001" t="s">
        <v>203</v>
      </c>
      <c r="C1001" s="3">
        <v>45716.262476851851</v>
      </c>
      <c r="D1001" t="s">
        <v>203</v>
      </c>
      <c r="E1001" s="4">
        <v>0.11799999999999999</v>
      </c>
      <c r="F1001" s="4">
        <v>518479.69</v>
      </c>
      <c r="G1001" s="4">
        <v>518479.80800000002</v>
      </c>
      <c r="H1001" s="5">
        <f t="shared" si="9"/>
        <v>0</v>
      </c>
      <c r="I1001" t="s">
        <v>176</v>
      </c>
      <c r="J1001" t="s">
        <v>35</v>
      </c>
      <c r="K1001" s="5">
        <f>29 / 86400</f>
        <v>3.3564814814814812E-4</v>
      </c>
      <c r="L1001" s="5">
        <f>4 / 86400</f>
        <v>4.6296296296296294E-5</v>
      </c>
    </row>
    <row r="1002" spans="1:12" x14ac:dyDescent="0.25">
      <c r="A1002" s="3">
        <v>45716.262523148151</v>
      </c>
      <c r="B1002" t="s">
        <v>203</v>
      </c>
      <c r="C1002" s="3">
        <v>45716.262615740736</v>
      </c>
      <c r="D1002" t="s">
        <v>203</v>
      </c>
      <c r="E1002" s="4">
        <v>6.2E-2</v>
      </c>
      <c r="F1002" s="4">
        <v>518479.81900000002</v>
      </c>
      <c r="G1002" s="4">
        <v>518479.88099999999</v>
      </c>
      <c r="H1002" s="5">
        <f t="shared" si="9"/>
        <v>0</v>
      </c>
      <c r="I1002" t="s">
        <v>205</v>
      </c>
      <c r="J1002" t="s">
        <v>145</v>
      </c>
      <c r="K1002" s="5">
        <f>8 / 86400</f>
        <v>9.2592592592592588E-5</v>
      </c>
      <c r="L1002" s="5">
        <f>44 / 86400</f>
        <v>5.0925925925925921E-4</v>
      </c>
    </row>
    <row r="1003" spans="1:12" x14ac:dyDescent="0.25">
      <c r="A1003" s="3">
        <v>45716.263124999998</v>
      </c>
      <c r="B1003" t="s">
        <v>203</v>
      </c>
      <c r="C1003" s="3">
        <v>45716.263194444444</v>
      </c>
      <c r="D1003" t="s">
        <v>203</v>
      </c>
      <c r="E1003" s="4">
        <v>2.8000000000000001E-2</v>
      </c>
      <c r="F1003" s="4">
        <v>518479.88799999998</v>
      </c>
      <c r="G1003" s="4">
        <v>518479.91600000003</v>
      </c>
      <c r="H1003" s="5">
        <f t="shared" si="9"/>
        <v>0</v>
      </c>
      <c r="I1003" t="s">
        <v>32</v>
      </c>
      <c r="J1003" t="s">
        <v>62</v>
      </c>
      <c r="K1003" s="5">
        <f>6 / 86400</f>
        <v>6.9444444444444444E-5</v>
      </c>
      <c r="L1003" s="5">
        <f>6 / 86400</f>
        <v>6.9444444444444444E-5</v>
      </c>
    </row>
    <row r="1004" spans="1:12" x14ac:dyDescent="0.25">
      <c r="A1004" s="3">
        <v>45716.26326388889</v>
      </c>
      <c r="B1004" t="s">
        <v>203</v>
      </c>
      <c r="C1004" s="3">
        <v>45716.263449074075</v>
      </c>
      <c r="D1004" t="s">
        <v>203</v>
      </c>
      <c r="E1004" s="4">
        <v>0.105</v>
      </c>
      <c r="F1004" s="4">
        <v>518479.91600000003</v>
      </c>
      <c r="G1004" s="4">
        <v>518480.02100000001</v>
      </c>
      <c r="H1004" s="5">
        <f t="shared" si="9"/>
        <v>0</v>
      </c>
      <c r="I1004" t="s">
        <v>160</v>
      </c>
      <c r="J1004" t="s">
        <v>37</v>
      </c>
      <c r="K1004" s="5">
        <f>16 / 86400</f>
        <v>1.8518518518518518E-4</v>
      </c>
      <c r="L1004" s="5">
        <f>2 / 86400</f>
        <v>2.3148148148148147E-5</v>
      </c>
    </row>
    <row r="1005" spans="1:12" x14ac:dyDescent="0.25">
      <c r="A1005" s="3">
        <v>45716.263472222221</v>
      </c>
      <c r="B1005" t="s">
        <v>203</v>
      </c>
      <c r="C1005" s="3">
        <v>45716.263564814813</v>
      </c>
      <c r="D1005" t="s">
        <v>203</v>
      </c>
      <c r="E1005" s="4">
        <v>0.10299999999999999</v>
      </c>
      <c r="F1005" s="4">
        <v>518480.03499999997</v>
      </c>
      <c r="G1005" s="4">
        <v>518480.13799999998</v>
      </c>
      <c r="H1005" s="5">
        <f t="shared" si="9"/>
        <v>0</v>
      </c>
      <c r="I1005" t="s">
        <v>160</v>
      </c>
      <c r="J1005" t="s">
        <v>176</v>
      </c>
      <c r="K1005" s="5">
        <f>8 / 86400</f>
        <v>9.2592592592592588E-5</v>
      </c>
      <c r="L1005" s="5">
        <f>91 / 86400</f>
        <v>1.0532407407407407E-3</v>
      </c>
    </row>
    <row r="1006" spans="1:12" x14ac:dyDescent="0.25">
      <c r="A1006" s="3">
        <v>45716.26461805556</v>
      </c>
      <c r="B1006" t="s">
        <v>38</v>
      </c>
      <c r="C1006" s="3">
        <v>45716.264745370368</v>
      </c>
      <c r="D1006" t="s">
        <v>204</v>
      </c>
      <c r="E1006" s="4">
        <v>5.0000000000000001E-3</v>
      </c>
      <c r="F1006" s="4">
        <v>518480.15600000002</v>
      </c>
      <c r="G1006" s="4">
        <v>518480.16100000002</v>
      </c>
      <c r="H1006" s="5">
        <f>7 / 86400</f>
        <v>8.1018518518518516E-5</v>
      </c>
      <c r="I1006" t="s">
        <v>62</v>
      </c>
      <c r="J1006" t="s">
        <v>156</v>
      </c>
      <c r="K1006" s="5">
        <f>11 / 86400</f>
        <v>1.273148148148148E-4</v>
      </c>
      <c r="L1006" s="5">
        <f>4 / 86400</f>
        <v>4.6296296296296294E-5</v>
      </c>
    </row>
    <row r="1007" spans="1:12" x14ac:dyDescent="0.25">
      <c r="A1007" s="3">
        <v>45716.264791666668</v>
      </c>
      <c r="B1007" t="s">
        <v>204</v>
      </c>
      <c r="C1007" s="3">
        <v>45716.26489583333</v>
      </c>
      <c r="D1007" t="s">
        <v>166</v>
      </c>
      <c r="E1007" s="4">
        <v>3.0000000000000001E-3</v>
      </c>
      <c r="F1007" s="4">
        <v>518480.16100000002</v>
      </c>
      <c r="G1007" s="4">
        <v>518480.16399999999</v>
      </c>
      <c r="H1007" s="5">
        <f t="shared" ref="H1007:H1022" si="10">0 / 86400</f>
        <v>0</v>
      </c>
      <c r="I1007" t="s">
        <v>28</v>
      </c>
      <c r="J1007" t="s">
        <v>59</v>
      </c>
      <c r="K1007" s="5">
        <f>9 / 86400</f>
        <v>1.0416666666666667E-4</v>
      </c>
      <c r="L1007" s="5">
        <f>10 / 86400</f>
        <v>1.1574074074074075E-4</v>
      </c>
    </row>
    <row r="1008" spans="1:12" x14ac:dyDescent="0.25">
      <c r="A1008" s="3">
        <v>45716.265011574069</v>
      </c>
      <c r="B1008" t="s">
        <v>169</v>
      </c>
      <c r="C1008" s="3">
        <v>45716.265277777777</v>
      </c>
      <c r="D1008" t="s">
        <v>169</v>
      </c>
      <c r="E1008" s="4">
        <v>2E-3</v>
      </c>
      <c r="F1008" s="4">
        <v>518480.17599999998</v>
      </c>
      <c r="G1008" s="4">
        <v>518480.17800000001</v>
      </c>
      <c r="H1008" s="5">
        <f t="shared" si="10"/>
        <v>0</v>
      </c>
      <c r="I1008" t="s">
        <v>185</v>
      </c>
      <c r="J1008" t="s">
        <v>22</v>
      </c>
      <c r="K1008" s="5">
        <f>23 / 86400</f>
        <v>2.6620370370370372E-4</v>
      </c>
      <c r="L1008" s="5">
        <f>11 / 86400</f>
        <v>1.273148148148148E-4</v>
      </c>
    </row>
    <row r="1009" spans="1:12" x14ac:dyDescent="0.25">
      <c r="A1009" s="3">
        <v>45716.265405092592</v>
      </c>
      <c r="B1009" t="s">
        <v>169</v>
      </c>
      <c r="C1009" s="3">
        <v>45716.265798611115</v>
      </c>
      <c r="D1009" t="s">
        <v>166</v>
      </c>
      <c r="E1009" s="4">
        <v>9.7000000000000003E-2</v>
      </c>
      <c r="F1009" s="4">
        <v>518480.19</v>
      </c>
      <c r="G1009" s="4">
        <v>518480.28700000001</v>
      </c>
      <c r="H1009" s="5">
        <f t="shared" si="10"/>
        <v>0</v>
      </c>
      <c r="I1009" t="s">
        <v>185</v>
      </c>
      <c r="J1009" t="s">
        <v>151</v>
      </c>
      <c r="K1009" s="5">
        <f>34 / 86400</f>
        <v>3.9351851851851852E-4</v>
      </c>
      <c r="L1009" s="5">
        <f>26 / 86400</f>
        <v>3.0092592592592595E-4</v>
      </c>
    </row>
    <row r="1010" spans="1:12" x14ac:dyDescent="0.25">
      <c r="A1010" s="3">
        <v>45716.266099537039</v>
      </c>
      <c r="B1010" t="s">
        <v>38</v>
      </c>
      <c r="C1010" s="3">
        <v>45716.266319444447</v>
      </c>
      <c r="D1010" t="s">
        <v>204</v>
      </c>
      <c r="E1010" s="4">
        <v>3.7999999999999999E-2</v>
      </c>
      <c r="F1010" s="4">
        <v>518480.32799999998</v>
      </c>
      <c r="G1010" s="4">
        <v>518480.36599999998</v>
      </c>
      <c r="H1010" s="5">
        <f t="shared" si="10"/>
        <v>0</v>
      </c>
      <c r="I1010" t="s">
        <v>165</v>
      </c>
      <c r="J1010" t="s">
        <v>57</v>
      </c>
      <c r="K1010" s="5">
        <f>19 / 86400</f>
        <v>2.199074074074074E-4</v>
      </c>
      <c r="L1010" s="5">
        <f>19 / 86400</f>
        <v>2.199074074074074E-4</v>
      </c>
    </row>
    <row r="1011" spans="1:12" x14ac:dyDescent="0.25">
      <c r="A1011" s="3">
        <v>45716.266539351855</v>
      </c>
      <c r="B1011" t="s">
        <v>428</v>
      </c>
      <c r="C1011" s="3">
        <v>45716.266608796301</v>
      </c>
      <c r="D1011" t="s">
        <v>166</v>
      </c>
      <c r="E1011" s="4">
        <v>1.7999999999999999E-2</v>
      </c>
      <c r="F1011" s="4">
        <v>518480.37</v>
      </c>
      <c r="G1011" s="4">
        <v>518480.38799999998</v>
      </c>
      <c r="H1011" s="5">
        <f t="shared" si="10"/>
        <v>0</v>
      </c>
      <c r="I1011" t="s">
        <v>31</v>
      </c>
      <c r="J1011" t="s">
        <v>100</v>
      </c>
      <c r="K1011" s="5">
        <f>6 / 86400</f>
        <v>6.9444444444444444E-5</v>
      </c>
      <c r="L1011" s="5">
        <f>23 / 86400</f>
        <v>2.6620370370370372E-4</v>
      </c>
    </row>
    <row r="1012" spans="1:12" x14ac:dyDescent="0.25">
      <c r="A1012" s="3">
        <v>45716.266875000001</v>
      </c>
      <c r="B1012" t="s">
        <v>166</v>
      </c>
      <c r="C1012" s="3">
        <v>45716.267025462963</v>
      </c>
      <c r="D1012" t="s">
        <v>166</v>
      </c>
      <c r="E1012" s="4">
        <v>0.155</v>
      </c>
      <c r="F1012" s="4">
        <v>518480.38799999998</v>
      </c>
      <c r="G1012" s="4">
        <v>518480.54300000001</v>
      </c>
      <c r="H1012" s="5">
        <f t="shared" si="10"/>
        <v>0</v>
      </c>
      <c r="I1012" t="s">
        <v>185</v>
      </c>
      <c r="J1012" t="s">
        <v>185</v>
      </c>
      <c r="K1012" s="5">
        <f>13 / 86400</f>
        <v>1.5046296296296297E-4</v>
      </c>
      <c r="L1012" s="5">
        <f>17 / 86400</f>
        <v>1.9675925925925926E-4</v>
      </c>
    </row>
    <row r="1013" spans="1:12" x14ac:dyDescent="0.25">
      <c r="A1013" s="3">
        <v>45716.267222222217</v>
      </c>
      <c r="B1013" t="s">
        <v>166</v>
      </c>
      <c r="C1013" s="3">
        <v>45716.267569444448</v>
      </c>
      <c r="D1013" t="s">
        <v>169</v>
      </c>
      <c r="E1013" s="4">
        <v>0.39900000000000002</v>
      </c>
      <c r="F1013" s="4">
        <v>518480.565</v>
      </c>
      <c r="G1013" s="4">
        <v>518480.96399999998</v>
      </c>
      <c r="H1013" s="5">
        <f t="shared" si="10"/>
        <v>0</v>
      </c>
      <c r="I1013" t="s">
        <v>70</v>
      </c>
      <c r="J1013" t="s">
        <v>307</v>
      </c>
      <c r="K1013" s="5">
        <f>30 / 86400</f>
        <v>3.4722222222222224E-4</v>
      </c>
      <c r="L1013" s="5">
        <f>4 / 86400</f>
        <v>4.6296296296296294E-5</v>
      </c>
    </row>
    <row r="1014" spans="1:12" x14ac:dyDescent="0.25">
      <c r="A1014" s="3">
        <v>45716.26761574074</v>
      </c>
      <c r="B1014" t="s">
        <v>169</v>
      </c>
      <c r="C1014" s="3">
        <v>45716.26767361111</v>
      </c>
      <c r="D1014" t="s">
        <v>38</v>
      </c>
      <c r="E1014" s="4">
        <v>3.9E-2</v>
      </c>
      <c r="F1014" s="4">
        <v>518480.99900000001</v>
      </c>
      <c r="G1014" s="4">
        <v>518481.038</v>
      </c>
      <c r="H1014" s="5">
        <f t="shared" si="10"/>
        <v>0</v>
      </c>
      <c r="I1014" t="s">
        <v>56</v>
      </c>
      <c r="J1014" t="s">
        <v>145</v>
      </c>
      <c r="K1014" s="5">
        <f>5 / 86400</f>
        <v>5.7870370370370373E-5</v>
      </c>
      <c r="L1014" s="5">
        <f>3 / 86400</f>
        <v>3.4722222222222222E-5</v>
      </c>
    </row>
    <row r="1015" spans="1:12" x14ac:dyDescent="0.25">
      <c r="A1015" s="3">
        <v>45716.267708333333</v>
      </c>
      <c r="B1015" t="s">
        <v>38</v>
      </c>
      <c r="C1015" s="3">
        <v>45716.267777777779</v>
      </c>
      <c r="D1015" t="s">
        <v>38</v>
      </c>
      <c r="E1015" s="4">
        <v>3.0000000000000001E-3</v>
      </c>
      <c r="F1015" s="4">
        <v>518481.03899999999</v>
      </c>
      <c r="G1015" s="4">
        <v>518481.04200000002</v>
      </c>
      <c r="H1015" s="5">
        <f t="shared" si="10"/>
        <v>0</v>
      </c>
      <c r="I1015" t="s">
        <v>22</v>
      </c>
      <c r="J1015" t="s">
        <v>156</v>
      </c>
      <c r="K1015" s="5">
        <f>6 / 86400</f>
        <v>6.9444444444444444E-5</v>
      </c>
      <c r="L1015" s="5">
        <f>7 / 86400</f>
        <v>8.1018518518518516E-5</v>
      </c>
    </row>
    <row r="1016" spans="1:12" x14ac:dyDescent="0.25">
      <c r="A1016" s="3">
        <v>45716.267858796295</v>
      </c>
      <c r="B1016" t="s">
        <v>38</v>
      </c>
      <c r="C1016" s="3">
        <v>45716.267881944441</v>
      </c>
      <c r="D1016" t="s">
        <v>38</v>
      </c>
      <c r="E1016" s="4">
        <v>0</v>
      </c>
      <c r="F1016" s="4">
        <v>518481.05800000002</v>
      </c>
      <c r="G1016" s="4">
        <v>518481.05800000002</v>
      </c>
      <c r="H1016" s="5">
        <f t="shared" si="10"/>
        <v>0</v>
      </c>
      <c r="I1016" t="s">
        <v>164</v>
      </c>
      <c r="J1016" t="s">
        <v>22</v>
      </c>
      <c r="K1016" s="5">
        <f>2 / 86400</f>
        <v>2.3148148148148147E-5</v>
      </c>
      <c r="L1016" s="5">
        <f>11 / 86400</f>
        <v>1.273148148148148E-4</v>
      </c>
    </row>
    <row r="1017" spans="1:12" x14ac:dyDescent="0.25">
      <c r="A1017" s="3">
        <v>45716.268009259264</v>
      </c>
      <c r="B1017" t="s">
        <v>38</v>
      </c>
      <c r="C1017" s="3">
        <v>45716.268275462964</v>
      </c>
      <c r="D1017" t="s">
        <v>38</v>
      </c>
      <c r="E1017" s="4">
        <v>3.6999999999999998E-2</v>
      </c>
      <c r="F1017" s="4">
        <v>518481.07</v>
      </c>
      <c r="G1017" s="4">
        <v>518481.10700000002</v>
      </c>
      <c r="H1017" s="5">
        <f t="shared" si="10"/>
        <v>0</v>
      </c>
      <c r="I1017" t="s">
        <v>185</v>
      </c>
      <c r="J1017" t="s">
        <v>137</v>
      </c>
      <c r="K1017" s="5">
        <f>23 / 86400</f>
        <v>2.6620370370370372E-4</v>
      </c>
      <c r="L1017" s="5">
        <f>2 / 86400</f>
        <v>2.3148148148148147E-5</v>
      </c>
    </row>
    <row r="1018" spans="1:12" x14ac:dyDescent="0.25">
      <c r="A1018" s="3">
        <v>45716.26829861111</v>
      </c>
      <c r="B1018" t="s">
        <v>38</v>
      </c>
      <c r="C1018" s="3">
        <v>45716.268333333333</v>
      </c>
      <c r="D1018" t="s">
        <v>38</v>
      </c>
      <c r="E1018" s="4">
        <v>0</v>
      </c>
      <c r="F1018" s="4">
        <v>518481.10700000002</v>
      </c>
      <c r="G1018" s="4">
        <v>518481.10700000002</v>
      </c>
      <c r="H1018" s="5">
        <f t="shared" si="10"/>
        <v>0</v>
      </c>
      <c r="I1018" t="s">
        <v>31</v>
      </c>
      <c r="J1018" t="s">
        <v>22</v>
      </c>
      <c r="K1018" s="5">
        <f>3 / 86400</f>
        <v>3.4722222222222222E-5</v>
      </c>
      <c r="L1018" s="5">
        <f>4 / 86400</f>
        <v>4.6296296296296294E-5</v>
      </c>
    </row>
    <row r="1019" spans="1:12" x14ac:dyDescent="0.25">
      <c r="A1019" s="3">
        <v>45716.268379629633</v>
      </c>
      <c r="B1019" t="s">
        <v>38</v>
      </c>
      <c r="C1019" s="3">
        <v>45716.26840277778</v>
      </c>
      <c r="D1019" t="s">
        <v>169</v>
      </c>
      <c r="E1019" s="4">
        <v>8.0000000000000002E-3</v>
      </c>
      <c r="F1019" s="4">
        <v>518481.114</v>
      </c>
      <c r="G1019" s="4">
        <v>518481.12199999997</v>
      </c>
      <c r="H1019" s="5">
        <f t="shared" si="10"/>
        <v>0</v>
      </c>
      <c r="I1019" t="s">
        <v>179</v>
      </c>
      <c r="J1019" t="s">
        <v>72</v>
      </c>
      <c r="K1019" s="5">
        <f>2 / 86400</f>
        <v>2.3148148148148147E-5</v>
      </c>
      <c r="L1019" s="5">
        <f>23 / 86400</f>
        <v>2.6620370370370372E-4</v>
      </c>
    </row>
    <row r="1020" spans="1:12" x14ac:dyDescent="0.25">
      <c r="A1020" s="3">
        <v>45716.26866898148</v>
      </c>
      <c r="B1020" t="s">
        <v>169</v>
      </c>
      <c r="C1020" s="3">
        <v>45716.268692129626</v>
      </c>
      <c r="D1020" t="s">
        <v>169</v>
      </c>
      <c r="E1020" s="4">
        <v>8.0000000000000002E-3</v>
      </c>
      <c r="F1020" s="4">
        <v>518481.14</v>
      </c>
      <c r="G1020" s="4">
        <v>518481.14799999999</v>
      </c>
      <c r="H1020" s="5">
        <f t="shared" si="10"/>
        <v>0</v>
      </c>
      <c r="I1020" t="s">
        <v>149</v>
      </c>
      <c r="J1020" t="s">
        <v>72</v>
      </c>
      <c r="K1020" s="5">
        <f>2 / 86400</f>
        <v>2.3148148148148147E-5</v>
      </c>
      <c r="L1020" s="5">
        <f>14 / 86400</f>
        <v>1.6203703703703703E-4</v>
      </c>
    </row>
    <row r="1021" spans="1:12" x14ac:dyDescent="0.25">
      <c r="A1021" s="3">
        <v>45716.268854166672</v>
      </c>
      <c r="B1021" t="s">
        <v>169</v>
      </c>
      <c r="C1021" s="3">
        <v>45716.268877314811</v>
      </c>
      <c r="D1021" t="s">
        <v>169</v>
      </c>
      <c r="E1021" s="4">
        <v>0</v>
      </c>
      <c r="F1021" s="4">
        <v>518481.152</v>
      </c>
      <c r="G1021" s="4">
        <v>518481.152</v>
      </c>
      <c r="H1021" s="5">
        <f t="shared" si="10"/>
        <v>0</v>
      </c>
      <c r="I1021" t="s">
        <v>35</v>
      </c>
      <c r="J1021" t="s">
        <v>22</v>
      </c>
      <c r="K1021" s="5">
        <f>2 / 86400</f>
        <v>2.3148148148148147E-5</v>
      </c>
      <c r="L1021" s="5">
        <f>3 / 86400</f>
        <v>3.4722222222222222E-5</v>
      </c>
    </row>
    <row r="1022" spans="1:12" x14ac:dyDescent="0.25">
      <c r="A1022" s="3">
        <v>45716.268912037034</v>
      </c>
      <c r="B1022" t="s">
        <v>169</v>
      </c>
      <c r="C1022" s="3">
        <v>45716.26898148148</v>
      </c>
      <c r="D1022" t="s">
        <v>169</v>
      </c>
      <c r="E1022" s="4">
        <v>1E-3</v>
      </c>
      <c r="F1022" s="4">
        <v>518481.152</v>
      </c>
      <c r="G1022" s="4">
        <v>518481.15299999999</v>
      </c>
      <c r="H1022" s="5">
        <f t="shared" si="10"/>
        <v>0</v>
      </c>
      <c r="I1022" t="s">
        <v>64</v>
      </c>
      <c r="J1022" t="s">
        <v>59</v>
      </c>
      <c r="K1022" s="5">
        <f>6 / 86400</f>
        <v>6.9444444444444444E-5</v>
      </c>
      <c r="L1022" s="5">
        <f>26 / 86400</f>
        <v>3.0092592592592595E-4</v>
      </c>
    </row>
    <row r="1023" spans="1:12" x14ac:dyDescent="0.25">
      <c r="A1023" s="3">
        <v>45716.269282407404</v>
      </c>
      <c r="B1023" t="s">
        <v>169</v>
      </c>
      <c r="C1023" s="3">
        <v>45716.26935185185</v>
      </c>
      <c r="D1023" t="s">
        <v>169</v>
      </c>
      <c r="E1023" s="4">
        <v>1E-3</v>
      </c>
      <c r="F1023" s="4">
        <v>518481.15299999999</v>
      </c>
      <c r="G1023" s="4">
        <v>518481.15399999998</v>
      </c>
      <c r="H1023" s="5">
        <f>1 / 86400</f>
        <v>1.1574074074074073E-5</v>
      </c>
      <c r="I1023" t="s">
        <v>35</v>
      </c>
      <c r="J1023" t="s">
        <v>59</v>
      </c>
      <c r="K1023" s="5">
        <f>6 / 86400</f>
        <v>6.9444444444444444E-5</v>
      </c>
      <c r="L1023" s="5">
        <f>35 / 86400</f>
        <v>4.0509259259259258E-4</v>
      </c>
    </row>
    <row r="1024" spans="1:12" x14ac:dyDescent="0.25">
      <c r="A1024" s="3">
        <v>45716.269756944443</v>
      </c>
      <c r="B1024" t="s">
        <v>172</v>
      </c>
      <c r="C1024" s="3">
        <v>45716.270069444443</v>
      </c>
      <c r="D1024" t="s">
        <v>170</v>
      </c>
      <c r="E1024" s="4">
        <v>1.0999999999999999E-2</v>
      </c>
      <c r="F1024" s="4">
        <v>518481.17800000001</v>
      </c>
      <c r="G1024" s="4">
        <v>518481.18900000001</v>
      </c>
      <c r="H1024" s="5">
        <f t="shared" ref="H1024:H1041" si="11">0 / 86400</f>
        <v>0</v>
      </c>
      <c r="I1024" t="s">
        <v>35</v>
      </c>
      <c r="J1024" t="s">
        <v>59</v>
      </c>
      <c r="K1024" s="5">
        <f>27 / 86400</f>
        <v>3.1250000000000001E-4</v>
      </c>
      <c r="L1024" s="5">
        <f>5 / 86400</f>
        <v>5.7870370370370373E-5</v>
      </c>
    </row>
    <row r="1025" spans="1:12" x14ac:dyDescent="0.25">
      <c r="A1025" s="3">
        <v>45716.270127314812</v>
      </c>
      <c r="B1025" t="s">
        <v>170</v>
      </c>
      <c r="C1025" s="3">
        <v>45716.270300925928</v>
      </c>
      <c r="D1025" t="s">
        <v>170</v>
      </c>
      <c r="E1025" s="4">
        <v>5.0000000000000001E-3</v>
      </c>
      <c r="F1025" s="4">
        <v>518481.19799999997</v>
      </c>
      <c r="G1025" s="4">
        <v>518481.20299999998</v>
      </c>
      <c r="H1025" s="5">
        <f t="shared" si="11"/>
        <v>0</v>
      </c>
      <c r="I1025" t="s">
        <v>214</v>
      </c>
      <c r="J1025" t="s">
        <v>59</v>
      </c>
      <c r="K1025" s="5">
        <f>15 / 86400</f>
        <v>1.7361111111111112E-4</v>
      </c>
      <c r="L1025" s="5">
        <f>15 / 86400</f>
        <v>1.7361111111111112E-4</v>
      </c>
    </row>
    <row r="1026" spans="1:12" x14ac:dyDescent="0.25">
      <c r="A1026" s="3">
        <v>45716.270474537036</v>
      </c>
      <c r="B1026" t="s">
        <v>172</v>
      </c>
      <c r="C1026" s="3">
        <v>45716.270474537036</v>
      </c>
      <c r="D1026" t="s">
        <v>172</v>
      </c>
      <c r="E1026" s="4">
        <v>1.2E-2</v>
      </c>
      <c r="F1026" s="4">
        <v>518481.21399999998</v>
      </c>
      <c r="G1026" s="4">
        <v>518481.22600000002</v>
      </c>
      <c r="H1026" s="5">
        <f t="shared" si="11"/>
        <v>0</v>
      </c>
      <c r="I1026" t="s">
        <v>185</v>
      </c>
      <c r="J1026" t="s">
        <v>22</v>
      </c>
      <c r="K1026" s="5">
        <f>0 / 86400</f>
        <v>0</v>
      </c>
      <c r="L1026" s="5">
        <f>29 / 86400</f>
        <v>3.3564814814814812E-4</v>
      </c>
    </row>
    <row r="1027" spans="1:12" x14ac:dyDescent="0.25">
      <c r="A1027" s="3">
        <v>45716.270821759259</v>
      </c>
      <c r="B1027" t="s">
        <v>172</v>
      </c>
      <c r="C1027" s="3">
        <v>45716.271168981482</v>
      </c>
      <c r="D1027" t="s">
        <v>172</v>
      </c>
      <c r="E1027" s="4">
        <v>0.11</v>
      </c>
      <c r="F1027" s="4">
        <v>518481.42</v>
      </c>
      <c r="G1027" s="4">
        <v>518481.53</v>
      </c>
      <c r="H1027" s="5">
        <f t="shared" si="11"/>
        <v>0</v>
      </c>
      <c r="I1027" t="s">
        <v>183</v>
      </c>
      <c r="J1027" t="s">
        <v>64</v>
      </c>
      <c r="K1027" s="5">
        <f>30 / 86400</f>
        <v>3.4722222222222224E-4</v>
      </c>
      <c r="L1027" s="5">
        <f>2 / 86400</f>
        <v>2.3148148148148147E-5</v>
      </c>
    </row>
    <row r="1028" spans="1:12" x14ac:dyDescent="0.25">
      <c r="A1028" s="3">
        <v>45716.271192129629</v>
      </c>
      <c r="B1028" t="s">
        <v>172</v>
      </c>
      <c r="C1028" s="3">
        <v>45716.271956018521</v>
      </c>
      <c r="D1028" t="s">
        <v>172</v>
      </c>
      <c r="E1028" s="4">
        <v>0.59</v>
      </c>
      <c r="F1028" s="4">
        <v>518481.54100000003</v>
      </c>
      <c r="G1028" s="4">
        <v>518482.13099999999</v>
      </c>
      <c r="H1028" s="5">
        <f t="shared" si="11"/>
        <v>0</v>
      </c>
      <c r="I1028" t="s">
        <v>183</v>
      </c>
      <c r="J1028" t="s">
        <v>164</v>
      </c>
      <c r="K1028" s="5">
        <f>66 / 86400</f>
        <v>7.6388888888888893E-4</v>
      </c>
      <c r="L1028" s="5">
        <f>2 / 86400</f>
        <v>2.3148148148148147E-5</v>
      </c>
    </row>
    <row r="1029" spans="1:12" x14ac:dyDescent="0.25">
      <c r="A1029" s="3">
        <v>45716.271979166668</v>
      </c>
      <c r="B1029" t="s">
        <v>172</v>
      </c>
      <c r="C1029" s="3">
        <v>45716.272060185191</v>
      </c>
      <c r="D1029" t="s">
        <v>172</v>
      </c>
      <c r="E1029" s="4">
        <v>5.0999999999999997E-2</v>
      </c>
      <c r="F1029" s="4">
        <v>518482.14</v>
      </c>
      <c r="G1029" s="4">
        <v>518482.19099999999</v>
      </c>
      <c r="H1029" s="5">
        <f t="shared" si="11"/>
        <v>0</v>
      </c>
      <c r="I1029" t="s">
        <v>176</v>
      </c>
      <c r="J1029" t="s">
        <v>236</v>
      </c>
      <c r="K1029" s="5">
        <f>7 / 86400</f>
        <v>8.1018518518518516E-5</v>
      </c>
      <c r="L1029" s="5">
        <f>18 / 86400</f>
        <v>2.0833333333333335E-4</v>
      </c>
    </row>
    <row r="1030" spans="1:12" x14ac:dyDescent="0.25">
      <c r="A1030" s="3">
        <v>45716.272268518514</v>
      </c>
      <c r="B1030" t="s">
        <v>429</v>
      </c>
      <c r="C1030" s="3">
        <v>45716.272581018522</v>
      </c>
      <c r="D1030" t="s">
        <v>429</v>
      </c>
      <c r="E1030" s="4">
        <v>8.5000000000000006E-2</v>
      </c>
      <c r="F1030" s="4">
        <v>518482.22100000002</v>
      </c>
      <c r="G1030" s="4">
        <v>518482.30599999998</v>
      </c>
      <c r="H1030" s="5">
        <f t="shared" si="11"/>
        <v>0</v>
      </c>
      <c r="I1030" t="s">
        <v>173</v>
      </c>
      <c r="J1030" t="s">
        <v>100</v>
      </c>
      <c r="K1030" s="5">
        <f>27 / 86400</f>
        <v>3.1250000000000001E-4</v>
      </c>
      <c r="L1030" s="5">
        <f>38 / 86400</f>
        <v>4.3981481481481481E-4</v>
      </c>
    </row>
    <row r="1031" spans="1:12" x14ac:dyDescent="0.25">
      <c r="A1031" s="3">
        <v>45716.273020833338</v>
      </c>
      <c r="B1031" t="s">
        <v>177</v>
      </c>
      <c r="C1031" s="3">
        <v>45716.273055555561</v>
      </c>
      <c r="D1031" t="s">
        <v>177</v>
      </c>
      <c r="E1031" s="4">
        <v>3.0000000000000001E-3</v>
      </c>
      <c r="F1031" s="4">
        <v>518482.30800000002</v>
      </c>
      <c r="G1031" s="4">
        <v>518482.31099999999</v>
      </c>
      <c r="H1031" s="5">
        <f t="shared" si="11"/>
        <v>0</v>
      </c>
      <c r="I1031" t="s">
        <v>85</v>
      </c>
      <c r="J1031" t="s">
        <v>147</v>
      </c>
      <c r="K1031" s="5">
        <f>3 / 86400</f>
        <v>3.4722222222222222E-5</v>
      </c>
      <c r="L1031" s="5">
        <f>42 / 86400</f>
        <v>4.861111111111111E-4</v>
      </c>
    </row>
    <row r="1032" spans="1:12" x14ac:dyDescent="0.25">
      <c r="A1032" s="3">
        <v>45716.273541666669</v>
      </c>
      <c r="B1032" t="s">
        <v>177</v>
      </c>
      <c r="C1032" s="3">
        <v>45716.273761574077</v>
      </c>
      <c r="D1032" t="s">
        <v>77</v>
      </c>
      <c r="E1032" s="4">
        <v>0.01</v>
      </c>
      <c r="F1032" s="4">
        <v>518482.33</v>
      </c>
      <c r="G1032" s="4">
        <v>518482.34</v>
      </c>
      <c r="H1032" s="5">
        <f t="shared" si="11"/>
        <v>0</v>
      </c>
      <c r="I1032" t="s">
        <v>62</v>
      </c>
      <c r="J1032" t="s">
        <v>156</v>
      </c>
      <c r="K1032" s="5">
        <f>19 / 86400</f>
        <v>2.199074074074074E-4</v>
      </c>
      <c r="L1032" s="5">
        <f>37 / 86400</f>
        <v>4.2824074074074075E-4</v>
      </c>
    </row>
    <row r="1033" spans="1:12" x14ac:dyDescent="0.25">
      <c r="A1033" s="3">
        <v>45716.274189814816</v>
      </c>
      <c r="B1033" t="s">
        <v>177</v>
      </c>
      <c r="C1033" s="3">
        <v>45716.274224537032</v>
      </c>
      <c r="D1033" t="s">
        <v>177</v>
      </c>
      <c r="E1033" s="4">
        <v>1.7999999999999999E-2</v>
      </c>
      <c r="F1033" s="4">
        <v>518482.40399999998</v>
      </c>
      <c r="G1033" s="4">
        <v>518482.42200000002</v>
      </c>
      <c r="H1033" s="5">
        <f t="shared" si="11"/>
        <v>0</v>
      </c>
      <c r="I1033" t="s">
        <v>235</v>
      </c>
      <c r="J1033" t="s">
        <v>130</v>
      </c>
      <c r="K1033" s="5">
        <f>3 / 86400</f>
        <v>3.4722222222222222E-5</v>
      </c>
      <c r="L1033" s="5">
        <f>1 / 86400</f>
        <v>1.1574074074074073E-5</v>
      </c>
    </row>
    <row r="1034" spans="1:12" x14ac:dyDescent="0.25">
      <c r="A1034" s="3">
        <v>45716.274236111116</v>
      </c>
      <c r="B1034" t="s">
        <v>177</v>
      </c>
      <c r="C1034" s="3">
        <v>45716.274629629625</v>
      </c>
      <c r="D1034" t="s">
        <v>430</v>
      </c>
      <c r="E1034" s="4">
        <v>5.7000000000000002E-2</v>
      </c>
      <c r="F1034" s="4">
        <v>518482.43900000001</v>
      </c>
      <c r="G1034" s="4">
        <v>518482.49599999998</v>
      </c>
      <c r="H1034" s="5">
        <f t="shared" si="11"/>
        <v>0</v>
      </c>
      <c r="I1034" t="s">
        <v>143</v>
      </c>
      <c r="J1034" t="s">
        <v>137</v>
      </c>
      <c r="K1034" s="5">
        <f>34 / 86400</f>
        <v>3.9351851851851852E-4</v>
      </c>
      <c r="L1034" s="5">
        <f>13 / 86400</f>
        <v>1.5046296296296297E-4</v>
      </c>
    </row>
    <row r="1035" spans="1:12" x14ac:dyDescent="0.25">
      <c r="A1035" s="3">
        <v>45716.274780092594</v>
      </c>
      <c r="B1035" t="s">
        <v>177</v>
      </c>
      <c r="C1035" s="3">
        <v>45716.274826388893</v>
      </c>
      <c r="D1035" t="s">
        <v>177</v>
      </c>
      <c r="E1035" s="4">
        <v>0</v>
      </c>
      <c r="F1035" s="4">
        <v>518482.50400000002</v>
      </c>
      <c r="G1035" s="4">
        <v>518482.50400000002</v>
      </c>
      <c r="H1035" s="5">
        <f t="shared" si="11"/>
        <v>0</v>
      </c>
      <c r="I1035" t="s">
        <v>214</v>
      </c>
      <c r="J1035" t="s">
        <v>22</v>
      </c>
      <c r="K1035" s="5">
        <f>4 / 86400</f>
        <v>4.6296296296296294E-5</v>
      </c>
      <c r="L1035" s="5">
        <f>46 / 86400</f>
        <v>5.3240740740740744E-4</v>
      </c>
    </row>
    <row r="1036" spans="1:12" x14ac:dyDescent="0.25">
      <c r="A1036" s="3">
        <v>45716.275358796294</v>
      </c>
      <c r="B1036" t="s">
        <v>177</v>
      </c>
      <c r="C1036" s="3">
        <v>45716.27543981481</v>
      </c>
      <c r="D1036" t="s">
        <v>343</v>
      </c>
      <c r="E1036" s="4">
        <v>5.2999999999999999E-2</v>
      </c>
      <c r="F1036" s="4">
        <v>518482.52399999998</v>
      </c>
      <c r="G1036" s="4">
        <v>518482.57699999999</v>
      </c>
      <c r="H1036" s="5">
        <f t="shared" si="11"/>
        <v>0</v>
      </c>
      <c r="I1036" t="s">
        <v>160</v>
      </c>
      <c r="J1036" t="s">
        <v>140</v>
      </c>
      <c r="K1036" s="5">
        <f>7 / 86400</f>
        <v>8.1018518518518516E-5</v>
      </c>
      <c r="L1036" s="5">
        <f>1 / 86400</f>
        <v>1.1574074074074073E-5</v>
      </c>
    </row>
    <row r="1037" spans="1:12" x14ac:dyDescent="0.25">
      <c r="A1037" s="3">
        <v>45716.275451388894</v>
      </c>
      <c r="B1037" t="s">
        <v>177</v>
      </c>
      <c r="C1037" s="3">
        <v>45716.275601851856</v>
      </c>
      <c r="D1037" t="s">
        <v>177</v>
      </c>
      <c r="E1037" s="4">
        <v>5.5E-2</v>
      </c>
      <c r="F1037" s="4">
        <v>518482.59100000001</v>
      </c>
      <c r="G1037" s="4">
        <v>518482.64600000001</v>
      </c>
      <c r="H1037" s="5">
        <f t="shared" si="11"/>
        <v>0</v>
      </c>
      <c r="I1037" t="s">
        <v>219</v>
      </c>
      <c r="J1037" t="s">
        <v>35</v>
      </c>
      <c r="K1037" s="5">
        <f>13 / 86400</f>
        <v>1.5046296296296297E-4</v>
      </c>
      <c r="L1037" s="5">
        <f>17 / 86400</f>
        <v>1.9675925925925926E-4</v>
      </c>
    </row>
    <row r="1038" spans="1:12" x14ac:dyDescent="0.25">
      <c r="A1038" s="3">
        <v>45716.27579861111</v>
      </c>
      <c r="B1038" t="s">
        <v>177</v>
      </c>
      <c r="C1038" s="3">
        <v>45716.275879629626</v>
      </c>
      <c r="D1038" t="s">
        <v>177</v>
      </c>
      <c r="E1038" s="4">
        <v>3.3000000000000002E-2</v>
      </c>
      <c r="F1038" s="4">
        <v>518482.65500000003</v>
      </c>
      <c r="G1038" s="4">
        <v>518482.68800000002</v>
      </c>
      <c r="H1038" s="5">
        <f t="shared" si="11"/>
        <v>0</v>
      </c>
      <c r="I1038" t="s">
        <v>206</v>
      </c>
      <c r="J1038" t="s">
        <v>62</v>
      </c>
      <c r="K1038" s="5">
        <f>7 / 86400</f>
        <v>8.1018518518518516E-5</v>
      </c>
      <c r="L1038" s="5">
        <f>6 / 86400</f>
        <v>6.9444444444444444E-5</v>
      </c>
    </row>
    <row r="1039" spans="1:12" x14ac:dyDescent="0.25">
      <c r="A1039" s="3">
        <v>45716.275949074072</v>
      </c>
      <c r="B1039" t="s">
        <v>177</v>
      </c>
      <c r="C1039" s="3">
        <v>45716.276145833333</v>
      </c>
      <c r="D1039" t="s">
        <v>177</v>
      </c>
      <c r="E1039" s="4">
        <v>0</v>
      </c>
      <c r="F1039" s="4">
        <v>518482.68800000002</v>
      </c>
      <c r="G1039" s="4">
        <v>518482.68800000002</v>
      </c>
      <c r="H1039" s="5">
        <f t="shared" si="11"/>
        <v>0</v>
      </c>
      <c r="I1039" t="s">
        <v>22</v>
      </c>
      <c r="J1039" t="s">
        <v>22</v>
      </c>
      <c r="K1039" s="5">
        <f>17 / 86400</f>
        <v>1.9675925925925926E-4</v>
      </c>
      <c r="L1039" s="5">
        <f>10 / 86400</f>
        <v>1.1574074074074075E-4</v>
      </c>
    </row>
    <row r="1040" spans="1:12" x14ac:dyDescent="0.25">
      <c r="A1040" s="3">
        <v>45716.276261574079</v>
      </c>
      <c r="B1040" t="s">
        <v>177</v>
      </c>
      <c r="C1040" s="3">
        <v>45716.277071759258</v>
      </c>
      <c r="D1040" t="s">
        <v>360</v>
      </c>
      <c r="E1040" s="4">
        <v>0.06</v>
      </c>
      <c r="F1040" s="4">
        <v>518482.68900000001</v>
      </c>
      <c r="G1040" s="4">
        <v>518482.74900000001</v>
      </c>
      <c r="H1040" s="5">
        <f t="shared" si="11"/>
        <v>0</v>
      </c>
      <c r="I1040" t="s">
        <v>31</v>
      </c>
      <c r="J1040" t="s">
        <v>33</v>
      </c>
      <c r="K1040" s="5">
        <f>70 / 86400</f>
        <v>8.1018518518518516E-4</v>
      </c>
      <c r="L1040" s="5">
        <f>21 / 86400</f>
        <v>2.4305555555555555E-4</v>
      </c>
    </row>
    <row r="1041" spans="1:12" x14ac:dyDescent="0.25">
      <c r="A1041" s="3">
        <v>45716.277314814812</v>
      </c>
      <c r="B1041" t="s">
        <v>96</v>
      </c>
      <c r="C1041" s="3">
        <v>45716.277326388888</v>
      </c>
      <c r="D1041" t="s">
        <v>96</v>
      </c>
      <c r="E1041" s="4">
        <v>0</v>
      </c>
      <c r="F1041" s="4">
        <v>518482.76799999998</v>
      </c>
      <c r="G1041" s="4">
        <v>518482.76799999998</v>
      </c>
      <c r="H1041" s="5">
        <f t="shared" si="11"/>
        <v>0</v>
      </c>
      <c r="I1041" t="s">
        <v>100</v>
      </c>
      <c r="J1041" t="s">
        <v>22</v>
      </c>
      <c r="K1041" s="5">
        <f>1 / 86400</f>
        <v>1.1574074074074073E-5</v>
      </c>
      <c r="L1041" s="5">
        <f>9 / 86400</f>
        <v>1.0416666666666667E-4</v>
      </c>
    </row>
    <row r="1042" spans="1:12" x14ac:dyDescent="0.25">
      <c r="A1042" s="3">
        <v>45716.27743055555</v>
      </c>
      <c r="B1042" t="s">
        <v>96</v>
      </c>
      <c r="C1042" s="3">
        <v>45716.277581018519</v>
      </c>
      <c r="D1042" t="s">
        <v>96</v>
      </c>
      <c r="E1042" s="4">
        <v>6.0000000000000001E-3</v>
      </c>
      <c r="F1042" s="4">
        <v>518482.77799999999</v>
      </c>
      <c r="G1042" s="4">
        <v>518482.78399999999</v>
      </c>
      <c r="H1042" s="5">
        <f>11 / 86400</f>
        <v>1.273148148148148E-4</v>
      </c>
      <c r="I1042" t="s">
        <v>180</v>
      </c>
      <c r="J1042" t="s">
        <v>156</v>
      </c>
      <c r="K1042" s="5">
        <f>13 / 86400</f>
        <v>1.5046296296296297E-4</v>
      </c>
      <c r="L1042" s="5">
        <f>27 / 86400</f>
        <v>3.1250000000000001E-4</v>
      </c>
    </row>
    <row r="1043" spans="1:12" x14ac:dyDescent="0.25">
      <c r="A1043" s="3">
        <v>45716.27789351852</v>
      </c>
      <c r="B1043" t="s">
        <v>96</v>
      </c>
      <c r="C1043" s="3">
        <v>45716.278217592597</v>
      </c>
      <c r="D1043" t="s">
        <v>96</v>
      </c>
      <c r="E1043" s="4">
        <v>1.7000000000000001E-2</v>
      </c>
      <c r="F1043" s="4">
        <v>518482.81300000002</v>
      </c>
      <c r="G1043" s="4">
        <v>518482.83</v>
      </c>
      <c r="H1043" s="5">
        <f>24 / 86400</f>
        <v>2.7777777777777778E-4</v>
      </c>
      <c r="I1043" t="s">
        <v>289</v>
      </c>
      <c r="J1043" t="s">
        <v>156</v>
      </c>
      <c r="K1043" s="5">
        <f>28 / 86400</f>
        <v>3.2407407407407406E-4</v>
      </c>
      <c r="L1043" s="5">
        <f>14 / 86400</f>
        <v>1.6203703703703703E-4</v>
      </c>
    </row>
    <row r="1044" spans="1:12" x14ac:dyDescent="0.25">
      <c r="A1044" s="3">
        <v>45716.278379629628</v>
      </c>
      <c r="B1044" t="s">
        <v>360</v>
      </c>
      <c r="C1044" s="3">
        <v>45716.279652777783</v>
      </c>
      <c r="D1044" t="s">
        <v>96</v>
      </c>
      <c r="E1044" s="4">
        <v>0.126</v>
      </c>
      <c r="F1044" s="4">
        <v>518482.842</v>
      </c>
      <c r="G1044" s="4">
        <v>518482.96799999999</v>
      </c>
      <c r="H1044" s="5">
        <f>0 / 86400</f>
        <v>0</v>
      </c>
      <c r="I1044" t="s">
        <v>159</v>
      </c>
      <c r="J1044" t="s">
        <v>147</v>
      </c>
      <c r="K1044" s="5">
        <f>110 / 86400</f>
        <v>1.2731481481481483E-3</v>
      </c>
      <c r="L1044" s="5">
        <f>25 / 86400</f>
        <v>2.8935185185185184E-4</v>
      </c>
    </row>
    <row r="1045" spans="1:12" x14ac:dyDescent="0.25">
      <c r="A1045" s="3">
        <v>45716.279942129629</v>
      </c>
      <c r="B1045" t="s">
        <v>96</v>
      </c>
      <c r="C1045" s="3">
        <v>45716.28052083333</v>
      </c>
      <c r="D1045" t="s">
        <v>96</v>
      </c>
      <c r="E1045" s="4">
        <v>2E-3</v>
      </c>
      <c r="F1045" s="4">
        <v>518482.98499999999</v>
      </c>
      <c r="G1045" s="4">
        <v>518482.98700000002</v>
      </c>
      <c r="H1045" s="5">
        <f>35 / 86400</f>
        <v>4.0509259259259258E-4</v>
      </c>
      <c r="I1045" t="s">
        <v>132</v>
      </c>
      <c r="J1045" t="s">
        <v>22</v>
      </c>
      <c r="K1045" s="5">
        <f>50 / 86400</f>
        <v>5.7870370370370367E-4</v>
      </c>
      <c r="L1045" s="5">
        <f>33 / 86400</f>
        <v>3.8194444444444446E-4</v>
      </c>
    </row>
    <row r="1046" spans="1:12" x14ac:dyDescent="0.25">
      <c r="A1046" s="3">
        <v>45716.280902777777</v>
      </c>
      <c r="B1046" t="s">
        <v>96</v>
      </c>
      <c r="C1046" s="3">
        <v>45716.281157407408</v>
      </c>
      <c r="D1046" t="s">
        <v>96</v>
      </c>
      <c r="E1046" s="4">
        <v>3.3000000000000002E-2</v>
      </c>
      <c r="F1046" s="4">
        <v>518482.99900000001</v>
      </c>
      <c r="G1046" s="4">
        <v>518483.03200000001</v>
      </c>
      <c r="H1046" s="5">
        <f t="shared" ref="H1046:H1052" si="12">0 / 86400</f>
        <v>0</v>
      </c>
      <c r="I1046" t="s">
        <v>168</v>
      </c>
      <c r="J1046" t="s">
        <v>25</v>
      </c>
      <c r="K1046" s="5">
        <f>22 / 86400</f>
        <v>2.5462962962962961E-4</v>
      </c>
      <c r="L1046" s="5">
        <f>13 / 86400</f>
        <v>1.5046296296296297E-4</v>
      </c>
    </row>
    <row r="1047" spans="1:12" x14ac:dyDescent="0.25">
      <c r="A1047" s="3">
        <v>45716.281307870369</v>
      </c>
      <c r="B1047" t="s">
        <v>96</v>
      </c>
      <c r="C1047" s="3">
        <v>45716.282013888893</v>
      </c>
      <c r="D1047" t="s">
        <v>208</v>
      </c>
      <c r="E1047" s="4">
        <v>8.4000000000000005E-2</v>
      </c>
      <c r="F1047" s="4">
        <v>518483.04399999999</v>
      </c>
      <c r="G1047" s="4">
        <v>518483.12800000003</v>
      </c>
      <c r="H1047" s="5">
        <f t="shared" si="12"/>
        <v>0</v>
      </c>
      <c r="I1047" t="s">
        <v>168</v>
      </c>
      <c r="J1047" t="s">
        <v>25</v>
      </c>
      <c r="K1047" s="5">
        <f>61 / 86400</f>
        <v>7.0601851851851847E-4</v>
      </c>
      <c r="L1047" s="5">
        <f>31 / 86400</f>
        <v>3.5879629629629629E-4</v>
      </c>
    </row>
    <row r="1048" spans="1:12" x14ac:dyDescent="0.25">
      <c r="A1048" s="3">
        <v>45716.282372685186</v>
      </c>
      <c r="B1048" t="s">
        <v>96</v>
      </c>
      <c r="C1048" s="3">
        <v>45716.282523148147</v>
      </c>
      <c r="D1048" t="s">
        <v>96</v>
      </c>
      <c r="E1048" s="4">
        <v>0.1</v>
      </c>
      <c r="F1048" s="4">
        <v>518483.24300000002</v>
      </c>
      <c r="G1048" s="4">
        <v>518483.34299999999</v>
      </c>
      <c r="H1048" s="5">
        <f t="shared" si="12"/>
        <v>0</v>
      </c>
      <c r="I1048" t="s">
        <v>56</v>
      </c>
      <c r="J1048" t="s">
        <v>145</v>
      </c>
      <c r="K1048" s="5">
        <f>13 / 86400</f>
        <v>1.5046296296296297E-4</v>
      </c>
      <c r="L1048" s="5">
        <f>0 / 86400</f>
        <v>0</v>
      </c>
    </row>
    <row r="1049" spans="1:12" x14ac:dyDescent="0.25">
      <c r="A1049" s="3">
        <v>45716.282523148147</v>
      </c>
      <c r="B1049" t="s">
        <v>96</v>
      </c>
      <c r="C1049" s="3">
        <v>45716.282627314809</v>
      </c>
      <c r="D1049" t="s">
        <v>96</v>
      </c>
      <c r="E1049" s="4">
        <v>6.8000000000000005E-2</v>
      </c>
      <c r="F1049" s="4">
        <v>518483.35600000003</v>
      </c>
      <c r="G1049" s="4">
        <v>518483.424</v>
      </c>
      <c r="H1049" s="5">
        <f t="shared" si="12"/>
        <v>0</v>
      </c>
      <c r="I1049" t="s">
        <v>171</v>
      </c>
      <c r="J1049" t="s">
        <v>206</v>
      </c>
      <c r="K1049" s="5">
        <f>8 / 86400</f>
        <v>9.2592592592592588E-5</v>
      </c>
      <c r="L1049" s="5">
        <f>1 / 86400</f>
        <v>1.1574074074074073E-5</v>
      </c>
    </row>
    <row r="1050" spans="1:12" x14ac:dyDescent="0.25">
      <c r="A1050" s="3">
        <v>45716.282638888893</v>
      </c>
      <c r="B1050" t="s">
        <v>96</v>
      </c>
      <c r="C1050" s="3">
        <v>45716.282673611116</v>
      </c>
      <c r="D1050" t="s">
        <v>96</v>
      </c>
      <c r="E1050" s="4">
        <v>8.0000000000000002E-3</v>
      </c>
      <c r="F1050" s="4">
        <v>518483.44099999999</v>
      </c>
      <c r="G1050" s="4">
        <v>518483.44900000002</v>
      </c>
      <c r="H1050" s="5">
        <f t="shared" si="12"/>
        <v>0</v>
      </c>
      <c r="I1050" t="s">
        <v>97</v>
      </c>
      <c r="J1050" t="s">
        <v>151</v>
      </c>
      <c r="K1050" s="5">
        <f>3 / 86400</f>
        <v>3.4722222222222222E-5</v>
      </c>
      <c r="L1050" s="5">
        <f>15 / 86400</f>
        <v>1.7361111111111112E-4</v>
      </c>
    </row>
    <row r="1051" spans="1:12" x14ac:dyDescent="0.25">
      <c r="A1051" s="3">
        <v>45716.282847222217</v>
      </c>
      <c r="B1051" t="s">
        <v>96</v>
      </c>
      <c r="C1051" s="3">
        <v>45716.283229166671</v>
      </c>
      <c r="D1051" t="s">
        <v>96</v>
      </c>
      <c r="E1051" s="4">
        <v>0.151</v>
      </c>
      <c r="F1051" s="4">
        <v>518483.53</v>
      </c>
      <c r="G1051" s="4">
        <v>518483.68099999998</v>
      </c>
      <c r="H1051" s="5">
        <f t="shared" si="12"/>
        <v>0</v>
      </c>
      <c r="I1051" t="s">
        <v>173</v>
      </c>
      <c r="J1051" t="s">
        <v>31</v>
      </c>
      <c r="K1051" s="5">
        <f>33 / 86400</f>
        <v>3.8194444444444446E-4</v>
      </c>
      <c r="L1051" s="5">
        <f>3 / 86400</f>
        <v>3.4722222222222222E-5</v>
      </c>
    </row>
    <row r="1052" spans="1:12" x14ac:dyDescent="0.25">
      <c r="A1052" s="3">
        <v>45716.283263888894</v>
      </c>
      <c r="B1052" t="s">
        <v>96</v>
      </c>
      <c r="C1052" s="3">
        <v>45716.283993055556</v>
      </c>
      <c r="D1052" t="s">
        <v>99</v>
      </c>
      <c r="E1052" s="4">
        <v>0.441</v>
      </c>
      <c r="F1052" s="4">
        <v>518483.68900000001</v>
      </c>
      <c r="G1052" s="4">
        <v>518484.13</v>
      </c>
      <c r="H1052" s="5">
        <f t="shared" si="12"/>
        <v>0</v>
      </c>
      <c r="I1052" t="s">
        <v>318</v>
      </c>
      <c r="J1052" t="s">
        <v>32</v>
      </c>
      <c r="K1052" s="5">
        <f>63 / 86400</f>
        <v>7.291666666666667E-4</v>
      </c>
      <c r="L1052" s="5">
        <f>4 / 86400</f>
        <v>4.6296296296296294E-5</v>
      </c>
    </row>
    <row r="1053" spans="1:12" x14ac:dyDescent="0.25">
      <c r="A1053" s="3">
        <v>45716.284039351856</v>
      </c>
      <c r="B1053" t="s">
        <v>99</v>
      </c>
      <c r="C1053" s="3">
        <v>45716.286585648151</v>
      </c>
      <c r="D1053" t="s">
        <v>99</v>
      </c>
      <c r="E1053" s="4">
        <v>0.36199999999999999</v>
      </c>
      <c r="F1053" s="4">
        <v>518484.14399999997</v>
      </c>
      <c r="G1053" s="4">
        <v>518484.50599999999</v>
      </c>
      <c r="H1053" s="5">
        <f>120 / 86400</f>
        <v>1.3888888888888889E-3</v>
      </c>
      <c r="I1053" t="s">
        <v>37</v>
      </c>
      <c r="J1053" t="s">
        <v>137</v>
      </c>
      <c r="K1053" s="5">
        <f>220 / 86400</f>
        <v>2.5462962962962965E-3</v>
      </c>
      <c r="L1053" s="5">
        <f>10 / 86400</f>
        <v>1.1574074074074075E-4</v>
      </c>
    </row>
    <row r="1054" spans="1:12" x14ac:dyDescent="0.25">
      <c r="A1054" s="3">
        <v>45716.28670138889</v>
      </c>
      <c r="B1054" t="s">
        <v>99</v>
      </c>
      <c r="C1054" s="3">
        <v>45716.288356481484</v>
      </c>
      <c r="D1054" t="s">
        <v>99</v>
      </c>
      <c r="E1054" s="4">
        <v>0.29599999999999999</v>
      </c>
      <c r="F1054" s="4">
        <v>518484.51199999999</v>
      </c>
      <c r="G1054" s="4">
        <v>518484.80800000002</v>
      </c>
      <c r="H1054" s="5">
        <f>30 / 86400</f>
        <v>3.4722222222222224E-4</v>
      </c>
      <c r="I1054" t="s">
        <v>72</v>
      </c>
      <c r="J1054" t="s">
        <v>57</v>
      </c>
      <c r="K1054" s="5">
        <f>143 / 86400</f>
        <v>1.6550925925925926E-3</v>
      </c>
      <c r="L1054" s="5">
        <f>3 / 86400</f>
        <v>3.4722222222222222E-5</v>
      </c>
    </row>
    <row r="1055" spans="1:12" x14ac:dyDescent="0.25">
      <c r="A1055" s="3">
        <v>45716.288391203707</v>
      </c>
      <c r="B1055" t="s">
        <v>99</v>
      </c>
      <c r="C1055" s="3">
        <v>45716.289398148147</v>
      </c>
      <c r="D1055" t="s">
        <v>99</v>
      </c>
      <c r="E1055" s="4">
        <v>0.21099999999999999</v>
      </c>
      <c r="F1055" s="4">
        <v>518484.81199999998</v>
      </c>
      <c r="G1055" s="4">
        <v>518485.02299999999</v>
      </c>
      <c r="H1055" s="5">
        <f>30 / 86400</f>
        <v>3.4722222222222224E-4</v>
      </c>
      <c r="I1055" t="s">
        <v>164</v>
      </c>
      <c r="J1055" t="s">
        <v>132</v>
      </c>
      <c r="K1055" s="5">
        <f>87 / 86400</f>
        <v>1.0069444444444444E-3</v>
      </c>
      <c r="L1055" s="5">
        <f>9 / 86400</f>
        <v>1.0416666666666667E-4</v>
      </c>
    </row>
    <row r="1056" spans="1:12" x14ac:dyDescent="0.25">
      <c r="A1056" s="3">
        <v>45716.289502314816</v>
      </c>
      <c r="B1056" t="s">
        <v>99</v>
      </c>
      <c r="C1056" s="3">
        <v>45716.289687500001</v>
      </c>
      <c r="D1056" t="s">
        <v>99</v>
      </c>
      <c r="E1056" s="4">
        <v>5.2999999999999999E-2</v>
      </c>
      <c r="F1056" s="4">
        <v>518485.04499999998</v>
      </c>
      <c r="G1056" s="4">
        <v>518485.098</v>
      </c>
      <c r="H1056" s="5">
        <f t="shared" ref="H1056:H1063" si="13">0 / 86400</f>
        <v>0</v>
      </c>
      <c r="I1056" t="s">
        <v>164</v>
      </c>
      <c r="J1056" t="s">
        <v>28</v>
      </c>
      <c r="K1056" s="5">
        <f>16 / 86400</f>
        <v>1.8518518518518518E-4</v>
      </c>
      <c r="L1056" s="5">
        <f>14 / 86400</f>
        <v>1.6203703703703703E-4</v>
      </c>
    </row>
    <row r="1057" spans="1:12" x14ac:dyDescent="0.25">
      <c r="A1057" s="3">
        <v>45716.289849537032</v>
      </c>
      <c r="B1057" t="s">
        <v>321</v>
      </c>
      <c r="C1057" s="3">
        <v>45716.290208333332</v>
      </c>
      <c r="D1057" t="s">
        <v>431</v>
      </c>
      <c r="E1057" s="4">
        <v>0.13600000000000001</v>
      </c>
      <c r="F1057" s="4">
        <v>518485.16600000003</v>
      </c>
      <c r="G1057" s="4">
        <v>518485.30200000003</v>
      </c>
      <c r="H1057" s="5">
        <f t="shared" si="13"/>
        <v>0</v>
      </c>
      <c r="I1057" t="s">
        <v>181</v>
      </c>
      <c r="J1057" t="s">
        <v>31</v>
      </c>
      <c r="K1057" s="5">
        <f>31 / 86400</f>
        <v>3.5879629629629629E-4</v>
      </c>
      <c r="L1057" s="5">
        <f>12 / 86400</f>
        <v>1.3888888888888889E-4</v>
      </c>
    </row>
    <row r="1058" spans="1:12" x14ac:dyDescent="0.25">
      <c r="A1058" s="3">
        <v>45716.290347222224</v>
      </c>
      <c r="B1058" t="s">
        <v>184</v>
      </c>
      <c r="C1058" s="3">
        <v>45716.290798611109</v>
      </c>
      <c r="D1058" t="s">
        <v>432</v>
      </c>
      <c r="E1058" s="4">
        <v>0.05</v>
      </c>
      <c r="F1058" s="4">
        <v>518485.31</v>
      </c>
      <c r="G1058" s="4">
        <v>518485.36</v>
      </c>
      <c r="H1058" s="5">
        <f t="shared" si="13"/>
        <v>0</v>
      </c>
      <c r="I1058" t="s">
        <v>140</v>
      </c>
      <c r="J1058" t="s">
        <v>25</v>
      </c>
      <c r="K1058" s="5">
        <f>39 / 86400</f>
        <v>4.5138888888888887E-4</v>
      </c>
      <c r="L1058" s="5">
        <f>4 / 86400</f>
        <v>4.6296296296296294E-5</v>
      </c>
    </row>
    <row r="1059" spans="1:12" x14ac:dyDescent="0.25">
      <c r="A1059" s="3">
        <v>45716.290844907402</v>
      </c>
      <c r="B1059" t="s">
        <v>432</v>
      </c>
      <c r="C1059" s="3">
        <v>45716.290868055556</v>
      </c>
      <c r="D1059" t="s">
        <v>432</v>
      </c>
      <c r="E1059" s="4">
        <v>0</v>
      </c>
      <c r="F1059" s="4">
        <v>518485.36200000002</v>
      </c>
      <c r="G1059" s="4">
        <v>518485.36200000002</v>
      </c>
      <c r="H1059" s="5">
        <f t="shared" si="13"/>
        <v>0</v>
      </c>
      <c r="I1059" t="s">
        <v>147</v>
      </c>
      <c r="J1059" t="s">
        <v>22</v>
      </c>
      <c r="K1059" s="5">
        <f>2 / 86400</f>
        <v>2.3148148148148147E-5</v>
      </c>
      <c r="L1059" s="5">
        <f>14 / 86400</f>
        <v>1.6203703703703703E-4</v>
      </c>
    </row>
    <row r="1060" spans="1:12" x14ac:dyDescent="0.25">
      <c r="A1060" s="3">
        <v>45716.291030092594</v>
      </c>
      <c r="B1060" t="s">
        <v>433</v>
      </c>
      <c r="C1060" s="3">
        <v>45716.291099537033</v>
      </c>
      <c r="D1060" t="s">
        <v>433</v>
      </c>
      <c r="E1060" s="4">
        <v>1.6E-2</v>
      </c>
      <c r="F1060" s="4">
        <v>518485.39</v>
      </c>
      <c r="G1060" s="4">
        <v>518485.40600000002</v>
      </c>
      <c r="H1060" s="5">
        <f t="shared" si="13"/>
        <v>0</v>
      </c>
      <c r="I1060" t="s">
        <v>149</v>
      </c>
      <c r="J1060" t="s">
        <v>151</v>
      </c>
      <c r="K1060" s="5">
        <f>6 / 86400</f>
        <v>6.9444444444444444E-5</v>
      </c>
      <c r="L1060" s="5">
        <f>13 / 86400</f>
        <v>1.5046296296296297E-4</v>
      </c>
    </row>
    <row r="1061" spans="1:12" x14ac:dyDescent="0.25">
      <c r="A1061" s="3">
        <v>45716.291249999995</v>
      </c>
      <c r="B1061" t="s">
        <v>433</v>
      </c>
      <c r="C1061" s="3">
        <v>45716.291481481487</v>
      </c>
      <c r="D1061" t="s">
        <v>433</v>
      </c>
      <c r="E1061" s="4">
        <v>9.5000000000000001E-2</v>
      </c>
      <c r="F1061" s="4">
        <v>518485.44</v>
      </c>
      <c r="G1061" s="4">
        <v>518485.53499999997</v>
      </c>
      <c r="H1061" s="5">
        <f t="shared" si="13"/>
        <v>0</v>
      </c>
      <c r="I1061" t="s">
        <v>180</v>
      </c>
      <c r="J1061" t="s">
        <v>62</v>
      </c>
      <c r="K1061" s="5">
        <f>20 / 86400</f>
        <v>2.3148148148148149E-4</v>
      </c>
      <c r="L1061" s="5">
        <f>11 / 86400</f>
        <v>1.273148148148148E-4</v>
      </c>
    </row>
    <row r="1062" spans="1:12" x14ac:dyDescent="0.25">
      <c r="A1062" s="3">
        <v>45716.291608796295</v>
      </c>
      <c r="B1062" t="s">
        <v>434</v>
      </c>
      <c r="C1062" s="3">
        <v>45716.291747685187</v>
      </c>
      <c r="D1062" t="s">
        <v>434</v>
      </c>
      <c r="E1062" s="4">
        <v>7.3999999999999996E-2</v>
      </c>
      <c r="F1062" s="4">
        <v>518485.55</v>
      </c>
      <c r="G1062" s="4">
        <v>518485.62400000001</v>
      </c>
      <c r="H1062" s="5">
        <f t="shared" si="13"/>
        <v>0</v>
      </c>
      <c r="I1062" t="s">
        <v>206</v>
      </c>
      <c r="J1062" t="s">
        <v>130</v>
      </c>
      <c r="K1062" s="5">
        <f>12 / 86400</f>
        <v>1.3888888888888889E-4</v>
      </c>
      <c r="L1062" s="5">
        <f>20 / 86400</f>
        <v>2.3148148148148149E-4</v>
      </c>
    </row>
    <row r="1063" spans="1:12" x14ac:dyDescent="0.25">
      <c r="A1063" s="3">
        <v>45716.291979166665</v>
      </c>
      <c r="B1063" t="s">
        <v>433</v>
      </c>
      <c r="C1063" s="3">
        <v>45716.292499999996</v>
      </c>
      <c r="D1063" t="s">
        <v>433</v>
      </c>
      <c r="E1063" s="4">
        <v>0.23799999999999999</v>
      </c>
      <c r="F1063" s="4">
        <v>518485.69500000001</v>
      </c>
      <c r="G1063" s="4">
        <v>518485.93300000002</v>
      </c>
      <c r="H1063" s="5">
        <f t="shared" si="13"/>
        <v>0</v>
      </c>
      <c r="I1063" t="s">
        <v>207</v>
      </c>
      <c r="J1063" t="s">
        <v>85</v>
      </c>
      <c r="K1063" s="5">
        <f>45 / 86400</f>
        <v>5.2083333333333333E-4</v>
      </c>
      <c r="L1063" s="5">
        <f>5 / 86400</f>
        <v>5.7870370370370373E-5</v>
      </c>
    </row>
    <row r="1064" spans="1:12" x14ac:dyDescent="0.25">
      <c r="A1064" s="3">
        <v>45716.292557870373</v>
      </c>
      <c r="B1064" t="s">
        <v>433</v>
      </c>
      <c r="C1064" s="3">
        <v>45716.294236111113</v>
      </c>
      <c r="D1064" t="s">
        <v>186</v>
      </c>
      <c r="E1064" s="4">
        <v>0.224</v>
      </c>
      <c r="F1064" s="4">
        <v>518485.95299999998</v>
      </c>
      <c r="G1064" s="4">
        <v>518486.17700000003</v>
      </c>
      <c r="H1064" s="5">
        <f>90 / 86400</f>
        <v>1.0416666666666667E-3</v>
      </c>
      <c r="I1064" t="s">
        <v>142</v>
      </c>
      <c r="J1064" t="s">
        <v>137</v>
      </c>
      <c r="K1064" s="5">
        <f>145 / 86400</f>
        <v>1.6782407407407408E-3</v>
      </c>
      <c r="L1064" s="5">
        <f>9 / 86400</f>
        <v>1.0416666666666667E-4</v>
      </c>
    </row>
    <row r="1065" spans="1:12" x14ac:dyDescent="0.25">
      <c r="A1065" s="3">
        <v>45716.294340277775</v>
      </c>
      <c r="B1065" t="s">
        <v>186</v>
      </c>
      <c r="C1065" s="3">
        <v>45716.294456018513</v>
      </c>
      <c r="D1065" t="s">
        <v>435</v>
      </c>
      <c r="E1065" s="4">
        <v>4.0000000000000001E-3</v>
      </c>
      <c r="F1065" s="4">
        <v>518486.179</v>
      </c>
      <c r="G1065" s="4">
        <v>518486.18300000002</v>
      </c>
      <c r="H1065" s="5">
        <f>0 / 86400</f>
        <v>0</v>
      </c>
      <c r="I1065" t="s">
        <v>59</v>
      </c>
      <c r="J1065" t="s">
        <v>59</v>
      </c>
      <c r="K1065" s="5">
        <f>10 / 86400</f>
        <v>1.1574074074074075E-4</v>
      </c>
      <c r="L1065" s="5">
        <f>6 / 86400</f>
        <v>6.9444444444444444E-5</v>
      </c>
    </row>
    <row r="1066" spans="1:12" x14ac:dyDescent="0.25">
      <c r="A1066" s="3">
        <v>45716.294525462959</v>
      </c>
      <c r="B1066" t="s">
        <v>435</v>
      </c>
      <c r="C1066" s="3">
        <v>45716.294918981483</v>
      </c>
      <c r="D1066" t="s">
        <v>186</v>
      </c>
      <c r="E1066" s="4">
        <v>2.1999999999999999E-2</v>
      </c>
      <c r="F1066" s="4">
        <v>518486.18400000001</v>
      </c>
      <c r="G1066" s="4">
        <v>518486.20600000001</v>
      </c>
      <c r="H1066" s="5">
        <f>12 / 86400</f>
        <v>1.3888888888888889E-4</v>
      </c>
      <c r="I1066" t="s">
        <v>62</v>
      </c>
      <c r="J1066" t="s">
        <v>156</v>
      </c>
      <c r="K1066" s="5">
        <f>34 / 86400</f>
        <v>3.9351851851851852E-4</v>
      </c>
      <c r="L1066" s="5">
        <f>6 / 86400</f>
        <v>6.9444444444444444E-5</v>
      </c>
    </row>
    <row r="1067" spans="1:12" x14ac:dyDescent="0.25">
      <c r="A1067" s="3">
        <v>45716.294988425929</v>
      </c>
      <c r="B1067" t="s">
        <v>436</v>
      </c>
      <c r="C1067" s="3">
        <v>45716.295347222222</v>
      </c>
      <c r="D1067" t="s">
        <v>163</v>
      </c>
      <c r="E1067" s="4">
        <v>9.8000000000000004E-2</v>
      </c>
      <c r="F1067" s="4">
        <v>518486.23599999998</v>
      </c>
      <c r="G1067" s="4">
        <v>518486.33399999997</v>
      </c>
      <c r="H1067" s="5">
        <f>0 / 86400</f>
        <v>0</v>
      </c>
      <c r="I1067" t="s">
        <v>85</v>
      </c>
      <c r="J1067" t="s">
        <v>100</v>
      </c>
      <c r="K1067" s="5">
        <f>31 / 86400</f>
        <v>3.5879629629629629E-4</v>
      </c>
      <c r="L1067" s="5">
        <f>3 / 86400</f>
        <v>3.4722222222222222E-5</v>
      </c>
    </row>
    <row r="1068" spans="1:12" x14ac:dyDescent="0.25">
      <c r="A1068" s="3">
        <v>45716.295381944445</v>
      </c>
      <c r="B1068" t="s">
        <v>186</v>
      </c>
      <c r="C1068" s="3">
        <v>45716.295601851853</v>
      </c>
      <c r="D1068" t="s">
        <v>186</v>
      </c>
      <c r="E1068" s="4">
        <v>6.2E-2</v>
      </c>
      <c r="F1068" s="4">
        <v>518486.34</v>
      </c>
      <c r="G1068" s="4">
        <v>518486.402</v>
      </c>
      <c r="H1068" s="5">
        <f>0 / 86400</f>
        <v>0</v>
      </c>
      <c r="I1068" t="s">
        <v>200</v>
      </c>
      <c r="J1068" t="s">
        <v>28</v>
      </c>
      <c r="K1068" s="5">
        <f>19 / 86400</f>
        <v>2.199074074074074E-4</v>
      </c>
      <c r="L1068" s="5">
        <f>9 / 86400</f>
        <v>1.0416666666666667E-4</v>
      </c>
    </row>
    <row r="1069" spans="1:12" x14ac:dyDescent="0.25">
      <c r="A1069" s="3">
        <v>45716.295706018514</v>
      </c>
      <c r="B1069" t="s">
        <v>163</v>
      </c>
      <c r="C1069" s="3">
        <v>45716.295902777776</v>
      </c>
      <c r="D1069" t="s">
        <v>186</v>
      </c>
      <c r="E1069" s="4">
        <v>0.192</v>
      </c>
      <c r="F1069" s="4">
        <v>518486.48300000001</v>
      </c>
      <c r="G1069" s="4">
        <v>518486.67499999999</v>
      </c>
      <c r="H1069" s="5">
        <f>0 / 86400</f>
        <v>0</v>
      </c>
      <c r="I1069" t="s">
        <v>205</v>
      </c>
      <c r="J1069" t="s">
        <v>167</v>
      </c>
      <c r="K1069" s="5">
        <f>17 / 86400</f>
        <v>1.9675925925925926E-4</v>
      </c>
      <c r="L1069" s="5">
        <f>30 / 86400</f>
        <v>3.4722222222222224E-4</v>
      </c>
    </row>
    <row r="1070" spans="1:12" x14ac:dyDescent="0.25">
      <c r="A1070" s="3">
        <v>45716.296249999999</v>
      </c>
      <c r="B1070" t="s">
        <v>186</v>
      </c>
      <c r="C1070" s="3">
        <v>45716.300474537042</v>
      </c>
      <c r="D1070" t="s">
        <v>186</v>
      </c>
      <c r="E1070" s="4">
        <v>0.98899999999999999</v>
      </c>
      <c r="F1070" s="4">
        <v>518487.00099999999</v>
      </c>
      <c r="G1070" s="4">
        <v>518487.99</v>
      </c>
      <c r="H1070" s="5">
        <f>151 / 86400</f>
        <v>1.7476851851851852E-3</v>
      </c>
      <c r="I1070" t="s">
        <v>219</v>
      </c>
      <c r="J1070" t="s">
        <v>151</v>
      </c>
      <c r="K1070" s="5">
        <f>365 / 86400</f>
        <v>4.2245370370370371E-3</v>
      </c>
      <c r="L1070" s="5">
        <f>0 / 86400</f>
        <v>0</v>
      </c>
    </row>
    <row r="1071" spans="1:12" x14ac:dyDescent="0.25">
      <c r="A1071" s="3">
        <v>45716.300474537042</v>
      </c>
      <c r="B1071" t="s">
        <v>186</v>
      </c>
      <c r="C1071" s="3">
        <v>45716.301111111112</v>
      </c>
      <c r="D1071" t="s">
        <v>218</v>
      </c>
      <c r="E1071" s="4">
        <v>0.32900000000000001</v>
      </c>
      <c r="F1071" s="4">
        <v>518487.99400000001</v>
      </c>
      <c r="G1071" s="4">
        <v>518488.32299999997</v>
      </c>
      <c r="H1071" s="5">
        <f>0 / 86400</f>
        <v>0</v>
      </c>
      <c r="I1071" t="s">
        <v>167</v>
      </c>
      <c r="J1071" t="s">
        <v>130</v>
      </c>
      <c r="K1071" s="5">
        <f>54 / 86400</f>
        <v>6.2500000000000001E-4</v>
      </c>
      <c r="L1071" s="5">
        <f>17 / 86400</f>
        <v>1.9675925925925926E-4</v>
      </c>
    </row>
    <row r="1072" spans="1:12" x14ac:dyDescent="0.25">
      <c r="A1072" s="3">
        <v>45716.301307870366</v>
      </c>
      <c r="B1072" t="s">
        <v>218</v>
      </c>
      <c r="C1072" s="3">
        <v>45716.301944444444</v>
      </c>
      <c r="D1072" t="s">
        <v>218</v>
      </c>
      <c r="E1072" s="4">
        <v>0.15</v>
      </c>
      <c r="F1072" s="4">
        <v>518488.451</v>
      </c>
      <c r="G1072" s="4">
        <v>518488.60100000002</v>
      </c>
      <c r="H1072" s="5">
        <f>32 / 86400</f>
        <v>3.7037037037037035E-4</v>
      </c>
      <c r="I1072" t="s">
        <v>168</v>
      </c>
      <c r="J1072" t="s">
        <v>151</v>
      </c>
      <c r="K1072" s="5">
        <f>55 / 86400</f>
        <v>6.3657407407407413E-4</v>
      </c>
      <c r="L1072" s="5">
        <f>2 / 86400</f>
        <v>2.3148148148148147E-5</v>
      </c>
    </row>
    <row r="1073" spans="1:12" x14ac:dyDescent="0.25">
      <c r="A1073" s="3">
        <v>45716.30196759259</v>
      </c>
      <c r="B1073" t="s">
        <v>218</v>
      </c>
      <c r="C1073" s="3">
        <v>45716.301979166667</v>
      </c>
      <c r="D1073" t="s">
        <v>218</v>
      </c>
      <c r="E1073" s="4">
        <v>0</v>
      </c>
      <c r="F1073" s="4">
        <v>518488.60100000002</v>
      </c>
      <c r="G1073" s="4">
        <v>518488.60100000002</v>
      </c>
      <c r="H1073" s="5">
        <f>0 / 86400</f>
        <v>0</v>
      </c>
      <c r="I1073" t="s">
        <v>22</v>
      </c>
      <c r="J1073" t="s">
        <v>22</v>
      </c>
      <c r="K1073" s="5">
        <f>1 / 86400</f>
        <v>1.1574074074074073E-5</v>
      </c>
      <c r="L1073" s="5">
        <f>2 / 86400</f>
        <v>2.3148148148148147E-5</v>
      </c>
    </row>
    <row r="1074" spans="1:12" x14ac:dyDescent="0.25">
      <c r="A1074" s="3">
        <v>45716.302002314813</v>
      </c>
      <c r="B1074" t="s">
        <v>218</v>
      </c>
      <c r="C1074" s="3">
        <v>45716.302048611113</v>
      </c>
      <c r="D1074" t="s">
        <v>218</v>
      </c>
      <c r="E1074" s="4">
        <v>0</v>
      </c>
      <c r="F1074" s="4">
        <v>518488.60100000002</v>
      </c>
      <c r="G1074" s="4">
        <v>518488.60100000002</v>
      </c>
      <c r="H1074" s="5">
        <f>0 / 86400</f>
        <v>0</v>
      </c>
      <c r="I1074" t="s">
        <v>22</v>
      </c>
      <c r="J1074" t="s">
        <v>22</v>
      </c>
      <c r="K1074" s="5">
        <f>4 / 86400</f>
        <v>4.6296296296296294E-5</v>
      </c>
      <c r="L1074" s="5">
        <f>6 / 86400</f>
        <v>6.9444444444444444E-5</v>
      </c>
    </row>
    <row r="1075" spans="1:12" x14ac:dyDescent="0.25">
      <c r="A1075" s="3">
        <v>45716.302118055552</v>
      </c>
      <c r="B1075" t="s">
        <v>218</v>
      </c>
      <c r="C1075" s="3">
        <v>45716.303287037037</v>
      </c>
      <c r="D1075" t="s">
        <v>220</v>
      </c>
      <c r="E1075" s="4">
        <v>0.40600000000000003</v>
      </c>
      <c r="F1075" s="4">
        <v>518488.60100000002</v>
      </c>
      <c r="G1075" s="4">
        <v>518489.00699999998</v>
      </c>
      <c r="H1075" s="5">
        <f>10 / 86400</f>
        <v>1.1574074074074075E-4</v>
      </c>
      <c r="I1075" t="s">
        <v>207</v>
      </c>
      <c r="J1075" t="s">
        <v>72</v>
      </c>
      <c r="K1075" s="5">
        <f>101 / 86400</f>
        <v>1.1689814814814816E-3</v>
      </c>
      <c r="L1075" s="5">
        <f>24 / 86400</f>
        <v>2.7777777777777778E-4</v>
      </c>
    </row>
    <row r="1076" spans="1:12" x14ac:dyDescent="0.25">
      <c r="A1076" s="3">
        <v>45716.303564814814</v>
      </c>
      <c r="B1076" t="s">
        <v>220</v>
      </c>
      <c r="C1076" s="3">
        <v>45716.303599537037</v>
      </c>
      <c r="D1076" t="s">
        <v>220</v>
      </c>
      <c r="E1076" s="4">
        <v>0</v>
      </c>
      <c r="F1076" s="4">
        <v>518489.09100000001</v>
      </c>
      <c r="G1076" s="4">
        <v>518489.09100000001</v>
      </c>
      <c r="H1076" s="5">
        <f>0 / 86400</f>
        <v>0</v>
      </c>
      <c r="I1076" t="s">
        <v>64</v>
      </c>
      <c r="J1076" t="s">
        <v>22</v>
      </c>
      <c r="K1076" s="5">
        <f>3 / 86400</f>
        <v>3.4722222222222222E-5</v>
      </c>
      <c r="L1076" s="5">
        <f>3 / 86400</f>
        <v>3.4722222222222222E-5</v>
      </c>
    </row>
    <row r="1077" spans="1:12" x14ac:dyDescent="0.25">
      <c r="A1077" s="3">
        <v>45716.30363425926</v>
      </c>
      <c r="B1077" t="s">
        <v>220</v>
      </c>
      <c r="C1077" s="3">
        <v>45716.303935185184</v>
      </c>
      <c r="D1077" t="s">
        <v>220</v>
      </c>
      <c r="E1077" s="4">
        <v>0.05</v>
      </c>
      <c r="F1077" s="4">
        <v>518489.103</v>
      </c>
      <c r="G1077" s="4">
        <v>518489.15299999999</v>
      </c>
      <c r="H1077" s="5">
        <f>0 / 86400</f>
        <v>0</v>
      </c>
      <c r="I1077" t="s">
        <v>145</v>
      </c>
      <c r="J1077" t="s">
        <v>57</v>
      </c>
      <c r="K1077" s="5">
        <f>26 / 86400</f>
        <v>3.0092592592592595E-4</v>
      </c>
      <c r="L1077" s="5">
        <f>4 / 86400</f>
        <v>4.6296296296296294E-5</v>
      </c>
    </row>
    <row r="1078" spans="1:12" x14ac:dyDescent="0.25">
      <c r="A1078" s="3">
        <v>45716.303981481484</v>
      </c>
      <c r="B1078" t="s">
        <v>220</v>
      </c>
      <c r="C1078" s="3">
        <v>45716.305381944447</v>
      </c>
      <c r="D1078" t="s">
        <v>121</v>
      </c>
      <c r="E1078" s="4">
        <v>0.49099999999999999</v>
      </c>
      <c r="F1078" s="4">
        <v>518489.19400000002</v>
      </c>
      <c r="G1078" s="4">
        <v>518489.685</v>
      </c>
      <c r="H1078" s="5">
        <f>30 / 86400</f>
        <v>3.4722222222222224E-4</v>
      </c>
      <c r="I1078" t="s">
        <v>185</v>
      </c>
      <c r="J1078" t="s">
        <v>35</v>
      </c>
      <c r="K1078" s="5">
        <f>121 / 86400</f>
        <v>1.4004629629629629E-3</v>
      </c>
      <c r="L1078" s="5">
        <f>29 / 86400</f>
        <v>3.3564814814814812E-4</v>
      </c>
    </row>
    <row r="1079" spans="1:12" x14ac:dyDescent="0.25">
      <c r="A1079" s="3">
        <v>45716.305717592593</v>
      </c>
      <c r="B1079" t="s">
        <v>68</v>
      </c>
      <c r="C1079" s="3">
        <v>45716.306064814809</v>
      </c>
      <c r="D1079" t="s">
        <v>68</v>
      </c>
      <c r="E1079" s="4">
        <v>0.23599999999999999</v>
      </c>
      <c r="F1079" s="4">
        <v>518490.02399999998</v>
      </c>
      <c r="G1079" s="4">
        <v>518490.26</v>
      </c>
      <c r="H1079" s="5">
        <f>0 / 86400</f>
        <v>0</v>
      </c>
      <c r="I1079" t="s">
        <v>160</v>
      </c>
      <c r="J1079" t="s">
        <v>145</v>
      </c>
      <c r="K1079" s="5">
        <f>30 / 86400</f>
        <v>3.4722222222222224E-4</v>
      </c>
      <c r="L1079" s="5">
        <f>1 / 86400</f>
        <v>1.1574074074074073E-5</v>
      </c>
    </row>
    <row r="1080" spans="1:12" x14ac:dyDescent="0.25">
      <c r="A1080" s="3">
        <v>45716.306076388893</v>
      </c>
      <c r="B1080" t="s">
        <v>68</v>
      </c>
      <c r="C1080" s="3">
        <v>45716.30631944444</v>
      </c>
      <c r="D1080" t="s">
        <v>68</v>
      </c>
      <c r="E1080" s="4">
        <v>5.0000000000000001E-3</v>
      </c>
      <c r="F1080" s="4">
        <v>518490.26899999997</v>
      </c>
      <c r="G1080" s="4">
        <v>518490.27399999998</v>
      </c>
      <c r="H1080" s="5">
        <f>8 / 86400</f>
        <v>9.2592592592592588E-5</v>
      </c>
      <c r="I1080" t="s">
        <v>164</v>
      </c>
      <c r="J1080" t="s">
        <v>59</v>
      </c>
      <c r="K1080" s="5">
        <f>21 / 86400</f>
        <v>2.4305555555555555E-4</v>
      </c>
      <c r="L1080" s="5">
        <f>21 / 86400</f>
        <v>2.4305555555555555E-4</v>
      </c>
    </row>
    <row r="1081" spans="1:12" x14ac:dyDescent="0.25">
      <c r="A1081" s="3">
        <v>45716.306562500002</v>
      </c>
      <c r="B1081" t="s">
        <v>437</v>
      </c>
      <c r="C1081" s="3">
        <v>45716.307743055557</v>
      </c>
      <c r="D1081" t="s">
        <v>68</v>
      </c>
      <c r="E1081" s="4">
        <v>0.26800000000000002</v>
      </c>
      <c r="F1081" s="4">
        <v>518490.33600000001</v>
      </c>
      <c r="G1081" s="4">
        <v>518490.60399999999</v>
      </c>
      <c r="H1081" s="5">
        <f>18 / 86400</f>
        <v>2.0833333333333335E-4</v>
      </c>
      <c r="I1081" t="s">
        <v>97</v>
      </c>
      <c r="J1081" t="s">
        <v>132</v>
      </c>
      <c r="K1081" s="5">
        <f>102 / 86400</f>
        <v>1.1805555555555556E-3</v>
      </c>
      <c r="L1081" s="5">
        <f>6 / 86400</f>
        <v>6.9444444444444444E-5</v>
      </c>
    </row>
    <row r="1082" spans="1:12" x14ac:dyDescent="0.25">
      <c r="A1082" s="3">
        <v>45716.307812500003</v>
      </c>
      <c r="B1082" t="s">
        <v>68</v>
      </c>
      <c r="C1082" s="3">
        <v>45716.311990740738</v>
      </c>
      <c r="D1082" t="s">
        <v>195</v>
      </c>
      <c r="E1082" s="4">
        <v>0.65100000000000002</v>
      </c>
      <c r="F1082" s="4">
        <v>518490.625</v>
      </c>
      <c r="G1082" s="4">
        <v>518491.27600000001</v>
      </c>
      <c r="H1082" s="5">
        <f>203 / 86400</f>
        <v>2.3495370370370371E-3</v>
      </c>
      <c r="I1082" t="s">
        <v>179</v>
      </c>
      <c r="J1082" t="s">
        <v>137</v>
      </c>
      <c r="K1082" s="5">
        <f>361 / 86400</f>
        <v>4.178240740740741E-3</v>
      </c>
      <c r="L1082" s="5">
        <f>7 / 86400</f>
        <v>8.1018518518518516E-5</v>
      </c>
    </row>
    <row r="1083" spans="1:12" x14ac:dyDescent="0.25">
      <c r="A1083" s="3">
        <v>45716.312071759261</v>
      </c>
      <c r="B1083" t="s">
        <v>195</v>
      </c>
      <c r="C1083" s="3">
        <v>45716.319016203706</v>
      </c>
      <c r="D1083" t="s">
        <v>438</v>
      </c>
      <c r="E1083" s="4">
        <v>1.1319999999999999</v>
      </c>
      <c r="F1083" s="4">
        <v>518491.28600000002</v>
      </c>
      <c r="G1083" s="4">
        <v>518492.41800000001</v>
      </c>
      <c r="H1083" s="5">
        <f>300 / 86400</f>
        <v>3.472222222222222E-3</v>
      </c>
      <c r="I1083" t="s">
        <v>167</v>
      </c>
      <c r="J1083" t="s">
        <v>57</v>
      </c>
      <c r="K1083" s="5">
        <f>600 / 86400</f>
        <v>6.9444444444444441E-3</v>
      </c>
      <c r="L1083" s="5">
        <f>25 / 86400</f>
        <v>2.8935185185185184E-4</v>
      </c>
    </row>
    <row r="1084" spans="1:12" x14ac:dyDescent="0.25">
      <c r="A1084" s="3">
        <v>45716.31930555556</v>
      </c>
      <c r="B1084" t="s">
        <v>439</v>
      </c>
      <c r="C1084" s="3">
        <v>45716.32</v>
      </c>
      <c r="D1084" t="s">
        <v>226</v>
      </c>
      <c r="E1084" s="4">
        <v>0.372</v>
      </c>
      <c r="F1084" s="4">
        <v>518492.484</v>
      </c>
      <c r="G1084" s="4">
        <v>518492.85600000003</v>
      </c>
      <c r="H1084" s="5">
        <f>0 / 86400</f>
        <v>0</v>
      </c>
      <c r="I1084" t="s">
        <v>183</v>
      </c>
      <c r="J1084" t="s">
        <v>130</v>
      </c>
      <c r="K1084" s="5">
        <f>60 / 86400</f>
        <v>6.9444444444444447E-4</v>
      </c>
      <c r="L1084" s="5">
        <f>32 / 86400</f>
        <v>3.7037037037037035E-4</v>
      </c>
    </row>
    <row r="1085" spans="1:12" x14ac:dyDescent="0.25">
      <c r="A1085" s="3">
        <v>45716.320370370369</v>
      </c>
      <c r="B1085" t="s">
        <v>226</v>
      </c>
      <c r="C1085" s="3">
        <v>45716.320717592593</v>
      </c>
      <c r="D1085" t="s">
        <v>440</v>
      </c>
      <c r="E1085" s="4">
        <v>0.1</v>
      </c>
      <c r="F1085" s="4">
        <v>518493.00699999998</v>
      </c>
      <c r="G1085" s="4">
        <v>518493.10700000002</v>
      </c>
      <c r="H1085" s="5">
        <f>0 / 86400</f>
        <v>0</v>
      </c>
      <c r="I1085" t="s">
        <v>211</v>
      </c>
      <c r="J1085" t="s">
        <v>28</v>
      </c>
      <c r="K1085" s="5">
        <f>30 / 86400</f>
        <v>3.4722222222222224E-4</v>
      </c>
      <c r="L1085" s="5">
        <f>30 / 86400</f>
        <v>3.4722222222222224E-4</v>
      </c>
    </row>
    <row r="1086" spans="1:12" x14ac:dyDescent="0.25">
      <c r="A1086" s="3">
        <v>45716.321064814816</v>
      </c>
      <c r="B1086" t="s">
        <v>226</v>
      </c>
      <c r="C1086" s="3">
        <v>45716.322129629625</v>
      </c>
      <c r="D1086" t="s">
        <v>441</v>
      </c>
      <c r="E1086" s="4">
        <v>0.36899999999999999</v>
      </c>
      <c r="F1086" s="4">
        <v>518493.304</v>
      </c>
      <c r="G1086" s="4">
        <v>518493.67300000001</v>
      </c>
      <c r="H1086" s="5">
        <f>30 / 86400</f>
        <v>3.4722222222222224E-4</v>
      </c>
      <c r="I1086" t="s">
        <v>190</v>
      </c>
      <c r="J1086" t="s">
        <v>72</v>
      </c>
      <c r="K1086" s="5">
        <f>92 / 86400</f>
        <v>1.0648148148148149E-3</v>
      </c>
      <c r="L1086" s="5">
        <f>32 / 86400</f>
        <v>3.7037037037037035E-4</v>
      </c>
    </row>
    <row r="1087" spans="1:12" x14ac:dyDescent="0.25">
      <c r="A1087" s="3">
        <v>45716.322499999995</v>
      </c>
      <c r="B1087" t="s">
        <v>441</v>
      </c>
      <c r="C1087" s="3">
        <v>45716.323414351849</v>
      </c>
      <c r="D1087" t="s">
        <v>442</v>
      </c>
      <c r="E1087" s="4">
        <v>0.30199999999999999</v>
      </c>
      <c r="F1087" s="4">
        <v>518493.74200000003</v>
      </c>
      <c r="G1087" s="4">
        <v>518494.04399999999</v>
      </c>
      <c r="H1087" s="5">
        <f t="shared" ref="H1087:H1100" si="14">0 / 86400</f>
        <v>0</v>
      </c>
      <c r="I1087" t="s">
        <v>164</v>
      </c>
      <c r="J1087" t="s">
        <v>72</v>
      </c>
      <c r="K1087" s="5">
        <f>79 / 86400</f>
        <v>9.1435185185185185E-4</v>
      </c>
      <c r="L1087" s="5">
        <f>3 / 86400</f>
        <v>3.4722222222222222E-5</v>
      </c>
    </row>
    <row r="1088" spans="1:12" x14ac:dyDescent="0.25">
      <c r="A1088" s="3">
        <v>45716.323449074072</v>
      </c>
      <c r="B1088" t="s">
        <v>442</v>
      </c>
      <c r="C1088" s="3">
        <v>45716.324108796296</v>
      </c>
      <c r="D1088" t="s">
        <v>443</v>
      </c>
      <c r="E1088" s="4">
        <v>0.247</v>
      </c>
      <c r="F1088" s="4">
        <v>518494.04700000002</v>
      </c>
      <c r="G1088" s="4">
        <v>518494.29399999999</v>
      </c>
      <c r="H1088" s="5">
        <f t="shared" si="14"/>
        <v>0</v>
      </c>
      <c r="I1088" t="s">
        <v>190</v>
      </c>
      <c r="J1088" t="s">
        <v>31</v>
      </c>
      <c r="K1088" s="5">
        <f>57 / 86400</f>
        <v>6.5972222222222224E-4</v>
      </c>
      <c r="L1088" s="5">
        <f>4 / 86400</f>
        <v>4.6296296296296294E-5</v>
      </c>
    </row>
    <row r="1089" spans="1:12" x14ac:dyDescent="0.25">
      <c r="A1089" s="3">
        <v>45716.324155092589</v>
      </c>
      <c r="B1089" t="s">
        <v>443</v>
      </c>
      <c r="C1089" s="3">
        <v>45716.324328703704</v>
      </c>
      <c r="D1089" t="s">
        <v>443</v>
      </c>
      <c r="E1089" s="4">
        <v>8.5999999999999993E-2</v>
      </c>
      <c r="F1089" s="4">
        <v>518494.30300000001</v>
      </c>
      <c r="G1089" s="4">
        <v>518494.38900000002</v>
      </c>
      <c r="H1089" s="5">
        <f t="shared" si="14"/>
        <v>0</v>
      </c>
      <c r="I1089" t="s">
        <v>97</v>
      </c>
      <c r="J1089" t="s">
        <v>190</v>
      </c>
      <c r="K1089" s="5">
        <f>15 / 86400</f>
        <v>1.7361111111111112E-4</v>
      </c>
      <c r="L1089" s="5">
        <f>14 / 86400</f>
        <v>1.6203703703703703E-4</v>
      </c>
    </row>
    <row r="1090" spans="1:12" x14ac:dyDescent="0.25">
      <c r="A1090" s="3">
        <v>45716.324490740742</v>
      </c>
      <c r="B1090" t="s">
        <v>443</v>
      </c>
      <c r="C1090" s="3">
        <v>45716.324606481481</v>
      </c>
      <c r="D1090" t="s">
        <v>443</v>
      </c>
      <c r="E1090" s="4">
        <v>4.2999999999999997E-2</v>
      </c>
      <c r="F1090" s="4">
        <v>518494.43599999999</v>
      </c>
      <c r="G1090" s="4">
        <v>518494.47899999999</v>
      </c>
      <c r="H1090" s="5">
        <f t="shared" si="14"/>
        <v>0</v>
      </c>
      <c r="I1090" t="s">
        <v>37</v>
      </c>
      <c r="J1090" t="s">
        <v>35</v>
      </c>
      <c r="K1090" s="5">
        <f>10 / 86400</f>
        <v>1.1574074074074075E-4</v>
      </c>
      <c r="L1090" s="5">
        <f>33 / 86400</f>
        <v>3.8194444444444446E-4</v>
      </c>
    </row>
    <row r="1091" spans="1:12" x14ac:dyDescent="0.25">
      <c r="A1091" s="3">
        <v>45716.324988425928</v>
      </c>
      <c r="B1091" t="s">
        <v>444</v>
      </c>
      <c r="C1091" s="3">
        <v>45716.326377314814</v>
      </c>
      <c r="D1091" t="s">
        <v>445</v>
      </c>
      <c r="E1091" s="4">
        <v>0.441</v>
      </c>
      <c r="F1091" s="4">
        <v>518494.49</v>
      </c>
      <c r="G1091" s="4">
        <v>518494.93099999998</v>
      </c>
      <c r="H1091" s="5">
        <f t="shared" si="14"/>
        <v>0</v>
      </c>
      <c r="I1091" t="s">
        <v>164</v>
      </c>
      <c r="J1091" t="s">
        <v>64</v>
      </c>
      <c r="K1091" s="5">
        <f>120 / 86400</f>
        <v>1.3888888888888889E-3</v>
      </c>
      <c r="L1091" s="5">
        <f>5 / 86400</f>
        <v>5.7870370370370373E-5</v>
      </c>
    </row>
    <row r="1092" spans="1:12" x14ac:dyDescent="0.25">
      <c r="A1092" s="3">
        <v>45716.326435185183</v>
      </c>
      <c r="B1092" t="s">
        <v>445</v>
      </c>
      <c r="C1092" s="3">
        <v>45716.326458333337</v>
      </c>
      <c r="D1092" t="s">
        <v>445</v>
      </c>
      <c r="E1092" s="4">
        <v>0</v>
      </c>
      <c r="F1092" s="4">
        <v>518494.94</v>
      </c>
      <c r="G1092" s="4">
        <v>518494.94</v>
      </c>
      <c r="H1092" s="5">
        <f t="shared" si="14"/>
        <v>0</v>
      </c>
      <c r="I1092" t="s">
        <v>85</v>
      </c>
      <c r="J1092" t="s">
        <v>22</v>
      </c>
      <c r="K1092" s="5">
        <f>2 / 86400</f>
        <v>2.3148148148148147E-5</v>
      </c>
      <c r="L1092" s="5">
        <f>2 / 86400</f>
        <v>2.3148148148148147E-5</v>
      </c>
    </row>
    <row r="1093" spans="1:12" x14ac:dyDescent="0.25">
      <c r="A1093" s="3">
        <v>45716.326481481483</v>
      </c>
      <c r="B1093" t="s">
        <v>445</v>
      </c>
      <c r="C1093" s="3">
        <v>45716.326550925922</v>
      </c>
      <c r="D1093" t="s">
        <v>446</v>
      </c>
      <c r="E1093" s="4">
        <v>0.01</v>
      </c>
      <c r="F1093" s="4">
        <v>518494.94500000001</v>
      </c>
      <c r="G1093" s="4">
        <v>518494.95500000002</v>
      </c>
      <c r="H1093" s="5">
        <f t="shared" si="14"/>
        <v>0</v>
      </c>
      <c r="I1093" t="s">
        <v>85</v>
      </c>
      <c r="J1093" t="s">
        <v>137</v>
      </c>
      <c r="K1093" s="5">
        <f>6 / 86400</f>
        <v>6.9444444444444444E-5</v>
      </c>
      <c r="L1093" s="5">
        <f>3 / 86400</f>
        <v>3.4722222222222222E-5</v>
      </c>
    </row>
    <row r="1094" spans="1:12" x14ac:dyDescent="0.25">
      <c r="A1094" s="3">
        <v>45716.326585648145</v>
      </c>
      <c r="B1094" t="s">
        <v>446</v>
      </c>
      <c r="C1094" s="3">
        <v>45716.326620370368</v>
      </c>
      <c r="D1094" t="s">
        <v>446</v>
      </c>
      <c r="E1094" s="4">
        <v>3.0000000000000001E-3</v>
      </c>
      <c r="F1094" s="4">
        <v>518494.96100000001</v>
      </c>
      <c r="G1094" s="4">
        <v>518494.96399999998</v>
      </c>
      <c r="H1094" s="5">
        <f t="shared" si="14"/>
        <v>0</v>
      </c>
      <c r="I1094" t="s">
        <v>214</v>
      </c>
      <c r="J1094" t="s">
        <v>147</v>
      </c>
      <c r="K1094" s="5">
        <f>3 / 86400</f>
        <v>3.4722222222222222E-5</v>
      </c>
      <c r="L1094" s="5">
        <f>3 / 86400</f>
        <v>3.4722222222222222E-5</v>
      </c>
    </row>
    <row r="1095" spans="1:12" x14ac:dyDescent="0.25">
      <c r="A1095" s="3">
        <v>45716.326655092591</v>
      </c>
      <c r="B1095" t="s">
        <v>446</v>
      </c>
      <c r="C1095" s="3">
        <v>45716.326805555553</v>
      </c>
      <c r="D1095" t="s">
        <v>326</v>
      </c>
      <c r="E1095" s="4">
        <v>8.0000000000000002E-3</v>
      </c>
      <c r="F1095" s="4">
        <v>518494.96600000001</v>
      </c>
      <c r="G1095" s="4">
        <v>518494.97399999999</v>
      </c>
      <c r="H1095" s="5">
        <f t="shared" si="14"/>
        <v>0</v>
      </c>
      <c r="I1095" t="s">
        <v>132</v>
      </c>
      <c r="J1095" t="s">
        <v>156</v>
      </c>
      <c r="K1095" s="5">
        <f>13 / 86400</f>
        <v>1.5046296296296297E-4</v>
      </c>
      <c r="L1095" s="5">
        <f>15 / 86400</f>
        <v>1.7361111111111112E-4</v>
      </c>
    </row>
    <row r="1096" spans="1:12" x14ac:dyDescent="0.25">
      <c r="A1096" s="3">
        <v>45716.326979166668</v>
      </c>
      <c r="B1096" t="s">
        <v>326</v>
      </c>
      <c r="C1096" s="3">
        <v>45716.327094907407</v>
      </c>
      <c r="D1096" t="s">
        <v>326</v>
      </c>
      <c r="E1096" s="4">
        <v>6.0000000000000001E-3</v>
      </c>
      <c r="F1096" s="4">
        <v>518494.98300000001</v>
      </c>
      <c r="G1096" s="4">
        <v>518494.989</v>
      </c>
      <c r="H1096" s="5">
        <f t="shared" si="14"/>
        <v>0</v>
      </c>
      <c r="I1096" t="s">
        <v>132</v>
      </c>
      <c r="J1096" t="s">
        <v>156</v>
      </c>
      <c r="K1096" s="5">
        <f>10 / 86400</f>
        <v>1.1574074074074075E-4</v>
      </c>
      <c r="L1096" s="5">
        <f>22 / 86400</f>
        <v>2.5462962962962961E-4</v>
      </c>
    </row>
    <row r="1097" spans="1:12" x14ac:dyDescent="0.25">
      <c r="A1097" s="3">
        <v>45716.327349537038</v>
      </c>
      <c r="B1097" t="s">
        <v>326</v>
      </c>
      <c r="C1097" s="3">
        <v>45716.327696759261</v>
      </c>
      <c r="D1097" t="s">
        <v>271</v>
      </c>
      <c r="E1097" s="4">
        <v>0.184</v>
      </c>
      <c r="F1097" s="4">
        <v>518494.99599999998</v>
      </c>
      <c r="G1097" s="4">
        <v>518495.18</v>
      </c>
      <c r="H1097" s="5">
        <f t="shared" si="14"/>
        <v>0</v>
      </c>
      <c r="I1097" t="s">
        <v>190</v>
      </c>
      <c r="J1097" t="s">
        <v>130</v>
      </c>
      <c r="K1097" s="5">
        <f>30 / 86400</f>
        <v>3.4722222222222224E-4</v>
      </c>
      <c r="L1097" s="5">
        <f>30 / 86400</f>
        <v>3.4722222222222224E-4</v>
      </c>
    </row>
    <row r="1098" spans="1:12" x14ac:dyDescent="0.25">
      <c r="A1098" s="3">
        <v>45716.328043981484</v>
      </c>
      <c r="B1098" t="s">
        <v>271</v>
      </c>
      <c r="C1098" s="3">
        <v>45716.328379629631</v>
      </c>
      <c r="D1098" t="s">
        <v>326</v>
      </c>
      <c r="E1098" s="4">
        <v>0.02</v>
      </c>
      <c r="F1098" s="4">
        <v>518495.21899999998</v>
      </c>
      <c r="G1098" s="4">
        <v>518495.239</v>
      </c>
      <c r="H1098" s="5">
        <f t="shared" si="14"/>
        <v>0</v>
      </c>
      <c r="I1098" t="s">
        <v>59</v>
      </c>
      <c r="J1098" t="s">
        <v>156</v>
      </c>
      <c r="K1098" s="5">
        <f>29 / 86400</f>
        <v>3.3564814814814812E-4</v>
      </c>
      <c r="L1098" s="5">
        <f>2 / 86400</f>
        <v>2.3148148148148147E-5</v>
      </c>
    </row>
    <row r="1099" spans="1:12" x14ac:dyDescent="0.25">
      <c r="A1099" s="3">
        <v>45716.328402777777</v>
      </c>
      <c r="B1099" t="s">
        <v>326</v>
      </c>
      <c r="C1099" s="3">
        <v>45716.32880787037</v>
      </c>
      <c r="D1099" t="s">
        <v>327</v>
      </c>
      <c r="E1099" s="4">
        <v>0.01</v>
      </c>
      <c r="F1099" s="4">
        <v>518495.239</v>
      </c>
      <c r="G1099" s="4">
        <v>518495.24900000001</v>
      </c>
      <c r="H1099" s="5">
        <f t="shared" si="14"/>
        <v>0</v>
      </c>
      <c r="I1099" t="s">
        <v>25</v>
      </c>
      <c r="J1099" t="s">
        <v>59</v>
      </c>
      <c r="K1099" s="5">
        <f>35 / 86400</f>
        <v>4.0509259259259258E-4</v>
      </c>
      <c r="L1099" s="5">
        <f>10 / 86400</f>
        <v>1.1574074074074075E-4</v>
      </c>
    </row>
    <row r="1100" spans="1:12" x14ac:dyDescent="0.25">
      <c r="A1100" s="3">
        <v>45716.328923611116</v>
      </c>
      <c r="B1100" t="s">
        <v>327</v>
      </c>
      <c r="C1100" s="3">
        <v>45716.329108796301</v>
      </c>
      <c r="D1100" t="s">
        <v>327</v>
      </c>
      <c r="E1100" s="4">
        <v>5.0000000000000001E-3</v>
      </c>
      <c r="F1100" s="4">
        <v>518495.24900000001</v>
      </c>
      <c r="G1100" s="4">
        <v>518495.25400000002</v>
      </c>
      <c r="H1100" s="5">
        <f t="shared" si="14"/>
        <v>0</v>
      </c>
      <c r="I1100" t="s">
        <v>147</v>
      </c>
      <c r="J1100" t="s">
        <v>59</v>
      </c>
      <c r="K1100" s="5">
        <f>16 / 86400</f>
        <v>1.8518518518518518E-4</v>
      </c>
      <c r="L1100" s="5">
        <f>1 / 86400</f>
        <v>1.1574074074074073E-5</v>
      </c>
    </row>
    <row r="1101" spans="1:12" x14ac:dyDescent="0.25">
      <c r="A1101" s="3">
        <v>45716.32912037037</v>
      </c>
      <c r="B1101" t="s">
        <v>327</v>
      </c>
      <c r="C1101" s="3">
        <v>45716.329317129625</v>
      </c>
      <c r="D1101" t="s">
        <v>229</v>
      </c>
      <c r="E1101" s="4">
        <v>8.0000000000000002E-3</v>
      </c>
      <c r="F1101" s="4">
        <v>518495.255</v>
      </c>
      <c r="G1101" s="4">
        <v>518495.26299999998</v>
      </c>
      <c r="H1101" s="5">
        <f>3 / 86400</f>
        <v>3.4722222222222222E-5</v>
      </c>
      <c r="I1101" t="s">
        <v>33</v>
      </c>
      <c r="J1101" t="s">
        <v>156</v>
      </c>
      <c r="K1101" s="5">
        <f>17 / 86400</f>
        <v>1.9675925925925926E-4</v>
      </c>
      <c r="L1101" s="5">
        <f>15 / 86400</f>
        <v>1.7361111111111112E-4</v>
      </c>
    </row>
    <row r="1102" spans="1:12" x14ac:dyDescent="0.25">
      <c r="A1102" s="3">
        <v>45716.32949074074</v>
      </c>
      <c r="B1102" t="s">
        <v>229</v>
      </c>
      <c r="C1102" s="3">
        <v>45716.329814814817</v>
      </c>
      <c r="D1102" t="s">
        <v>115</v>
      </c>
      <c r="E1102" s="4">
        <v>1.4999999999999999E-2</v>
      </c>
      <c r="F1102" s="4">
        <v>518495.26500000001</v>
      </c>
      <c r="G1102" s="4">
        <v>518495.28</v>
      </c>
      <c r="H1102" s="5">
        <f>1 / 86400</f>
        <v>1.1574074074074073E-5</v>
      </c>
      <c r="I1102" t="s">
        <v>22</v>
      </c>
      <c r="J1102" t="s">
        <v>156</v>
      </c>
      <c r="K1102" s="5">
        <f>28 / 86400</f>
        <v>3.2407407407407406E-4</v>
      </c>
      <c r="L1102" s="5">
        <f>19 / 86400</f>
        <v>2.199074074074074E-4</v>
      </c>
    </row>
    <row r="1103" spans="1:12" x14ac:dyDescent="0.25">
      <c r="A1103" s="3">
        <v>45716.330034722225</v>
      </c>
      <c r="B1103" t="s">
        <v>115</v>
      </c>
      <c r="C1103" s="3">
        <v>45716.330081018517</v>
      </c>
      <c r="D1103" t="s">
        <v>115</v>
      </c>
      <c r="E1103" s="4">
        <v>4.0000000000000001E-3</v>
      </c>
      <c r="F1103" s="4">
        <v>518495.28200000001</v>
      </c>
      <c r="G1103" s="4">
        <v>518495.28600000002</v>
      </c>
      <c r="H1103" s="5">
        <f>0 / 86400</f>
        <v>0</v>
      </c>
      <c r="I1103" t="s">
        <v>25</v>
      </c>
      <c r="J1103" t="s">
        <v>147</v>
      </c>
      <c r="K1103" s="5">
        <f>4 / 86400</f>
        <v>4.6296296296296294E-5</v>
      </c>
      <c r="L1103" s="5">
        <f>8 / 86400</f>
        <v>9.2592592592592588E-5</v>
      </c>
    </row>
    <row r="1104" spans="1:12" x14ac:dyDescent="0.25">
      <c r="A1104" s="3">
        <v>45716.33017361111</v>
      </c>
      <c r="B1104" t="s">
        <v>115</v>
      </c>
      <c r="C1104" s="3">
        <v>45716.33021990741</v>
      </c>
      <c r="D1104" t="s">
        <v>115</v>
      </c>
      <c r="E1104" s="4">
        <v>1E-3</v>
      </c>
      <c r="F1104" s="4">
        <v>518495.28700000001</v>
      </c>
      <c r="G1104" s="4">
        <v>518495.288</v>
      </c>
      <c r="H1104" s="5">
        <f>1 / 86400</f>
        <v>1.1574074074074073E-5</v>
      </c>
      <c r="I1104" t="s">
        <v>33</v>
      </c>
      <c r="J1104" t="s">
        <v>59</v>
      </c>
      <c r="K1104" s="5">
        <f>4 / 86400</f>
        <v>4.6296296296296294E-5</v>
      </c>
      <c r="L1104" s="5">
        <f>4 / 86400</f>
        <v>4.6296296296296294E-5</v>
      </c>
    </row>
    <row r="1105" spans="1:12" x14ac:dyDescent="0.25">
      <c r="A1105" s="3">
        <v>45716.330266203702</v>
      </c>
      <c r="B1105" t="s">
        <v>115</v>
      </c>
      <c r="C1105" s="3">
        <v>45716.330439814818</v>
      </c>
      <c r="D1105" t="s">
        <v>115</v>
      </c>
      <c r="E1105" s="4">
        <v>1.4E-2</v>
      </c>
      <c r="F1105" s="4">
        <v>518495.29</v>
      </c>
      <c r="G1105" s="4">
        <v>518495.304</v>
      </c>
      <c r="H1105" s="5">
        <f>0 / 86400</f>
        <v>0</v>
      </c>
      <c r="I1105" t="s">
        <v>147</v>
      </c>
      <c r="J1105" t="s">
        <v>33</v>
      </c>
      <c r="K1105" s="5">
        <f>15 / 86400</f>
        <v>1.7361111111111112E-4</v>
      </c>
      <c r="L1105" s="5">
        <f>8 / 86400</f>
        <v>9.2592592592592588E-5</v>
      </c>
    </row>
    <row r="1106" spans="1:12" x14ac:dyDescent="0.25">
      <c r="A1106" s="3">
        <v>45716.330532407403</v>
      </c>
      <c r="B1106" t="s">
        <v>115</v>
      </c>
      <c r="C1106" s="3">
        <v>45716.330567129626</v>
      </c>
      <c r="D1106" t="s">
        <v>115</v>
      </c>
      <c r="E1106" s="4">
        <v>2E-3</v>
      </c>
      <c r="F1106" s="4">
        <v>518495.304</v>
      </c>
      <c r="G1106" s="4">
        <v>518495.30599999998</v>
      </c>
      <c r="H1106" s="5">
        <f>0 / 86400</f>
        <v>0</v>
      </c>
      <c r="I1106" t="s">
        <v>25</v>
      </c>
      <c r="J1106" t="s">
        <v>156</v>
      </c>
      <c r="K1106" s="5">
        <f>3 / 86400</f>
        <v>3.4722222222222222E-5</v>
      </c>
      <c r="L1106" s="5">
        <f>10 / 86400</f>
        <v>1.1574074074074075E-4</v>
      </c>
    </row>
    <row r="1107" spans="1:12" x14ac:dyDescent="0.25">
      <c r="A1107" s="3">
        <v>45716.330682870372</v>
      </c>
      <c r="B1107" t="s">
        <v>115</v>
      </c>
      <c r="C1107" s="3">
        <v>45716.335196759261</v>
      </c>
      <c r="D1107" t="s">
        <v>447</v>
      </c>
      <c r="E1107" s="4">
        <v>0.23899999999999999</v>
      </c>
      <c r="F1107" s="4">
        <v>518495.31099999999</v>
      </c>
      <c r="G1107" s="4">
        <v>518495.55</v>
      </c>
      <c r="H1107" s="5">
        <f>210 / 86400</f>
        <v>2.4305555555555556E-3</v>
      </c>
      <c r="I1107" t="s">
        <v>132</v>
      </c>
      <c r="J1107" t="s">
        <v>156</v>
      </c>
      <c r="K1107" s="5">
        <f>390 / 86400</f>
        <v>4.5138888888888885E-3</v>
      </c>
      <c r="L1107" s="5">
        <f>16 / 86400</f>
        <v>1.8518518518518518E-4</v>
      </c>
    </row>
    <row r="1108" spans="1:12" x14ac:dyDescent="0.25">
      <c r="A1108" s="3">
        <v>45716.335381944446</v>
      </c>
      <c r="B1108" t="s">
        <v>447</v>
      </c>
      <c r="C1108" s="3">
        <v>45716.335451388892</v>
      </c>
      <c r="D1108" t="s">
        <v>447</v>
      </c>
      <c r="E1108" s="4">
        <v>4.0000000000000001E-3</v>
      </c>
      <c r="F1108" s="4">
        <v>518495.55099999998</v>
      </c>
      <c r="G1108" s="4">
        <v>518495.55499999999</v>
      </c>
      <c r="H1108" s="5">
        <f>0 / 86400</f>
        <v>0</v>
      </c>
      <c r="I1108" t="s">
        <v>137</v>
      </c>
      <c r="J1108" t="s">
        <v>156</v>
      </c>
      <c r="K1108" s="5">
        <f>6 / 86400</f>
        <v>6.9444444444444444E-5</v>
      </c>
      <c r="L1108" s="5">
        <f>10 / 86400</f>
        <v>1.1574074074074075E-4</v>
      </c>
    </row>
    <row r="1109" spans="1:12" x14ac:dyDescent="0.25">
      <c r="A1109" s="3">
        <v>45716.33556712963</v>
      </c>
      <c r="B1109" t="s">
        <v>270</v>
      </c>
      <c r="C1109" s="3">
        <v>45716.3356712963</v>
      </c>
      <c r="D1109" t="s">
        <v>448</v>
      </c>
      <c r="E1109" s="4">
        <v>0.01</v>
      </c>
      <c r="F1109" s="4">
        <v>518495.55699999997</v>
      </c>
      <c r="G1109" s="4">
        <v>518495.56699999998</v>
      </c>
      <c r="H1109" s="5">
        <f>0 / 86400</f>
        <v>0</v>
      </c>
      <c r="I1109" t="s">
        <v>57</v>
      </c>
      <c r="J1109" t="s">
        <v>147</v>
      </c>
      <c r="K1109" s="5">
        <f>9 / 86400</f>
        <v>1.0416666666666667E-4</v>
      </c>
      <c r="L1109" s="5">
        <f>3 / 86400</f>
        <v>3.4722222222222222E-5</v>
      </c>
    </row>
    <row r="1110" spans="1:12" x14ac:dyDescent="0.25">
      <c r="A1110" s="3">
        <v>45716.335706018523</v>
      </c>
      <c r="B1110" t="s">
        <v>270</v>
      </c>
      <c r="C1110" s="3">
        <v>45716.335868055554</v>
      </c>
      <c r="D1110" t="s">
        <v>270</v>
      </c>
      <c r="E1110" s="4">
        <v>4.0000000000000001E-3</v>
      </c>
      <c r="F1110" s="4">
        <v>518495.57400000002</v>
      </c>
      <c r="G1110" s="4">
        <v>518495.57799999998</v>
      </c>
      <c r="H1110" s="5">
        <f>0 / 86400</f>
        <v>0</v>
      </c>
      <c r="I1110" t="s">
        <v>147</v>
      </c>
      <c r="J1110" t="s">
        <v>59</v>
      </c>
      <c r="K1110" s="5">
        <f>14 / 86400</f>
        <v>1.6203703703703703E-4</v>
      </c>
      <c r="L1110" s="5">
        <f>61 / 86400</f>
        <v>7.0601851851851847E-4</v>
      </c>
    </row>
    <row r="1111" spans="1:12" x14ac:dyDescent="0.25">
      <c r="A1111" s="3">
        <v>45716.33657407407</v>
      </c>
      <c r="B1111" t="s">
        <v>270</v>
      </c>
      <c r="C1111" s="3">
        <v>45716.337557870371</v>
      </c>
      <c r="D1111" t="s">
        <v>115</v>
      </c>
      <c r="E1111" s="4">
        <v>2.1000000000000001E-2</v>
      </c>
      <c r="F1111" s="4">
        <v>518495.57799999998</v>
      </c>
      <c r="G1111" s="4">
        <v>518495.59899999999</v>
      </c>
      <c r="H1111" s="5">
        <f>32 / 86400</f>
        <v>3.7037037037037035E-4</v>
      </c>
      <c r="I1111" t="s">
        <v>137</v>
      </c>
      <c r="J1111" t="s">
        <v>59</v>
      </c>
      <c r="K1111" s="5">
        <f>85 / 86400</f>
        <v>9.837962962962962E-4</v>
      </c>
      <c r="L1111" s="5">
        <f>5 / 86400</f>
        <v>5.7870370370370373E-5</v>
      </c>
    </row>
    <row r="1112" spans="1:12" x14ac:dyDescent="0.25">
      <c r="A1112" s="3">
        <v>45716.33761574074</v>
      </c>
      <c r="B1112" t="s">
        <v>115</v>
      </c>
      <c r="C1112" s="3">
        <v>45716.337638888886</v>
      </c>
      <c r="D1112" t="s">
        <v>115</v>
      </c>
      <c r="E1112" s="4">
        <v>0</v>
      </c>
      <c r="F1112" s="4">
        <v>518495.59899999999</v>
      </c>
      <c r="G1112" s="4">
        <v>518495.59899999999</v>
      </c>
      <c r="H1112" s="5">
        <f t="shared" ref="H1112:H1122" si="15">0 / 86400</f>
        <v>0</v>
      </c>
      <c r="I1112" t="s">
        <v>22</v>
      </c>
      <c r="J1112" t="s">
        <v>22</v>
      </c>
      <c r="K1112" s="5">
        <f>2 / 86400</f>
        <v>2.3148148148148147E-5</v>
      </c>
      <c r="L1112" s="5">
        <f>10 / 86400</f>
        <v>1.1574074074074075E-4</v>
      </c>
    </row>
    <row r="1113" spans="1:12" x14ac:dyDescent="0.25">
      <c r="A1113" s="3">
        <v>45716.337754629625</v>
      </c>
      <c r="B1113" t="s">
        <v>269</v>
      </c>
      <c r="C1113" s="3">
        <v>45716.337766203702</v>
      </c>
      <c r="D1113" t="s">
        <v>269</v>
      </c>
      <c r="E1113" s="4">
        <v>0</v>
      </c>
      <c r="F1113" s="4">
        <v>518495.60200000001</v>
      </c>
      <c r="G1113" s="4">
        <v>518495.60200000001</v>
      </c>
      <c r="H1113" s="5">
        <f t="shared" si="15"/>
        <v>0</v>
      </c>
      <c r="I1113" t="s">
        <v>22</v>
      </c>
      <c r="J1113" t="s">
        <v>22</v>
      </c>
      <c r="K1113" s="5">
        <f>1 / 86400</f>
        <v>1.1574074074074073E-5</v>
      </c>
      <c r="L1113" s="5">
        <f>4 / 86400</f>
        <v>4.6296296296296294E-5</v>
      </c>
    </row>
    <row r="1114" spans="1:12" x14ac:dyDescent="0.25">
      <c r="A1114" s="3">
        <v>45716.337812500002</v>
      </c>
      <c r="B1114" t="s">
        <v>269</v>
      </c>
      <c r="C1114" s="3">
        <v>45716.337881944448</v>
      </c>
      <c r="D1114" t="s">
        <v>269</v>
      </c>
      <c r="E1114" s="4">
        <v>2E-3</v>
      </c>
      <c r="F1114" s="4">
        <v>518495.603</v>
      </c>
      <c r="G1114" s="4">
        <v>518495.60499999998</v>
      </c>
      <c r="H1114" s="5">
        <f t="shared" si="15"/>
        <v>0</v>
      </c>
      <c r="I1114" t="s">
        <v>25</v>
      </c>
      <c r="J1114" t="s">
        <v>59</v>
      </c>
      <c r="K1114" s="5">
        <f>6 / 86400</f>
        <v>6.9444444444444444E-5</v>
      </c>
      <c r="L1114" s="5">
        <f>5 / 86400</f>
        <v>5.7870370370370373E-5</v>
      </c>
    </row>
    <row r="1115" spans="1:12" x14ac:dyDescent="0.25">
      <c r="A1115" s="3">
        <v>45716.33793981481</v>
      </c>
      <c r="B1115" t="s">
        <v>231</v>
      </c>
      <c r="C1115" s="3">
        <v>45716.338391203702</v>
      </c>
      <c r="D1115" t="s">
        <v>231</v>
      </c>
      <c r="E1115" s="4">
        <v>0.113</v>
      </c>
      <c r="F1115" s="4">
        <v>518495.609</v>
      </c>
      <c r="G1115" s="4">
        <v>518495.72200000001</v>
      </c>
      <c r="H1115" s="5">
        <f t="shared" si="15"/>
        <v>0</v>
      </c>
      <c r="I1115" t="s">
        <v>142</v>
      </c>
      <c r="J1115" t="s">
        <v>151</v>
      </c>
      <c r="K1115" s="5">
        <f>39 / 86400</f>
        <v>4.5138888888888887E-4</v>
      </c>
      <c r="L1115" s="5">
        <f>3 / 86400</f>
        <v>3.4722222222222222E-5</v>
      </c>
    </row>
    <row r="1116" spans="1:12" x14ac:dyDescent="0.25">
      <c r="A1116" s="3">
        <v>45716.338425925926</v>
      </c>
      <c r="B1116" t="s">
        <v>231</v>
      </c>
      <c r="C1116" s="3">
        <v>45716.338900462964</v>
      </c>
      <c r="D1116" t="s">
        <v>449</v>
      </c>
      <c r="E1116" s="4">
        <v>0.11700000000000001</v>
      </c>
      <c r="F1116" s="4">
        <v>518495.72899999999</v>
      </c>
      <c r="G1116" s="4">
        <v>518495.84600000002</v>
      </c>
      <c r="H1116" s="5">
        <f t="shared" si="15"/>
        <v>0</v>
      </c>
      <c r="I1116" t="s">
        <v>32</v>
      </c>
      <c r="J1116" t="s">
        <v>151</v>
      </c>
      <c r="K1116" s="5">
        <f>41 / 86400</f>
        <v>4.7453703703703704E-4</v>
      </c>
      <c r="L1116" s="5">
        <f>2 / 86400</f>
        <v>2.3148148148148147E-5</v>
      </c>
    </row>
    <row r="1117" spans="1:12" x14ac:dyDescent="0.25">
      <c r="A1117" s="3">
        <v>45716.338923611111</v>
      </c>
      <c r="B1117" t="s">
        <v>449</v>
      </c>
      <c r="C1117" s="3">
        <v>45716.33898148148</v>
      </c>
      <c r="D1117" t="s">
        <v>450</v>
      </c>
      <c r="E1117" s="4">
        <v>0.01</v>
      </c>
      <c r="F1117" s="4">
        <v>518495.84700000001</v>
      </c>
      <c r="G1117" s="4">
        <v>518495.85700000002</v>
      </c>
      <c r="H1117" s="5">
        <f t="shared" si="15"/>
        <v>0</v>
      </c>
      <c r="I1117" t="s">
        <v>132</v>
      </c>
      <c r="J1117" t="s">
        <v>57</v>
      </c>
      <c r="K1117" s="5">
        <f>5 / 86400</f>
        <v>5.7870370370370373E-5</v>
      </c>
      <c r="L1117" s="5">
        <f>14 / 86400</f>
        <v>1.6203703703703703E-4</v>
      </c>
    </row>
    <row r="1118" spans="1:12" x14ac:dyDescent="0.25">
      <c r="A1118" s="3">
        <v>45716.339143518519</v>
      </c>
      <c r="B1118" t="s">
        <v>231</v>
      </c>
      <c r="C1118" s="3">
        <v>45716.339745370366</v>
      </c>
      <c r="D1118" t="s">
        <v>231</v>
      </c>
      <c r="E1118" s="4">
        <v>0.217</v>
      </c>
      <c r="F1118" s="4">
        <v>518495.88099999999</v>
      </c>
      <c r="G1118" s="4">
        <v>518496.098</v>
      </c>
      <c r="H1118" s="5">
        <f t="shared" si="15"/>
        <v>0</v>
      </c>
      <c r="I1118" t="s">
        <v>165</v>
      </c>
      <c r="J1118" t="s">
        <v>35</v>
      </c>
      <c r="K1118" s="5">
        <f>52 / 86400</f>
        <v>6.018518518518519E-4</v>
      </c>
      <c r="L1118" s="5">
        <f>10 / 86400</f>
        <v>1.1574074074074075E-4</v>
      </c>
    </row>
    <row r="1119" spans="1:12" x14ac:dyDescent="0.25">
      <c r="A1119" s="3">
        <v>45716.339861111112</v>
      </c>
      <c r="B1119" t="s">
        <v>231</v>
      </c>
      <c r="C1119" s="3">
        <v>45716.33993055555</v>
      </c>
      <c r="D1119" t="s">
        <v>269</v>
      </c>
      <c r="E1119" s="4">
        <v>1E-3</v>
      </c>
      <c r="F1119" s="4">
        <v>518496.098</v>
      </c>
      <c r="G1119" s="4">
        <v>518496.09899999999</v>
      </c>
      <c r="H1119" s="5">
        <f t="shared" si="15"/>
        <v>0</v>
      </c>
      <c r="I1119" t="s">
        <v>156</v>
      </c>
      <c r="J1119" t="s">
        <v>59</v>
      </c>
      <c r="K1119" s="5">
        <f>6 / 86400</f>
        <v>6.9444444444444444E-5</v>
      </c>
      <c r="L1119" s="5">
        <f>10 / 86400</f>
        <v>1.1574074074074075E-4</v>
      </c>
    </row>
    <row r="1120" spans="1:12" x14ac:dyDescent="0.25">
      <c r="A1120" s="3">
        <v>45716.340046296296</v>
      </c>
      <c r="B1120" t="s">
        <v>269</v>
      </c>
      <c r="C1120" s="3">
        <v>45716.340092592596</v>
      </c>
      <c r="D1120" t="s">
        <v>451</v>
      </c>
      <c r="E1120" s="4">
        <v>0</v>
      </c>
      <c r="F1120" s="4">
        <v>518496.10100000002</v>
      </c>
      <c r="G1120" s="4">
        <v>518496.10100000002</v>
      </c>
      <c r="H1120" s="5">
        <f t="shared" si="15"/>
        <v>0</v>
      </c>
      <c r="I1120" t="s">
        <v>64</v>
      </c>
      <c r="J1120" t="s">
        <v>22</v>
      </c>
      <c r="K1120" s="5">
        <f>4 / 86400</f>
        <v>4.6296296296296294E-5</v>
      </c>
      <c r="L1120" s="5">
        <f>9 / 86400</f>
        <v>1.0416666666666667E-4</v>
      </c>
    </row>
    <row r="1121" spans="1:12" x14ac:dyDescent="0.25">
      <c r="A1121" s="3">
        <v>45716.340196759258</v>
      </c>
      <c r="B1121" t="s">
        <v>451</v>
      </c>
      <c r="C1121" s="3">
        <v>45716.342453703706</v>
      </c>
      <c r="D1121" t="s">
        <v>452</v>
      </c>
      <c r="E1121" s="4">
        <v>0.77100000000000002</v>
      </c>
      <c r="F1121" s="4">
        <v>518496.11200000002</v>
      </c>
      <c r="G1121" s="4">
        <v>518496.88299999997</v>
      </c>
      <c r="H1121" s="5">
        <f t="shared" si="15"/>
        <v>0</v>
      </c>
      <c r="I1121" t="s">
        <v>168</v>
      </c>
      <c r="J1121" t="s">
        <v>72</v>
      </c>
      <c r="K1121" s="5">
        <f>195 / 86400</f>
        <v>2.2569444444444442E-3</v>
      </c>
      <c r="L1121" s="5">
        <f>14 / 86400</f>
        <v>1.6203703703703703E-4</v>
      </c>
    </row>
    <row r="1122" spans="1:12" x14ac:dyDescent="0.25">
      <c r="A1122" s="3">
        <v>45716.342615740738</v>
      </c>
      <c r="B1122" t="s">
        <v>453</v>
      </c>
      <c r="C1122" s="3">
        <v>45716.342662037037</v>
      </c>
      <c r="D1122" t="s">
        <v>453</v>
      </c>
      <c r="E1122" s="4">
        <v>1.4E-2</v>
      </c>
      <c r="F1122" s="4">
        <v>518496.88900000002</v>
      </c>
      <c r="G1122" s="4">
        <v>518496.90299999999</v>
      </c>
      <c r="H1122" s="5">
        <f t="shared" si="15"/>
        <v>0</v>
      </c>
      <c r="I1122" t="s">
        <v>64</v>
      </c>
      <c r="J1122" t="s">
        <v>64</v>
      </c>
      <c r="K1122" s="5">
        <f>4 / 86400</f>
        <v>4.6296296296296294E-5</v>
      </c>
      <c r="L1122" s="5">
        <f>1 / 86400</f>
        <v>1.1574074074074073E-5</v>
      </c>
    </row>
    <row r="1123" spans="1:12" x14ac:dyDescent="0.25">
      <c r="A1123" s="3">
        <v>45716.342673611114</v>
      </c>
      <c r="B1123" t="s">
        <v>453</v>
      </c>
      <c r="C1123" s="3">
        <v>45716.348553240736</v>
      </c>
      <c r="D1123" t="s">
        <v>454</v>
      </c>
      <c r="E1123" s="4">
        <v>1.9039999999999999</v>
      </c>
      <c r="F1123" s="4">
        <v>518496.90600000002</v>
      </c>
      <c r="G1123" s="4">
        <v>518498.81</v>
      </c>
      <c r="H1123" s="5">
        <f>210 / 86400</f>
        <v>2.4305555555555556E-3</v>
      </c>
      <c r="I1123" t="s">
        <v>110</v>
      </c>
      <c r="J1123" t="s">
        <v>64</v>
      </c>
      <c r="K1123" s="5">
        <f>508 / 86400</f>
        <v>5.8796296296296296E-3</v>
      </c>
      <c r="L1123" s="5">
        <f>7 / 86400</f>
        <v>8.1018518518518516E-5</v>
      </c>
    </row>
    <row r="1124" spans="1:12" x14ac:dyDescent="0.25">
      <c r="A1124" s="3">
        <v>45716.348634259259</v>
      </c>
      <c r="B1124" t="s">
        <v>454</v>
      </c>
      <c r="C1124" s="3">
        <v>45716.34878472222</v>
      </c>
      <c r="D1124" t="s">
        <v>454</v>
      </c>
      <c r="E1124" s="4">
        <v>4.0000000000000001E-3</v>
      </c>
      <c r="F1124" s="4">
        <v>518498.81</v>
      </c>
      <c r="G1124" s="4">
        <v>518498.81400000001</v>
      </c>
      <c r="H1124" s="5">
        <f>0 / 86400</f>
        <v>0</v>
      </c>
      <c r="I1124" t="s">
        <v>151</v>
      </c>
      <c r="J1124" t="s">
        <v>59</v>
      </c>
      <c r="K1124" s="5">
        <f>13 / 86400</f>
        <v>1.5046296296296297E-4</v>
      </c>
      <c r="L1124" s="5">
        <f>9 / 86400</f>
        <v>1.0416666666666667E-4</v>
      </c>
    </row>
    <row r="1125" spans="1:12" x14ac:dyDescent="0.25">
      <c r="A1125" s="3">
        <v>45716.34888888889</v>
      </c>
      <c r="B1125" t="s">
        <v>455</v>
      </c>
      <c r="C1125" s="3">
        <v>45716.356805555552</v>
      </c>
      <c r="D1125" t="s">
        <v>244</v>
      </c>
      <c r="E1125" s="4">
        <v>2.5880000000000001</v>
      </c>
      <c r="F1125" s="4">
        <v>518498.82299999997</v>
      </c>
      <c r="G1125" s="4">
        <v>518501.41100000002</v>
      </c>
      <c r="H1125" s="5">
        <f>240 / 86400</f>
        <v>2.7777777777777779E-3</v>
      </c>
      <c r="I1125" t="s">
        <v>181</v>
      </c>
      <c r="J1125" t="s">
        <v>72</v>
      </c>
      <c r="K1125" s="5">
        <f>684 / 86400</f>
        <v>7.9166666666666673E-3</v>
      </c>
      <c r="L1125" s="5">
        <f>2 / 86400</f>
        <v>2.3148148148148147E-5</v>
      </c>
    </row>
    <row r="1126" spans="1:12" x14ac:dyDescent="0.25">
      <c r="A1126" s="3">
        <v>45716.356828703705</v>
      </c>
      <c r="B1126" t="s">
        <v>244</v>
      </c>
      <c r="C1126" s="3">
        <v>45716.417210648149</v>
      </c>
      <c r="D1126" t="s">
        <v>121</v>
      </c>
      <c r="E1126" s="4">
        <v>14.295</v>
      </c>
      <c r="F1126" s="4">
        <v>518501.413</v>
      </c>
      <c r="G1126" s="4">
        <v>518515.70799999998</v>
      </c>
      <c r="H1126" s="5">
        <f>2341 / 86400</f>
        <v>2.7094907407407408E-2</v>
      </c>
      <c r="I1126" t="s">
        <v>173</v>
      </c>
      <c r="J1126" t="s">
        <v>151</v>
      </c>
      <c r="K1126" s="5">
        <f>5217 / 86400</f>
        <v>6.0381944444444446E-2</v>
      </c>
      <c r="L1126" s="5">
        <f>9 / 86400</f>
        <v>1.0416666666666667E-4</v>
      </c>
    </row>
    <row r="1127" spans="1:12" x14ac:dyDescent="0.25">
      <c r="A1127" s="3">
        <v>45716.417314814811</v>
      </c>
      <c r="B1127" t="s">
        <v>121</v>
      </c>
      <c r="C1127" s="3">
        <v>45716.441666666666</v>
      </c>
      <c r="D1127" t="s">
        <v>96</v>
      </c>
      <c r="E1127" s="4">
        <v>9.641</v>
      </c>
      <c r="F1127" s="4">
        <v>518515.717</v>
      </c>
      <c r="G1127" s="4">
        <v>518525.35800000001</v>
      </c>
      <c r="H1127" s="5">
        <f>510 / 86400</f>
        <v>5.9027777777777776E-3</v>
      </c>
      <c r="I1127" t="s">
        <v>56</v>
      </c>
      <c r="J1127" t="s">
        <v>31</v>
      </c>
      <c r="K1127" s="5">
        <f>2104 / 86400</f>
        <v>2.435185185185185E-2</v>
      </c>
      <c r="L1127" s="5">
        <f>8 / 86400</f>
        <v>9.2592592592592588E-5</v>
      </c>
    </row>
    <row r="1128" spans="1:12" x14ac:dyDescent="0.25">
      <c r="A1128" s="3">
        <v>45716.441759259258</v>
      </c>
      <c r="B1128" t="s">
        <v>96</v>
      </c>
      <c r="C1128" s="3">
        <v>45716.491909722223</v>
      </c>
      <c r="D1128" t="s">
        <v>161</v>
      </c>
      <c r="E1128" s="4">
        <v>27.738</v>
      </c>
      <c r="F1128" s="4">
        <v>518525.35800000001</v>
      </c>
      <c r="G1128" s="4">
        <v>518553.09600000002</v>
      </c>
      <c r="H1128" s="5">
        <f>1020 / 86400</f>
        <v>1.1805555555555555E-2</v>
      </c>
      <c r="I1128" t="s">
        <v>58</v>
      </c>
      <c r="J1128" t="s">
        <v>153</v>
      </c>
      <c r="K1128" s="5">
        <f>4333 / 86400</f>
        <v>5.0150462962962966E-2</v>
      </c>
      <c r="L1128" s="5">
        <f>1118 / 86400</f>
        <v>1.2939814814814815E-2</v>
      </c>
    </row>
    <row r="1129" spans="1:12" x14ac:dyDescent="0.25">
      <c r="A1129" s="3">
        <v>45716.504849537036</v>
      </c>
      <c r="B1129" t="s">
        <v>161</v>
      </c>
      <c r="C1129" s="3">
        <v>45716.50953703704</v>
      </c>
      <c r="D1129" t="s">
        <v>311</v>
      </c>
      <c r="E1129" s="4">
        <v>1.7549999999999999</v>
      </c>
      <c r="F1129" s="4">
        <v>518553.09600000002</v>
      </c>
      <c r="G1129" s="4">
        <v>518554.85100000002</v>
      </c>
      <c r="H1129" s="5">
        <f>30 / 86400</f>
        <v>3.4722222222222224E-4</v>
      </c>
      <c r="I1129" t="s">
        <v>149</v>
      </c>
      <c r="J1129" t="s">
        <v>31</v>
      </c>
      <c r="K1129" s="5">
        <f>405 / 86400</f>
        <v>4.6874999999999998E-3</v>
      </c>
      <c r="L1129" s="5">
        <f>2509 / 86400</f>
        <v>2.9039351851851851E-2</v>
      </c>
    </row>
    <row r="1130" spans="1:12" x14ac:dyDescent="0.25">
      <c r="A1130" s="3">
        <v>45716.538576388892</v>
      </c>
      <c r="B1130" t="s">
        <v>311</v>
      </c>
      <c r="C1130" s="3">
        <v>45716.541597222225</v>
      </c>
      <c r="D1130" t="s">
        <v>146</v>
      </c>
      <c r="E1130" s="4">
        <v>1.1970000000000001</v>
      </c>
      <c r="F1130" s="4">
        <v>518554.85100000002</v>
      </c>
      <c r="G1130" s="4">
        <v>518556.04800000001</v>
      </c>
      <c r="H1130" s="5">
        <f>2 / 86400</f>
        <v>2.3148148148148147E-5</v>
      </c>
      <c r="I1130" t="s">
        <v>179</v>
      </c>
      <c r="J1130" t="s">
        <v>62</v>
      </c>
      <c r="K1130" s="5">
        <f>261 / 86400</f>
        <v>3.0208333333333333E-3</v>
      </c>
      <c r="L1130" s="5">
        <f>2 / 86400</f>
        <v>2.3148148148148147E-5</v>
      </c>
    </row>
    <row r="1131" spans="1:12" x14ac:dyDescent="0.25">
      <c r="A1131" s="3">
        <v>45716.541620370372</v>
      </c>
      <c r="B1131" t="s">
        <v>146</v>
      </c>
      <c r="C1131" s="3">
        <v>45716.547534722224</v>
      </c>
      <c r="D1131" t="s">
        <v>146</v>
      </c>
      <c r="E1131" s="4">
        <v>0.32400000000000001</v>
      </c>
      <c r="F1131" s="4">
        <v>518556.054</v>
      </c>
      <c r="G1131" s="4">
        <v>518556.37800000003</v>
      </c>
      <c r="H1131" s="5">
        <f>420 / 86400</f>
        <v>4.8611111111111112E-3</v>
      </c>
      <c r="I1131" t="s">
        <v>31</v>
      </c>
      <c r="J1131" t="s">
        <v>156</v>
      </c>
      <c r="K1131" s="5">
        <f>511 / 86400</f>
        <v>5.9143518518518521E-3</v>
      </c>
      <c r="L1131" s="5">
        <f>3 / 86400</f>
        <v>3.4722222222222222E-5</v>
      </c>
    </row>
    <row r="1132" spans="1:12" x14ac:dyDescent="0.25">
      <c r="A1132" s="3">
        <v>45716.547569444447</v>
      </c>
      <c r="B1132" t="s">
        <v>146</v>
      </c>
      <c r="C1132" s="3">
        <v>45716.55196759259</v>
      </c>
      <c r="D1132" t="s">
        <v>306</v>
      </c>
      <c r="E1132" s="4">
        <v>1.6160000000000001</v>
      </c>
      <c r="F1132" s="4">
        <v>518556.37800000003</v>
      </c>
      <c r="G1132" s="4">
        <v>518557.99400000001</v>
      </c>
      <c r="H1132" s="5">
        <f>91 / 86400</f>
        <v>1.0532407407407407E-3</v>
      </c>
      <c r="I1132" t="s">
        <v>200</v>
      </c>
      <c r="J1132" t="s">
        <v>35</v>
      </c>
      <c r="K1132" s="5">
        <f>380 / 86400</f>
        <v>4.3981481481481484E-3</v>
      </c>
      <c r="L1132" s="5">
        <f>4 / 86400</f>
        <v>4.6296296296296294E-5</v>
      </c>
    </row>
    <row r="1133" spans="1:12" x14ac:dyDescent="0.25">
      <c r="A1133" s="3">
        <v>45716.55201388889</v>
      </c>
      <c r="B1133" t="s">
        <v>306</v>
      </c>
      <c r="C1133" s="3">
        <v>45716.572777777779</v>
      </c>
      <c r="D1133" t="s">
        <v>36</v>
      </c>
      <c r="E1133" s="4">
        <v>9.798</v>
      </c>
      <c r="F1133" s="4">
        <v>518557.99400000001</v>
      </c>
      <c r="G1133" s="4">
        <v>518567.79200000002</v>
      </c>
      <c r="H1133" s="5">
        <f>510 / 86400</f>
        <v>5.9027777777777776E-3</v>
      </c>
      <c r="I1133" t="s">
        <v>318</v>
      </c>
      <c r="J1133" t="s">
        <v>108</v>
      </c>
      <c r="K1133" s="5">
        <f>1794 / 86400</f>
        <v>2.0763888888888887E-2</v>
      </c>
      <c r="L1133" s="5">
        <f>1 / 86400</f>
        <v>1.1574074074074073E-5</v>
      </c>
    </row>
    <row r="1134" spans="1:12" x14ac:dyDescent="0.25">
      <c r="A1134" s="3">
        <v>45716.572789351849</v>
      </c>
      <c r="B1134" t="s">
        <v>36</v>
      </c>
      <c r="C1134" s="3">
        <v>45716.574837962966</v>
      </c>
      <c r="D1134" t="s">
        <v>36</v>
      </c>
      <c r="E1134" s="4">
        <v>1.4450000000000001</v>
      </c>
      <c r="F1134" s="4">
        <v>518567.80800000002</v>
      </c>
      <c r="G1134" s="4">
        <v>518569.25300000003</v>
      </c>
      <c r="H1134" s="5">
        <f>0 / 86400</f>
        <v>0</v>
      </c>
      <c r="I1134" t="s">
        <v>227</v>
      </c>
      <c r="J1134" t="s">
        <v>142</v>
      </c>
      <c r="K1134" s="5">
        <f>177 / 86400</f>
        <v>2.0486111111111113E-3</v>
      </c>
      <c r="L1134" s="5">
        <f>30 / 86400</f>
        <v>3.4722222222222224E-4</v>
      </c>
    </row>
    <row r="1135" spans="1:12" x14ac:dyDescent="0.25">
      <c r="A1135" s="3">
        <v>45716.575185185182</v>
      </c>
      <c r="B1135" t="s">
        <v>203</v>
      </c>
      <c r="C1135" s="3">
        <v>45716.590810185182</v>
      </c>
      <c r="D1135" t="s">
        <v>177</v>
      </c>
      <c r="E1135" s="4">
        <v>9.1950000000000003</v>
      </c>
      <c r="F1135" s="4">
        <v>518569.65299999999</v>
      </c>
      <c r="G1135" s="4">
        <v>518578.848</v>
      </c>
      <c r="H1135" s="5">
        <f>450 / 86400</f>
        <v>5.208333333333333E-3</v>
      </c>
      <c r="I1135" t="s">
        <v>235</v>
      </c>
      <c r="J1135" t="s">
        <v>32</v>
      </c>
      <c r="K1135" s="5">
        <f>1350 / 86400</f>
        <v>1.5625E-2</v>
      </c>
      <c r="L1135" s="5">
        <f>30 / 86400</f>
        <v>3.4722222222222224E-4</v>
      </c>
    </row>
    <row r="1136" spans="1:12" x14ac:dyDescent="0.25">
      <c r="A1136" s="3">
        <v>45716.591157407413</v>
      </c>
      <c r="B1136" t="s">
        <v>177</v>
      </c>
      <c r="C1136" s="3">
        <v>45716.601736111115</v>
      </c>
      <c r="D1136" t="s">
        <v>99</v>
      </c>
      <c r="E1136" s="4">
        <v>7.2110000000000003</v>
      </c>
      <c r="F1136" s="4">
        <v>518578.90700000001</v>
      </c>
      <c r="G1136" s="4">
        <v>518586.11800000002</v>
      </c>
      <c r="H1136" s="5">
        <f>180 / 86400</f>
        <v>2.0833333333333333E-3</v>
      </c>
      <c r="I1136" t="s">
        <v>30</v>
      </c>
      <c r="J1136" t="s">
        <v>145</v>
      </c>
      <c r="K1136" s="5">
        <f>914 / 86400</f>
        <v>1.0578703703703703E-2</v>
      </c>
      <c r="L1136" s="5">
        <f>6 / 86400</f>
        <v>6.9444444444444444E-5</v>
      </c>
    </row>
    <row r="1137" spans="1:12" x14ac:dyDescent="0.25">
      <c r="A1137" s="3">
        <v>45716.601805555554</v>
      </c>
      <c r="B1137" t="s">
        <v>99</v>
      </c>
      <c r="C1137" s="3">
        <v>45716.6019212963</v>
      </c>
      <c r="D1137" t="s">
        <v>99</v>
      </c>
      <c r="E1137" s="4">
        <v>1.4999999999999999E-2</v>
      </c>
      <c r="F1137" s="4">
        <v>518586.11800000002</v>
      </c>
      <c r="G1137" s="4">
        <v>518586.13299999997</v>
      </c>
      <c r="H1137" s="5">
        <f>0 / 86400</f>
        <v>0</v>
      </c>
      <c r="I1137" t="s">
        <v>145</v>
      </c>
      <c r="J1137" t="s">
        <v>25</v>
      </c>
      <c r="K1137" s="5">
        <f>10 / 86400</f>
        <v>1.1574074074074075E-4</v>
      </c>
      <c r="L1137" s="5">
        <f>30 / 86400</f>
        <v>3.4722222222222224E-4</v>
      </c>
    </row>
    <row r="1138" spans="1:12" x14ac:dyDescent="0.25">
      <c r="A1138" s="3">
        <v>45716.602268518516</v>
      </c>
      <c r="B1138" t="s">
        <v>99</v>
      </c>
      <c r="C1138" s="3">
        <v>45716.621585648143</v>
      </c>
      <c r="D1138" t="s">
        <v>68</v>
      </c>
      <c r="E1138" s="4">
        <v>7.2670000000000003</v>
      </c>
      <c r="F1138" s="4">
        <v>518586.35200000001</v>
      </c>
      <c r="G1138" s="4">
        <v>518593.61900000001</v>
      </c>
      <c r="H1138" s="5">
        <f>510 / 86400</f>
        <v>5.9027777777777776E-3</v>
      </c>
      <c r="I1138" t="s">
        <v>219</v>
      </c>
      <c r="J1138" t="s">
        <v>31</v>
      </c>
      <c r="K1138" s="5">
        <f>1669 / 86400</f>
        <v>1.9317129629629629E-2</v>
      </c>
      <c r="L1138" s="5">
        <f>6 / 86400</f>
        <v>6.9444444444444444E-5</v>
      </c>
    </row>
    <row r="1139" spans="1:12" x14ac:dyDescent="0.25">
      <c r="A1139" s="3">
        <v>45716.621655092589</v>
      </c>
      <c r="B1139" t="s">
        <v>68</v>
      </c>
      <c r="C1139" s="3">
        <v>45716.6247337963</v>
      </c>
      <c r="D1139" t="s">
        <v>324</v>
      </c>
      <c r="E1139" s="4">
        <v>1.117</v>
      </c>
      <c r="F1139" s="4">
        <v>518593.61900000001</v>
      </c>
      <c r="G1139" s="4">
        <v>518594.73599999998</v>
      </c>
      <c r="H1139" s="5">
        <f>60 / 86400</f>
        <v>6.9444444444444447E-4</v>
      </c>
      <c r="I1139" t="s">
        <v>167</v>
      </c>
      <c r="J1139" t="s">
        <v>35</v>
      </c>
      <c r="K1139" s="5">
        <f>266 / 86400</f>
        <v>3.0787037037037037E-3</v>
      </c>
      <c r="L1139" s="5">
        <f>30 / 86400</f>
        <v>3.4722222222222224E-4</v>
      </c>
    </row>
    <row r="1140" spans="1:12" x14ac:dyDescent="0.25">
      <c r="A1140" s="3">
        <v>45716.625081018516</v>
      </c>
      <c r="B1140" t="s">
        <v>325</v>
      </c>
      <c r="C1140" s="3">
        <v>45716.635428240741</v>
      </c>
      <c r="D1140" t="s">
        <v>115</v>
      </c>
      <c r="E1140" s="4">
        <v>2.7869999999999999</v>
      </c>
      <c r="F1140" s="4">
        <v>518595.03700000001</v>
      </c>
      <c r="G1140" s="4">
        <v>518597.82400000002</v>
      </c>
      <c r="H1140" s="5">
        <f>180 / 86400</f>
        <v>2.0833333333333333E-3</v>
      </c>
      <c r="I1140" t="s">
        <v>171</v>
      </c>
      <c r="J1140" t="s">
        <v>100</v>
      </c>
      <c r="K1140" s="5">
        <f>894 / 86400</f>
        <v>1.0347222222222223E-2</v>
      </c>
      <c r="L1140" s="5">
        <f>30 / 86400</f>
        <v>3.4722222222222224E-4</v>
      </c>
    </row>
    <row r="1141" spans="1:12" x14ac:dyDescent="0.25">
      <c r="A1141" s="3">
        <v>45716.635775462964</v>
      </c>
      <c r="B1141" t="s">
        <v>230</v>
      </c>
      <c r="C1141" s="3">
        <v>45716.660543981481</v>
      </c>
      <c r="D1141" t="s">
        <v>456</v>
      </c>
      <c r="E1141" s="4">
        <v>3.2959999999999998</v>
      </c>
      <c r="F1141" s="4">
        <v>518597.89199999999</v>
      </c>
      <c r="G1141" s="4">
        <v>518601.18800000002</v>
      </c>
      <c r="H1141" s="5">
        <f>1380 / 86400</f>
        <v>1.5972222222222221E-2</v>
      </c>
      <c r="I1141" t="s">
        <v>242</v>
      </c>
      <c r="J1141" t="s">
        <v>137</v>
      </c>
      <c r="K1141" s="5">
        <f>2140 / 86400</f>
        <v>2.476851851851852E-2</v>
      </c>
      <c r="L1141" s="5">
        <f>10 / 86400</f>
        <v>1.1574074074074075E-4</v>
      </c>
    </row>
    <row r="1142" spans="1:12" x14ac:dyDescent="0.25">
      <c r="A1142" s="3">
        <v>45716.660659722227</v>
      </c>
      <c r="B1142" t="s">
        <v>454</v>
      </c>
      <c r="C1142" s="3">
        <v>45716.660868055551</v>
      </c>
      <c r="D1142" t="s">
        <v>385</v>
      </c>
      <c r="E1142" s="4">
        <v>2.1000000000000001E-2</v>
      </c>
      <c r="F1142" s="4">
        <v>518601.19799999997</v>
      </c>
      <c r="G1142" s="4">
        <v>518601.21899999998</v>
      </c>
      <c r="H1142" s="5">
        <f>0 / 86400</f>
        <v>0</v>
      </c>
      <c r="I1142" t="s">
        <v>140</v>
      </c>
      <c r="J1142" t="s">
        <v>147</v>
      </c>
      <c r="K1142" s="5">
        <f>18 / 86400</f>
        <v>2.0833333333333335E-4</v>
      </c>
      <c r="L1142" s="5">
        <f>7 / 86400</f>
        <v>8.1018518518518516E-5</v>
      </c>
    </row>
    <row r="1143" spans="1:12" x14ac:dyDescent="0.25">
      <c r="A1143" s="3">
        <v>45716.660949074074</v>
      </c>
      <c r="B1143" t="s">
        <v>455</v>
      </c>
      <c r="C1143" s="3">
        <v>45716.690636574072</v>
      </c>
      <c r="D1143" t="s">
        <v>240</v>
      </c>
      <c r="E1143" s="4">
        <v>5.9349999999999996</v>
      </c>
      <c r="F1143" s="4">
        <v>518601.23100000003</v>
      </c>
      <c r="G1143" s="4">
        <v>518607.16600000003</v>
      </c>
      <c r="H1143" s="5">
        <f>1260 / 86400</f>
        <v>1.4583333333333334E-2</v>
      </c>
      <c r="I1143" t="s">
        <v>159</v>
      </c>
      <c r="J1143" t="s">
        <v>214</v>
      </c>
      <c r="K1143" s="5">
        <f>2565 / 86400</f>
        <v>2.9687499999999999E-2</v>
      </c>
      <c r="L1143" s="5">
        <f>116 / 86400</f>
        <v>1.3425925925925925E-3</v>
      </c>
    </row>
    <row r="1144" spans="1:12" x14ac:dyDescent="0.25">
      <c r="A1144" s="3">
        <v>45716.691979166666</v>
      </c>
      <c r="B1144" t="s">
        <v>238</v>
      </c>
      <c r="C1144" s="3">
        <v>45716.69263888889</v>
      </c>
      <c r="D1144" t="s">
        <v>238</v>
      </c>
      <c r="E1144" s="4">
        <v>6.0000000000000001E-3</v>
      </c>
      <c r="F1144" s="4">
        <v>518607.17499999999</v>
      </c>
      <c r="G1144" s="4">
        <v>518607.18099999998</v>
      </c>
      <c r="H1144" s="5">
        <f>0 / 86400</f>
        <v>0</v>
      </c>
      <c r="I1144" t="s">
        <v>190</v>
      </c>
      <c r="J1144" t="s">
        <v>22</v>
      </c>
      <c r="K1144" s="5">
        <f>57 / 86400</f>
        <v>6.5972222222222224E-4</v>
      </c>
      <c r="L1144" s="5">
        <f>20 / 86400</f>
        <v>2.3148148148148149E-4</v>
      </c>
    </row>
    <row r="1145" spans="1:12" x14ac:dyDescent="0.25">
      <c r="A1145" s="3">
        <v>45716.692870370374</v>
      </c>
      <c r="B1145" t="s">
        <v>238</v>
      </c>
      <c r="C1145" s="3">
        <v>45716.693020833336</v>
      </c>
      <c r="D1145" t="s">
        <v>457</v>
      </c>
      <c r="E1145" s="4">
        <v>5.5E-2</v>
      </c>
      <c r="F1145" s="4">
        <v>518607.18699999998</v>
      </c>
      <c r="G1145" s="4">
        <v>518607.24200000003</v>
      </c>
      <c r="H1145" s="5">
        <f>0 / 86400</f>
        <v>0</v>
      </c>
      <c r="I1145" t="s">
        <v>62</v>
      </c>
      <c r="J1145" t="s">
        <v>35</v>
      </c>
      <c r="K1145" s="5">
        <f>13 / 86400</f>
        <v>1.5046296296296297E-4</v>
      </c>
      <c r="L1145" s="5">
        <f>8 / 86400</f>
        <v>9.2592592592592588E-5</v>
      </c>
    </row>
    <row r="1146" spans="1:12" x14ac:dyDescent="0.25">
      <c r="A1146" s="3">
        <v>45716.693113425921</v>
      </c>
      <c r="B1146" t="s">
        <v>457</v>
      </c>
      <c r="C1146" s="3">
        <v>45716.69326388889</v>
      </c>
      <c r="D1146" t="s">
        <v>457</v>
      </c>
      <c r="E1146" s="4">
        <v>0</v>
      </c>
      <c r="F1146" s="4">
        <v>518607.24200000003</v>
      </c>
      <c r="G1146" s="4">
        <v>518607.24200000003</v>
      </c>
      <c r="H1146" s="5">
        <f>4 / 86400</f>
        <v>4.6296296296296294E-5</v>
      </c>
      <c r="I1146" t="s">
        <v>22</v>
      </c>
      <c r="J1146" t="s">
        <v>22</v>
      </c>
      <c r="K1146" s="5">
        <f>13 / 86400</f>
        <v>1.5046296296296297E-4</v>
      </c>
      <c r="L1146" s="5">
        <f>9 / 86400</f>
        <v>1.0416666666666667E-4</v>
      </c>
    </row>
    <row r="1147" spans="1:12" x14ac:dyDescent="0.25">
      <c r="A1147" s="3">
        <v>45716.693368055552</v>
      </c>
      <c r="B1147" t="s">
        <v>238</v>
      </c>
      <c r="C1147" s="3">
        <v>45716.693518518514</v>
      </c>
      <c r="D1147" t="s">
        <v>458</v>
      </c>
      <c r="E1147" s="4">
        <v>3.4000000000000002E-2</v>
      </c>
      <c r="F1147" s="4">
        <v>518607.24200000003</v>
      </c>
      <c r="G1147" s="4">
        <v>518607.27600000001</v>
      </c>
      <c r="H1147" s="5">
        <f>0 / 86400</f>
        <v>0</v>
      </c>
      <c r="I1147" t="s">
        <v>145</v>
      </c>
      <c r="J1147" t="s">
        <v>132</v>
      </c>
      <c r="K1147" s="5">
        <f>13 / 86400</f>
        <v>1.5046296296296297E-4</v>
      </c>
      <c r="L1147" s="5">
        <f>0 / 86400</f>
        <v>0</v>
      </c>
    </row>
    <row r="1148" spans="1:12" x14ac:dyDescent="0.25">
      <c r="A1148" s="3">
        <v>45716.693518518514</v>
      </c>
      <c r="B1148" t="s">
        <v>458</v>
      </c>
      <c r="C1148" s="3">
        <v>45716.693877314814</v>
      </c>
      <c r="D1148" t="s">
        <v>459</v>
      </c>
      <c r="E1148" s="4">
        <v>5.0000000000000001E-3</v>
      </c>
      <c r="F1148" s="4">
        <v>518607.28399999999</v>
      </c>
      <c r="G1148" s="4">
        <v>518607.28899999999</v>
      </c>
      <c r="H1148" s="5">
        <f>16 / 86400</f>
        <v>1.8518518518518518E-4</v>
      </c>
      <c r="I1148" t="s">
        <v>140</v>
      </c>
      <c r="J1148" t="s">
        <v>59</v>
      </c>
      <c r="K1148" s="5">
        <f>30 / 86400</f>
        <v>3.4722222222222224E-4</v>
      </c>
      <c r="L1148" s="5">
        <f>1 / 86400</f>
        <v>1.1574074074074073E-5</v>
      </c>
    </row>
    <row r="1149" spans="1:12" x14ac:dyDescent="0.25">
      <c r="A1149" s="3">
        <v>45716.693888888884</v>
      </c>
      <c r="B1149" t="s">
        <v>459</v>
      </c>
      <c r="C1149" s="3">
        <v>45716.694039351853</v>
      </c>
      <c r="D1149" t="s">
        <v>460</v>
      </c>
      <c r="E1149" s="4">
        <v>1.7000000000000001E-2</v>
      </c>
      <c r="F1149" s="4">
        <v>518607.29200000002</v>
      </c>
      <c r="G1149" s="4">
        <v>518607.30900000001</v>
      </c>
      <c r="H1149" s="5">
        <f>0 / 86400</f>
        <v>0</v>
      </c>
      <c r="I1149" t="s">
        <v>151</v>
      </c>
      <c r="J1149" t="s">
        <v>25</v>
      </c>
      <c r="K1149" s="5">
        <f>13 / 86400</f>
        <v>1.5046296296296297E-4</v>
      </c>
      <c r="L1149" s="5">
        <f>9 / 86400</f>
        <v>1.0416666666666667E-4</v>
      </c>
    </row>
    <row r="1150" spans="1:12" x14ac:dyDescent="0.25">
      <c r="A1150" s="3">
        <v>45716.694143518514</v>
      </c>
      <c r="B1150" t="s">
        <v>460</v>
      </c>
      <c r="C1150" s="3">
        <v>45716.694282407407</v>
      </c>
      <c r="D1150" t="s">
        <v>461</v>
      </c>
      <c r="E1150" s="4">
        <v>7.1999999999999995E-2</v>
      </c>
      <c r="F1150" s="4">
        <v>518607.34</v>
      </c>
      <c r="G1150" s="4">
        <v>518607.41200000001</v>
      </c>
      <c r="H1150" s="5">
        <f>0 / 86400</f>
        <v>0</v>
      </c>
      <c r="I1150" t="s">
        <v>179</v>
      </c>
      <c r="J1150" t="s">
        <v>130</v>
      </c>
      <c r="K1150" s="5">
        <f>12 / 86400</f>
        <v>1.3888888888888889E-4</v>
      </c>
      <c r="L1150" s="5">
        <f>8 / 86400</f>
        <v>9.2592592592592588E-5</v>
      </c>
    </row>
    <row r="1151" spans="1:12" x14ac:dyDescent="0.25">
      <c r="A1151" s="3">
        <v>45716.694374999999</v>
      </c>
      <c r="B1151" t="s">
        <v>462</v>
      </c>
      <c r="C1151" s="3">
        <v>45716.694618055553</v>
      </c>
      <c r="D1151" t="s">
        <v>262</v>
      </c>
      <c r="E1151" s="4">
        <v>0.13300000000000001</v>
      </c>
      <c r="F1151" s="4">
        <v>518607.413</v>
      </c>
      <c r="G1151" s="4">
        <v>518607.54599999997</v>
      </c>
      <c r="H1151" s="5">
        <f>1 / 86400</f>
        <v>1.1574074074074073E-5</v>
      </c>
      <c r="I1151" t="s">
        <v>167</v>
      </c>
      <c r="J1151" t="s">
        <v>153</v>
      </c>
      <c r="K1151" s="5">
        <f>21 / 86400</f>
        <v>2.4305555555555555E-4</v>
      </c>
      <c r="L1151" s="5">
        <f>14 / 86400</f>
        <v>1.6203703703703703E-4</v>
      </c>
    </row>
    <row r="1152" spans="1:12" x14ac:dyDescent="0.25">
      <c r="A1152" s="3">
        <v>45716.694780092592</v>
      </c>
      <c r="B1152" t="s">
        <v>396</v>
      </c>
      <c r="C1152" s="3">
        <v>45716.695162037038</v>
      </c>
      <c r="D1152" t="s">
        <v>385</v>
      </c>
      <c r="E1152" s="4">
        <v>1.7000000000000001E-2</v>
      </c>
      <c r="F1152" s="4">
        <v>518607.54599999997</v>
      </c>
      <c r="G1152" s="4">
        <v>518607.56300000002</v>
      </c>
      <c r="H1152" s="5">
        <f>0 / 86400</f>
        <v>0</v>
      </c>
      <c r="I1152" t="s">
        <v>35</v>
      </c>
      <c r="J1152" t="s">
        <v>156</v>
      </c>
      <c r="K1152" s="5">
        <f>33 / 86400</f>
        <v>3.8194444444444446E-4</v>
      </c>
      <c r="L1152" s="5">
        <f>6 / 86400</f>
        <v>6.9444444444444444E-5</v>
      </c>
    </row>
    <row r="1153" spans="1:12" x14ac:dyDescent="0.25">
      <c r="A1153" s="3">
        <v>45716.695231481484</v>
      </c>
      <c r="B1153" t="s">
        <v>396</v>
      </c>
      <c r="C1153" s="3">
        <v>45716.695416666669</v>
      </c>
      <c r="D1153" t="s">
        <v>396</v>
      </c>
      <c r="E1153" s="4">
        <v>7.0000000000000007E-2</v>
      </c>
      <c r="F1153" s="4">
        <v>518607.58899999998</v>
      </c>
      <c r="G1153" s="4">
        <v>518607.65899999999</v>
      </c>
      <c r="H1153" s="5">
        <f>0 / 86400</f>
        <v>0</v>
      </c>
      <c r="I1153" t="s">
        <v>242</v>
      </c>
      <c r="J1153" t="s">
        <v>31</v>
      </c>
      <c r="K1153" s="5">
        <f>16 / 86400</f>
        <v>1.8518518518518518E-4</v>
      </c>
      <c r="L1153" s="5">
        <f>6 / 86400</f>
        <v>6.9444444444444444E-5</v>
      </c>
    </row>
    <row r="1154" spans="1:12" x14ac:dyDescent="0.25">
      <c r="A1154" s="3">
        <v>45716.695486111115</v>
      </c>
      <c r="B1154" t="s">
        <v>396</v>
      </c>
      <c r="C1154" s="3">
        <v>45716.793935185182</v>
      </c>
      <c r="D1154" t="s">
        <v>343</v>
      </c>
      <c r="E1154" s="4">
        <v>23.791</v>
      </c>
      <c r="F1154" s="4">
        <v>518607.67300000001</v>
      </c>
      <c r="G1154" s="4">
        <v>518631.46399999998</v>
      </c>
      <c r="H1154" s="5">
        <f>3659 / 86400</f>
        <v>4.234953703703704E-2</v>
      </c>
      <c r="I1154" t="s">
        <v>318</v>
      </c>
      <c r="J1154" t="s">
        <v>151</v>
      </c>
      <c r="K1154" s="5">
        <f>8506 / 86400</f>
        <v>9.8449074074074078E-2</v>
      </c>
      <c r="L1154" s="5">
        <f>3 / 86400</f>
        <v>3.4722222222222222E-5</v>
      </c>
    </row>
    <row r="1155" spans="1:12" x14ac:dyDescent="0.25">
      <c r="A1155" s="3">
        <v>45716.793969907405</v>
      </c>
      <c r="B1155" t="s">
        <v>343</v>
      </c>
      <c r="C1155" s="3">
        <v>45716.799375000002</v>
      </c>
      <c r="D1155" t="s">
        <v>174</v>
      </c>
      <c r="E1155" s="4">
        <v>2.6</v>
      </c>
      <c r="F1155" s="4">
        <v>518631.478</v>
      </c>
      <c r="G1155" s="4">
        <v>518634.07799999998</v>
      </c>
      <c r="H1155" s="5">
        <f>150 / 86400</f>
        <v>1.736111111111111E-3</v>
      </c>
      <c r="I1155" t="s">
        <v>289</v>
      </c>
      <c r="J1155" t="s">
        <v>108</v>
      </c>
      <c r="K1155" s="5">
        <f>467 / 86400</f>
        <v>5.4050925925925924E-3</v>
      </c>
      <c r="L1155" s="5">
        <f>3 / 86400</f>
        <v>3.4722222222222222E-5</v>
      </c>
    </row>
    <row r="1156" spans="1:12" x14ac:dyDescent="0.25">
      <c r="A1156" s="3">
        <v>45716.799409722225</v>
      </c>
      <c r="B1156" t="s">
        <v>174</v>
      </c>
      <c r="C1156" s="3">
        <v>45716.843981481477</v>
      </c>
      <c r="D1156" t="s">
        <v>134</v>
      </c>
      <c r="E1156" s="4">
        <v>20.683</v>
      </c>
      <c r="F1156" s="4">
        <v>518634.08</v>
      </c>
      <c r="G1156" s="4">
        <v>518654.76299999998</v>
      </c>
      <c r="H1156" s="5">
        <f>1140 / 86400</f>
        <v>1.3194444444444444E-2</v>
      </c>
      <c r="I1156" t="s">
        <v>205</v>
      </c>
      <c r="J1156" t="s">
        <v>85</v>
      </c>
      <c r="K1156" s="5">
        <f>3851 / 86400</f>
        <v>4.4571759259259262E-2</v>
      </c>
      <c r="L1156" s="5">
        <f>3 / 86400</f>
        <v>3.4722222222222222E-5</v>
      </c>
    </row>
    <row r="1157" spans="1:12" x14ac:dyDescent="0.25">
      <c r="A1157" s="3">
        <v>45716.8440162037</v>
      </c>
      <c r="B1157" t="s">
        <v>134</v>
      </c>
      <c r="C1157" s="3">
        <v>45716.844895833332</v>
      </c>
      <c r="D1157" t="s">
        <v>136</v>
      </c>
      <c r="E1157" s="4">
        <v>2.3E-2</v>
      </c>
      <c r="F1157" s="4">
        <v>518654.76699999999</v>
      </c>
      <c r="G1157" s="4">
        <v>518654.79</v>
      </c>
      <c r="H1157" s="5">
        <f>60 / 86400</f>
        <v>6.9444444444444447E-4</v>
      </c>
      <c r="I1157" t="s">
        <v>214</v>
      </c>
      <c r="J1157" t="s">
        <v>59</v>
      </c>
      <c r="K1157" s="5">
        <f>76 / 86400</f>
        <v>8.7962962962962962E-4</v>
      </c>
      <c r="L1157" s="5">
        <f>598 / 86400</f>
        <v>6.9212962962962961E-3</v>
      </c>
    </row>
    <row r="1158" spans="1:12" x14ac:dyDescent="0.25">
      <c r="A1158" s="3">
        <v>45716.851817129631</v>
      </c>
      <c r="B1158" t="s">
        <v>136</v>
      </c>
      <c r="C1158" s="3">
        <v>45716.852187500001</v>
      </c>
      <c r="D1158" t="s">
        <v>136</v>
      </c>
      <c r="E1158" s="4">
        <v>8.9999999999999993E-3</v>
      </c>
      <c r="F1158" s="4">
        <v>518654.79</v>
      </c>
      <c r="G1158" s="4">
        <v>518654.799</v>
      </c>
      <c r="H1158" s="5">
        <f>29 / 86400</f>
        <v>3.3564814814814812E-4</v>
      </c>
      <c r="I1158" t="s">
        <v>22</v>
      </c>
      <c r="J1158" t="s">
        <v>59</v>
      </c>
      <c r="K1158" s="5">
        <f>32 / 86400</f>
        <v>3.7037037037037035E-4</v>
      </c>
      <c r="L1158" s="5">
        <f>350 / 86400</f>
        <v>4.0509259259259257E-3</v>
      </c>
    </row>
    <row r="1159" spans="1:12" x14ac:dyDescent="0.25">
      <c r="A1159" s="3">
        <v>45716.856238425928</v>
      </c>
      <c r="B1159" t="s">
        <v>136</v>
      </c>
      <c r="C1159" s="3">
        <v>45716.86042824074</v>
      </c>
      <c r="D1159" t="s">
        <v>50</v>
      </c>
      <c r="E1159" s="4">
        <v>0.83899999999999997</v>
      </c>
      <c r="F1159" s="4">
        <v>518654.799</v>
      </c>
      <c r="G1159" s="4">
        <v>518655.63799999998</v>
      </c>
      <c r="H1159" s="5">
        <f>119 / 86400</f>
        <v>1.3773148148148147E-3</v>
      </c>
      <c r="I1159" t="s">
        <v>206</v>
      </c>
      <c r="J1159" t="s">
        <v>214</v>
      </c>
      <c r="K1159" s="5">
        <f>362 / 86400</f>
        <v>4.1898148148148146E-3</v>
      </c>
      <c r="L1159" s="5">
        <f>1 / 86400</f>
        <v>1.1574074074074073E-5</v>
      </c>
    </row>
    <row r="1160" spans="1:12" x14ac:dyDescent="0.25">
      <c r="A1160" s="3">
        <v>45716.860439814816</v>
      </c>
      <c r="B1160" t="s">
        <v>50</v>
      </c>
      <c r="C1160" s="3">
        <v>45716.860902777778</v>
      </c>
      <c r="D1160" t="s">
        <v>50</v>
      </c>
      <c r="E1160" s="4">
        <v>1.4999999999999999E-2</v>
      </c>
      <c r="F1160" s="4">
        <v>518655.63900000002</v>
      </c>
      <c r="G1160" s="4">
        <v>518655.65399999998</v>
      </c>
      <c r="H1160" s="5">
        <f>30 / 86400</f>
        <v>3.4722222222222224E-4</v>
      </c>
      <c r="I1160" t="s">
        <v>132</v>
      </c>
      <c r="J1160" t="s">
        <v>59</v>
      </c>
      <c r="K1160" s="5">
        <f>40 / 86400</f>
        <v>4.6296296296296298E-4</v>
      </c>
      <c r="L1160" s="5">
        <f>4 / 86400</f>
        <v>4.6296296296296294E-5</v>
      </c>
    </row>
    <row r="1161" spans="1:12" x14ac:dyDescent="0.25">
      <c r="A1161" s="3">
        <v>45716.860949074078</v>
      </c>
      <c r="B1161" t="s">
        <v>50</v>
      </c>
      <c r="C1161" s="3">
        <v>45716.861631944441</v>
      </c>
      <c r="D1161" t="s">
        <v>50</v>
      </c>
      <c r="E1161" s="4">
        <v>1.2999999999999999E-2</v>
      </c>
      <c r="F1161" s="4">
        <v>518655.663</v>
      </c>
      <c r="G1161" s="4">
        <v>518655.67599999998</v>
      </c>
      <c r="H1161" s="5">
        <f>0 / 86400</f>
        <v>0</v>
      </c>
      <c r="I1161" t="s">
        <v>214</v>
      </c>
      <c r="J1161" t="s">
        <v>59</v>
      </c>
      <c r="K1161" s="5">
        <f>59 / 86400</f>
        <v>6.8287037037037036E-4</v>
      </c>
      <c r="L1161" s="5">
        <f>7 / 86400</f>
        <v>8.1018518518518516E-5</v>
      </c>
    </row>
    <row r="1162" spans="1:12" x14ac:dyDescent="0.25">
      <c r="A1162" s="3">
        <v>45716.861712962964</v>
      </c>
      <c r="B1162" t="s">
        <v>50</v>
      </c>
      <c r="C1162" s="3">
        <v>45716.862696759257</v>
      </c>
      <c r="D1162" t="s">
        <v>50</v>
      </c>
      <c r="E1162" s="4">
        <v>0</v>
      </c>
      <c r="F1162" s="4">
        <v>518655.67599999998</v>
      </c>
      <c r="G1162" s="4">
        <v>518655.67599999998</v>
      </c>
      <c r="H1162" s="5">
        <f>60 / 86400</f>
        <v>6.9444444444444447E-4</v>
      </c>
      <c r="I1162" t="s">
        <v>22</v>
      </c>
      <c r="J1162" t="s">
        <v>22</v>
      </c>
      <c r="K1162" s="5">
        <f>85 / 86400</f>
        <v>9.837962962962962E-4</v>
      </c>
      <c r="L1162" s="5">
        <f>11862 / 86400</f>
        <v>0.13729166666666667</v>
      </c>
    </row>
    <row r="1163" spans="1:1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</row>
    <row r="1164" spans="1:12" x14ac:dyDescent="0.2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</row>
    <row r="1165" spans="1:12" s="10" customFormat="1" ht="20.100000000000001" customHeight="1" x14ac:dyDescent="0.35">
      <c r="A1165" s="15" t="s">
        <v>515</v>
      </c>
      <c r="B1165" s="15"/>
      <c r="C1165" s="15"/>
      <c r="D1165" s="15"/>
      <c r="E1165" s="15"/>
      <c r="F1165" s="15"/>
      <c r="G1165" s="15"/>
      <c r="H1165" s="15"/>
      <c r="I1165" s="15"/>
      <c r="J1165" s="15"/>
    </row>
    <row r="1166" spans="1:1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</row>
    <row r="1167" spans="1:12" ht="30" x14ac:dyDescent="0.25">
      <c r="A1167" s="2" t="s">
        <v>6</v>
      </c>
      <c r="B1167" s="2" t="s">
        <v>7</v>
      </c>
      <c r="C1167" s="2" t="s">
        <v>8</v>
      </c>
      <c r="D1167" s="2" t="s">
        <v>9</v>
      </c>
      <c r="E1167" s="2" t="s">
        <v>10</v>
      </c>
      <c r="F1167" s="2" t="s">
        <v>11</v>
      </c>
      <c r="G1167" s="2" t="s">
        <v>12</v>
      </c>
      <c r="H1167" s="2" t="s">
        <v>13</v>
      </c>
      <c r="I1167" s="2" t="s">
        <v>14</v>
      </c>
      <c r="J1167" s="2" t="s">
        <v>15</v>
      </c>
      <c r="K1167" s="2" t="s">
        <v>16</v>
      </c>
      <c r="L1167" s="2" t="s">
        <v>17</v>
      </c>
    </row>
    <row r="1168" spans="1:12" x14ac:dyDescent="0.25">
      <c r="A1168" s="3">
        <v>45716.23101851852</v>
      </c>
      <c r="B1168" t="s">
        <v>89</v>
      </c>
      <c r="C1168" s="3">
        <v>45716.841400462959</v>
      </c>
      <c r="D1168" t="s">
        <v>90</v>
      </c>
      <c r="E1168" s="4">
        <v>200.02799999999999</v>
      </c>
      <c r="F1168" s="4">
        <v>507704.87599999999</v>
      </c>
      <c r="G1168" s="4">
        <v>507904.90399999998</v>
      </c>
      <c r="H1168" s="5">
        <f>23211 / 86400</f>
        <v>0.26864583333333331</v>
      </c>
      <c r="I1168" t="s">
        <v>91</v>
      </c>
      <c r="J1168" t="s">
        <v>72</v>
      </c>
      <c r="K1168" s="5">
        <f>52737 / 86400</f>
        <v>0.61038194444444449</v>
      </c>
      <c r="L1168" s="5">
        <f>33662 / 86400</f>
        <v>0.38960648148148147</v>
      </c>
    </row>
    <row r="1169" spans="1:1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</row>
    <row r="1170" spans="1:1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</row>
    <row r="1171" spans="1:12" s="10" customFormat="1" ht="20.100000000000001" customHeight="1" x14ac:dyDescent="0.35">
      <c r="A1171" s="15" t="s">
        <v>516</v>
      </c>
      <c r="B1171" s="15"/>
      <c r="C1171" s="15"/>
      <c r="D1171" s="15"/>
      <c r="E1171" s="15"/>
      <c r="F1171" s="15"/>
      <c r="G1171" s="15"/>
      <c r="H1171" s="15"/>
      <c r="I1171" s="15"/>
      <c r="J1171" s="15"/>
    </row>
    <row r="1172" spans="1:1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</row>
    <row r="1173" spans="1:12" ht="30" x14ac:dyDescent="0.25">
      <c r="A1173" s="2" t="s">
        <v>6</v>
      </c>
      <c r="B1173" s="2" t="s">
        <v>7</v>
      </c>
      <c r="C1173" s="2" t="s">
        <v>8</v>
      </c>
      <c r="D1173" s="2" t="s">
        <v>9</v>
      </c>
      <c r="E1173" s="2" t="s">
        <v>10</v>
      </c>
      <c r="F1173" s="2" t="s">
        <v>11</v>
      </c>
      <c r="G1173" s="2" t="s">
        <v>12</v>
      </c>
      <c r="H1173" s="2" t="s">
        <v>13</v>
      </c>
      <c r="I1173" s="2" t="s">
        <v>14</v>
      </c>
      <c r="J1173" s="2" t="s">
        <v>15</v>
      </c>
      <c r="K1173" s="2" t="s">
        <v>16</v>
      </c>
      <c r="L1173" s="2" t="s">
        <v>17</v>
      </c>
    </row>
    <row r="1174" spans="1:12" x14ac:dyDescent="0.25">
      <c r="A1174" s="3">
        <v>45716.209791666668</v>
      </c>
      <c r="B1174" t="s">
        <v>92</v>
      </c>
      <c r="C1174" s="3">
        <v>45716.210381944446</v>
      </c>
      <c r="D1174" t="s">
        <v>92</v>
      </c>
      <c r="E1174" s="4">
        <v>2E-3</v>
      </c>
      <c r="F1174" s="4">
        <v>413069.54499999998</v>
      </c>
      <c r="G1174" s="4">
        <v>413069.54700000002</v>
      </c>
      <c r="H1174" s="5">
        <f>39 / 86400</f>
        <v>4.5138888888888887E-4</v>
      </c>
      <c r="I1174" t="s">
        <v>22</v>
      </c>
      <c r="J1174" t="s">
        <v>22</v>
      </c>
      <c r="K1174" s="5">
        <f>51 / 86400</f>
        <v>5.9027777777777778E-4</v>
      </c>
      <c r="L1174" s="5">
        <f>18177 / 86400</f>
        <v>0.21038194444444444</v>
      </c>
    </row>
    <row r="1175" spans="1:12" x14ac:dyDescent="0.25">
      <c r="A1175" s="3">
        <v>45716.210972222223</v>
      </c>
      <c r="B1175" t="s">
        <v>92</v>
      </c>
      <c r="C1175" s="3">
        <v>45716.224548611106</v>
      </c>
      <c r="D1175" t="s">
        <v>36</v>
      </c>
      <c r="E1175" s="4">
        <v>9.7449999999999992</v>
      </c>
      <c r="F1175" s="4">
        <v>413069.54700000002</v>
      </c>
      <c r="G1175" s="4">
        <v>413079.29200000002</v>
      </c>
      <c r="H1175" s="5">
        <f>159 / 86400</f>
        <v>1.8402777777777777E-3</v>
      </c>
      <c r="I1175" t="s">
        <v>173</v>
      </c>
      <c r="J1175" t="s">
        <v>149</v>
      </c>
      <c r="K1175" s="5">
        <f>1172 / 86400</f>
        <v>1.3564814814814814E-2</v>
      </c>
      <c r="L1175" s="5">
        <f>1174 / 86400</f>
        <v>1.3587962962962963E-2</v>
      </c>
    </row>
    <row r="1176" spans="1:12" x14ac:dyDescent="0.25">
      <c r="A1176" s="3">
        <v>45716.238136574073</v>
      </c>
      <c r="B1176" t="s">
        <v>398</v>
      </c>
      <c r="C1176" s="3">
        <v>45716.451111111106</v>
      </c>
      <c r="D1176" t="s">
        <v>136</v>
      </c>
      <c r="E1176" s="4">
        <v>86.510999999999996</v>
      </c>
      <c r="F1176" s="4">
        <v>413079.29200000002</v>
      </c>
      <c r="G1176" s="4">
        <v>413165.80300000001</v>
      </c>
      <c r="H1176" s="5">
        <f>5659 / 86400</f>
        <v>6.5497685185185187E-2</v>
      </c>
      <c r="I1176" t="s">
        <v>58</v>
      </c>
      <c r="J1176" t="s">
        <v>62</v>
      </c>
      <c r="K1176" s="5">
        <f>18400 / 86400</f>
        <v>0.21296296296296297</v>
      </c>
      <c r="L1176" s="5">
        <f>1162 / 86400</f>
        <v>1.3449074074074073E-2</v>
      </c>
    </row>
    <row r="1177" spans="1:12" x14ac:dyDescent="0.25">
      <c r="A1177" s="3">
        <v>45716.464560185181</v>
      </c>
      <c r="B1177" t="s">
        <v>136</v>
      </c>
      <c r="C1177" s="3">
        <v>45716.466446759259</v>
      </c>
      <c r="D1177" t="s">
        <v>136</v>
      </c>
      <c r="E1177" s="4">
        <v>0.188</v>
      </c>
      <c r="F1177" s="4">
        <v>413165.80300000001</v>
      </c>
      <c r="G1177" s="4">
        <v>413165.99099999998</v>
      </c>
      <c r="H1177" s="5">
        <f>59 / 86400</f>
        <v>6.8287037037037036E-4</v>
      </c>
      <c r="I1177" t="s">
        <v>72</v>
      </c>
      <c r="J1177" t="s">
        <v>147</v>
      </c>
      <c r="K1177" s="5">
        <f>162 / 86400</f>
        <v>1.8749999999999999E-3</v>
      </c>
      <c r="L1177" s="5">
        <f>131 / 86400</f>
        <v>1.5162037037037036E-3</v>
      </c>
    </row>
    <row r="1178" spans="1:12" x14ac:dyDescent="0.25">
      <c r="A1178" s="3">
        <v>45716.467962962968</v>
      </c>
      <c r="B1178" t="s">
        <v>136</v>
      </c>
      <c r="C1178" s="3">
        <v>45716.472962962958</v>
      </c>
      <c r="D1178" t="s">
        <v>161</v>
      </c>
      <c r="E1178" s="4">
        <v>1.3939999999999999</v>
      </c>
      <c r="F1178" s="4">
        <v>413165.99099999998</v>
      </c>
      <c r="G1178" s="4">
        <v>413167.38500000001</v>
      </c>
      <c r="H1178" s="5">
        <f>139 / 86400</f>
        <v>1.6087962962962963E-3</v>
      </c>
      <c r="I1178" t="s">
        <v>149</v>
      </c>
      <c r="J1178" t="s">
        <v>28</v>
      </c>
      <c r="K1178" s="5">
        <f>431 / 86400</f>
        <v>4.9884259259259257E-3</v>
      </c>
      <c r="L1178" s="5">
        <f>1187 / 86400</f>
        <v>1.3738425925925926E-2</v>
      </c>
    </row>
    <row r="1179" spans="1:12" x14ac:dyDescent="0.25">
      <c r="A1179" s="3">
        <v>45716.486701388887</v>
      </c>
      <c r="B1179" t="s">
        <v>161</v>
      </c>
      <c r="C1179" s="3">
        <v>45716.769432870366</v>
      </c>
      <c r="D1179" t="s">
        <v>92</v>
      </c>
      <c r="E1179" s="4">
        <v>114.038</v>
      </c>
      <c r="F1179" s="4">
        <v>413167.38500000001</v>
      </c>
      <c r="G1179" s="4">
        <v>413281.42300000001</v>
      </c>
      <c r="H1179" s="5">
        <f>8280 / 86400</f>
        <v>9.583333333333334E-2</v>
      </c>
      <c r="I1179" t="s">
        <v>93</v>
      </c>
      <c r="J1179" t="s">
        <v>62</v>
      </c>
      <c r="K1179" s="5">
        <f>24427 / 86400</f>
        <v>0.28271990740740743</v>
      </c>
      <c r="L1179" s="5">
        <f>728 / 86400</f>
        <v>8.4259259259259253E-3</v>
      </c>
    </row>
    <row r="1180" spans="1:12" x14ac:dyDescent="0.25">
      <c r="A1180" s="3">
        <v>45716.777858796297</v>
      </c>
      <c r="B1180" t="s">
        <v>92</v>
      </c>
      <c r="C1180" s="3">
        <v>45716.777939814812</v>
      </c>
      <c r="D1180" t="s">
        <v>92</v>
      </c>
      <c r="E1180" s="4">
        <v>0</v>
      </c>
      <c r="F1180" s="4">
        <v>413281.42300000001</v>
      </c>
      <c r="G1180" s="4">
        <v>413281.42300000001</v>
      </c>
      <c r="H1180" s="5">
        <f>0 / 86400</f>
        <v>0</v>
      </c>
      <c r="I1180" t="s">
        <v>22</v>
      </c>
      <c r="J1180" t="s">
        <v>22</v>
      </c>
      <c r="K1180" s="5">
        <f>6 / 86400</f>
        <v>6.9444444444444444E-5</v>
      </c>
      <c r="L1180" s="5">
        <f>19185 / 86400</f>
        <v>0.2220486111111111</v>
      </c>
    </row>
    <row r="1181" spans="1:1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s="10" customFormat="1" ht="20.100000000000001" customHeight="1" x14ac:dyDescent="0.35">
      <c r="A1183" s="15" t="s">
        <v>517</v>
      </c>
      <c r="B1183" s="15"/>
      <c r="C1183" s="15"/>
      <c r="D1183" s="15"/>
      <c r="E1183" s="15"/>
      <c r="F1183" s="15"/>
      <c r="G1183" s="15"/>
      <c r="H1183" s="15"/>
      <c r="I1183" s="15"/>
      <c r="J1183" s="15"/>
    </row>
    <row r="1184" spans="1:12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</row>
    <row r="1185" spans="1:12" ht="30" x14ac:dyDescent="0.25">
      <c r="A1185" s="2" t="s">
        <v>6</v>
      </c>
      <c r="B1185" s="2" t="s">
        <v>7</v>
      </c>
      <c r="C1185" s="2" t="s">
        <v>8</v>
      </c>
      <c r="D1185" s="2" t="s">
        <v>9</v>
      </c>
      <c r="E1185" s="2" t="s">
        <v>10</v>
      </c>
      <c r="F1185" s="2" t="s">
        <v>11</v>
      </c>
      <c r="G1185" s="2" t="s">
        <v>12</v>
      </c>
      <c r="H1185" s="2" t="s">
        <v>13</v>
      </c>
      <c r="I1185" s="2" t="s">
        <v>14</v>
      </c>
      <c r="J1185" s="2" t="s">
        <v>15</v>
      </c>
      <c r="K1185" s="2" t="s">
        <v>16</v>
      </c>
      <c r="L1185" s="2" t="s">
        <v>17</v>
      </c>
    </row>
    <row r="1186" spans="1:12" x14ac:dyDescent="0.25">
      <c r="A1186" s="3">
        <v>45716.148842592593</v>
      </c>
      <c r="B1186" t="s">
        <v>26</v>
      </c>
      <c r="C1186" s="3">
        <v>45716.218136574069</v>
      </c>
      <c r="D1186" t="s">
        <v>150</v>
      </c>
      <c r="E1186" s="4">
        <v>34.584000000000003</v>
      </c>
      <c r="F1186" s="4">
        <v>444162.16899999999</v>
      </c>
      <c r="G1186" s="4">
        <v>444196.75300000003</v>
      </c>
      <c r="H1186" s="5">
        <f>979 / 86400</f>
        <v>1.1331018518518518E-2</v>
      </c>
      <c r="I1186" t="s">
        <v>58</v>
      </c>
      <c r="J1186" t="s">
        <v>190</v>
      </c>
      <c r="K1186" s="5">
        <f>5987 / 86400</f>
        <v>6.9293981481481484E-2</v>
      </c>
      <c r="L1186" s="5">
        <f>13772 / 86400</f>
        <v>0.15939814814814815</v>
      </c>
    </row>
    <row r="1187" spans="1:12" x14ac:dyDescent="0.25">
      <c r="A1187" s="3">
        <v>45716.228692129633</v>
      </c>
      <c r="B1187" t="s">
        <v>150</v>
      </c>
      <c r="C1187" s="3">
        <v>45716.340046296296</v>
      </c>
      <c r="D1187" t="s">
        <v>131</v>
      </c>
      <c r="E1187" s="4">
        <v>50.636000000000003</v>
      </c>
      <c r="F1187" s="4">
        <v>444196.75300000003</v>
      </c>
      <c r="G1187" s="4">
        <v>444247.38900000002</v>
      </c>
      <c r="H1187" s="5">
        <f>2720 / 86400</f>
        <v>3.1481481481481478E-2</v>
      </c>
      <c r="I1187" t="s">
        <v>129</v>
      </c>
      <c r="J1187" t="s">
        <v>85</v>
      </c>
      <c r="K1187" s="5">
        <f>9620 / 86400</f>
        <v>0.11134259259259259</v>
      </c>
      <c r="L1187" s="5">
        <f>1797 / 86400</f>
        <v>2.0798611111111111E-2</v>
      </c>
    </row>
    <row r="1188" spans="1:12" x14ac:dyDescent="0.25">
      <c r="A1188" s="3">
        <v>45716.360844907409</v>
      </c>
      <c r="B1188" t="s">
        <v>131</v>
      </c>
      <c r="C1188" s="3">
        <v>45716.48538194444</v>
      </c>
      <c r="D1188" t="s">
        <v>387</v>
      </c>
      <c r="E1188" s="4">
        <v>51.081000000000003</v>
      </c>
      <c r="F1188" s="4">
        <v>444247.38900000002</v>
      </c>
      <c r="G1188" s="4">
        <v>444298.47</v>
      </c>
      <c r="H1188" s="5">
        <f>3020 / 86400</f>
        <v>3.4953703703703702E-2</v>
      </c>
      <c r="I1188" t="s">
        <v>75</v>
      </c>
      <c r="J1188" t="s">
        <v>62</v>
      </c>
      <c r="K1188" s="5">
        <f>10760 / 86400</f>
        <v>0.12453703703703704</v>
      </c>
      <c r="L1188" s="5">
        <f>3586 / 86400</f>
        <v>4.1504629629629627E-2</v>
      </c>
    </row>
    <row r="1189" spans="1:12" x14ac:dyDescent="0.25">
      <c r="A1189" s="3">
        <v>45716.526886574073</v>
      </c>
      <c r="B1189" t="s">
        <v>387</v>
      </c>
      <c r="C1189" s="3">
        <v>45716.66506944444</v>
      </c>
      <c r="D1189" t="s">
        <v>317</v>
      </c>
      <c r="E1189" s="4">
        <v>46.787999999999997</v>
      </c>
      <c r="F1189" s="4">
        <v>444298.47</v>
      </c>
      <c r="G1189" s="4">
        <v>444345.25799999997</v>
      </c>
      <c r="H1189" s="5">
        <f>4518 / 86400</f>
        <v>5.2291666666666667E-2</v>
      </c>
      <c r="I1189" t="s">
        <v>70</v>
      </c>
      <c r="J1189" t="s">
        <v>72</v>
      </c>
      <c r="K1189" s="5">
        <f>11938 / 86400</f>
        <v>0.13817129629629629</v>
      </c>
      <c r="L1189" s="5">
        <f>766 / 86400</f>
        <v>8.86574074074074E-3</v>
      </c>
    </row>
    <row r="1190" spans="1:12" x14ac:dyDescent="0.25">
      <c r="A1190" s="3">
        <v>45716.673935185187</v>
      </c>
      <c r="B1190" t="s">
        <v>317</v>
      </c>
      <c r="C1190" s="3">
        <v>45716.712627314817</v>
      </c>
      <c r="D1190" t="s">
        <v>148</v>
      </c>
      <c r="E1190" s="4">
        <v>20.716000000000001</v>
      </c>
      <c r="F1190" s="4">
        <v>444345.25799999997</v>
      </c>
      <c r="G1190" s="4">
        <v>444365.97399999999</v>
      </c>
      <c r="H1190" s="5">
        <f>700 / 86400</f>
        <v>8.1018518518518514E-3</v>
      </c>
      <c r="I1190" t="s">
        <v>87</v>
      </c>
      <c r="J1190" t="s">
        <v>130</v>
      </c>
      <c r="K1190" s="5">
        <f>3342 / 86400</f>
        <v>3.8680555555555558E-2</v>
      </c>
      <c r="L1190" s="5">
        <f>251 / 86400</f>
        <v>2.9050925925925928E-3</v>
      </c>
    </row>
    <row r="1191" spans="1:12" x14ac:dyDescent="0.25">
      <c r="A1191" s="3">
        <v>45716.715532407412</v>
      </c>
      <c r="B1191" t="s">
        <v>148</v>
      </c>
      <c r="C1191" s="3">
        <v>45716.719189814816</v>
      </c>
      <c r="D1191" t="s">
        <v>26</v>
      </c>
      <c r="E1191" s="4">
        <v>0.83599999999999997</v>
      </c>
      <c r="F1191" s="4">
        <v>444365.97399999999</v>
      </c>
      <c r="G1191" s="4">
        <v>444366.81</v>
      </c>
      <c r="H1191" s="5">
        <f>119 / 86400</f>
        <v>1.3773148148148147E-3</v>
      </c>
      <c r="I1191" t="s">
        <v>153</v>
      </c>
      <c r="J1191" t="s">
        <v>151</v>
      </c>
      <c r="K1191" s="5">
        <f>316 / 86400</f>
        <v>3.6574074074074074E-3</v>
      </c>
      <c r="L1191" s="5">
        <f>5840 / 86400</f>
        <v>6.7592592592592593E-2</v>
      </c>
    </row>
    <row r="1192" spans="1:12" x14ac:dyDescent="0.25">
      <c r="A1192" s="3">
        <v>45716.786782407406</v>
      </c>
      <c r="B1192" t="s">
        <v>26</v>
      </c>
      <c r="C1192" s="3">
        <v>45716.79278935185</v>
      </c>
      <c r="D1192" t="s">
        <v>148</v>
      </c>
      <c r="E1192" s="4">
        <v>2.2519999999999998</v>
      </c>
      <c r="F1192" s="4">
        <v>444366.81</v>
      </c>
      <c r="G1192" s="4">
        <v>444369.06199999998</v>
      </c>
      <c r="H1192" s="5">
        <f>39 / 86400</f>
        <v>4.5138888888888887E-4</v>
      </c>
      <c r="I1192" t="s">
        <v>149</v>
      </c>
      <c r="J1192" t="s">
        <v>31</v>
      </c>
      <c r="K1192" s="5">
        <f>519 / 86400</f>
        <v>6.0069444444444441E-3</v>
      </c>
      <c r="L1192" s="5">
        <f>403 / 86400</f>
        <v>4.6643518518518518E-3</v>
      </c>
    </row>
    <row r="1193" spans="1:12" x14ac:dyDescent="0.25">
      <c r="A1193" s="3">
        <v>45716.797453703708</v>
      </c>
      <c r="B1193" t="s">
        <v>148</v>
      </c>
      <c r="C1193" s="3">
        <v>45716.801724537036</v>
      </c>
      <c r="D1193" t="s">
        <v>26</v>
      </c>
      <c r="E1193" s="4">
        <v>0.627</v>
      </c>
      <c r="F1193" s="4">
        <v>444369.06199999998</v>
      </c>
      <c r="G1193" s="4">
        <v>444369.68900000001</v>
      </c>
      <c r="H1193" s="5">
        <f>140 / 86400</f>
        <v>1.6203703703703703E-3</v>
      </c>
      <c r="I1193" t="s">
        <v>72</v>
      </c>
      <c r="J1193" t="s">
        <v>137</v>
      </c>
      <c r="K1193" s="5">
        <f>369 / 86400</f>
        <v>4.2708333333333331E-3</v>
      </c>
      <c r="L1193" s="5">
        <f>17130 / 86400</f>
        <v>0.19826388888888888</v>
      </c>
    </row>
    <row r="1194" spans="1:12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</row>
    <row r="1195" spans="1:12" x14ac:dyDescent="0.2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</row>
    <row r="1196" spans="1:12" s="10" customFormat="1" ht="20.100000000000001" customHeight="1" x14ac:dyDescent="0.35">
      <c r="A1196" s="15" t="s">
        <v>518</v>
      </c>
      <c r="B1196" s="15"/>
      <c r="C1196" s="15"/>
      <c r="D1196" s="15"/>
      <c r="E1196" s="15"/>
      <c r="F1196" s="15"/>
      <c r="G1196" s="15"/>
      <c r="H1196" s="15"/>
      <c r="I1196" s="15"/>
      <c r="J1196" s="15"/>
    </row>
    <row r="1197" spans="1:1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</row>
    <row r="1198" spans="1:12" ht="30" x14ac:dyDescent="0.25">
      <c r="A1198" s="2" t="s">
        <v>6</v>
      </c>
      <c r="B1198" s="2" t="s">
        <v>7</v>
      </c>
      <c r="C1198" s="2" t="s">
        <v>8</v>
      </c>
      <c r="D1198" s="2" t="s">
        <v>9</v>
      </c>
      <c r="E1198" s="2" t="s">
        <v>10</v>
      </c>
      <c r="F1198" s="2" t="s">
        <v>11</v>
      </c>
      <c r="G1198" s="2" t="s">
        <v>12</v>
      </c>
      <c r="H1198" s="2" t="s">
        <v>13</v>
      </c>
      <c r="I1198" s="2" t="s">
        <v>14</v>
      </c>
      <c r="J1198" s="2" t="s">
        <v>15</v>
      </c>
      <c r="K1198" s="2" t="s">
        <v>16</v>
      </c>
      <c r="L1198" s="2" t="s">
        <v>17</v>
      </c>
    </row>
    <row r="1199" spans="1:12" x14ac:dyDescent="0.25">
      <c r="A1199" s="3">
        <v>45716.251516203702</v>
      </c>
      <c r="B1199" t="s">
        <v>94</v>
      </c>
      <c r="C1199" s="3">
        <v>45716.390497685185</v>
      </c>
      <c r="D1199" t="s">
        <v>387</v>
      </c>
      <c r="E1199" s="4">
        <v>46.857999999999997</v>
      </c>
      <c r="F1199" s="4">
        <v>476344.41600000003</v>
      </c>
      <c r="G1199" s="4">
        <v>476391.27399999998</v>
      </c>
      <c r="H1199" s="5">
        <f>4858 / 86400</f>
        <v>5.6226851851851854E-2</v>
      </c>
      <c r="I1199" t="s">
        <v>91</v>
      </c>
      <c r="J1199" t="s">
        <v>72</v>
      </c>
      <c r="K1199" s="5">
        <f>12007 / 86400</f>
        <v>0.13896990740740742</v>
      </c>
      <c r="L1199" s="5">
        <f>21835 / 86400</f>
        <v>0.25271990740740741</v>
      </c>
    </row>
    <row r="1200" spans="1:12" x14ac:dyDescent="0.25">
      <c r="A1200" s="3">
        <v>45716.391701388886</v>
      </c>
      <c r="B1200" t="s">
        <v>387</v>
      </c>
      <c r="C1200" s="3">
        <v>45716.534756944442</v>
      </c>
      <c r="D1200" t="s">
        <v>119</v>
      </c>
      <c r="E1200" s="4">
        <v>50.360999999999997</v>
      </c>
      <c r="F1200" s="4">
        <v>476391.27399999998</v>
      </c>
      <c r="G1200" s="4">
        <v>476441.63500000001</v>
      </c>
      <c r="H1200" s="5">
        <f>4219 / 86400</f>
        <v>4.8831018518518517E-2</v>
      </c>
      <c r="I1200" t="s">
        <v>39</v>
      </c>
      <c r="J1200" t="s">
        <v>35</v>
      </c>
      <c r="K1200" s="5">
        <f>12360 / 86400</f>
        <v>0.14305555555555555</v>
      </c>
      <c r="L1200" s="5">
        <f>1944 / 86400</f>
        <v>2.2499999999999999E-2</v>
      </c>
    </row>
    <row r="1201" spans="1:12" x14ac:dyDescent="0.25">
      <c r="A1201" s="3">
        <v>45716.557256944448</v>
      </c>
      <c r="B1201" t="s">
        <v>119</v>
      </c>
      <c r="C1201" s="3">
        <v>45716.560393518521</v>
      </c>
      <c r="D1201" t="s">
        <v>161</v>
      </c>
      <c r="E1201" s="4">
        <v>0.67800000000000005</v>
      </c>
      <c r="F1201" s="4">
        <v>476441.63500000001</v>
      </c>
      <c r="G1201" s="4">
        <v>476442.31300000002</v>
      </c>
      <c r="H1201" s="5">
        <f>80 / 86400</f>
        <v>9.2592592592592596E-4</v>
      </c>
      <c r="I1201" t="s">
        <v>145</v>
      </c>
      <c r="J1201" t="s">
        <v>132</v>
      </c>
      <c r="K1201" s="5">
        <f>271 / 86400</f>
        <v>3.1365740740740742E-3</v>
      </c>
      <c r="L1201" s="5">
        <f>1361 / 86400</f>
        <v>1.5752314814814816E-2</v>
      </c>
    </row>
    <row r="1202" spans="1:12" x14ac:dyDescent="0.25">
      <c r="A1202" s="3">
        <v>45716.576145833329</v>
      </c>
      <c r="B1202" t="s">
        <v>161</v>
      </c>
      <c r="C1202" s="3">
        <v>45716.582094907411</v>
      </c>
      <c r="D1202" t="s">
        <v>463</v>
      </c>
      <c r="E1202" s="4">
        <v>1.528</v>
      </c>
      <c r="F1202" s="4">
        <v>476442.31300000002</v>
      </c>
      <c r="G1202" s="4">
        <v>476443.84100000001</v>
      </c>
      <c r="H1202" s="5">
        <f>179 / 86400</f>
        <v>2.0717592592592593E-3</v>
      </c>
      <c r="I1202" t="s">
        <v>164</v>
      </c>
      <c r="J1202" t="s">
        <v>100</v>
      </c>
      <c r="K1202" s="5">
        <f>513 / 86400</f>
        <v>5.9375000000000001E-3</v>
      </c>
      <c r="L1202" s="5">
        <f>607 / 86400</f>
        <v>7.0254629629629634E-3</v>
      </c>
    </row>
    <row r="1203" spans="1:12" x14ac:dyDescent="0.25">
      <c r="A1203" s="3">
        <v>45716.589120370365</v>
      </c>
      <c r="B1203" t="s">
        <v>463</v>
      </c>
      <c r="C1203" s="3">
        <v>45716.714178240742</v>
      </c>
      <c r="D1203" t="s">
        <v>150</v>
      </c>
      <c r="E1203" s="4">
        <v>49.112000000000002</v>
      </c>
      <c r="F1203" s="4">
        <v>476443.84100000001</v>
      </c>
      <c r="G1203" s="4">
        <v>476492.95299999998</v>
      </c>
      <c r="H1203" s="5">
        <f>3740 / 86400</f>
        <v>4.3287037037037034E-2</v>
      </c>
      <c r="I1203" t="s">
        <v>155</v>
      </c>
      <c r="J1203" t="s">
        <v>31</v>
      </c>
      <c r="K1203" s="5">
        <f>10805 / 86400</f>
        <v>0.12505787037037036</v>
      </c>
      <c r="L1203" s="5">
        <f>71 / 86400</f>
        <v>8.2175925925925927E-4</v>
      </c>
    </row>
    <row r="1204" spans="1:12" x14ac:dyDescent="0.25">
      <c r="A1204" s="3">
        <v>45716.714999999997</v>
      </c>
      <c r="B1204" t="s">
        <v>150</v>
      </c>
      <c r="C1204" s="3">
        <v>45716.860613425924</v>
      </c>
      <c r="D1204" t="s">
        <v>124</v>
      </c>
      <c r="E1204" s="4">
        <v>46.319000000000003</v>
      </c>
      <c r="F1204" s="4">
        <v>476492.95299999998</v>
      </c>
      <c r="G1204" s="4">
        <v>476539.272</v>
      </c>
      <c r="H1204" s="5">
        <f>4618 / 86400</f>
        <v>5.3449074074074072E-2</v>
      </c>
      <c r="I1204" t="s">
        <v>56</v>
      </c>
      <c r="J1204" t="s">
        <v>64</v>
      </c>
      <c r="K1204" s="5">
        <f>12580 / 86400</f>
        <v>0.14560185185185184</v>
      </c>
      <c r="L1204" s="5">
        <f>705 / 86400</f>
        <v>8.1597222222222227E-3</v>
      </c>
    </row>
    <row r="1205" spans="1:12" x14ac:dyDescent="0.25">
      <c r="A1205" s="3">
        <v>45716.868773148148</v>
      </c>
      <c r="B1205" t="s">
        <v>124</v>
      </c>
      <c r="C1205" s="3">
        <v>45716.869606481487</v>
      </c>
      <c r="D1205" t="s">
        <v>297</v>
      </c>
      <c r="E1205" s="4">
        <v>0.01</v>
      </c>
      <c r="F1205" s="4">
        <v>476539.272</v>
      </c>
      <c r="G1205" s="4">
        <v>476539.28200000001</v>
      </c>
      <c r="H1205" s="5">
        <f>39 / 86400</f>
        <v>4.5138888888888887E-4</v>
      </c>
      <c r="I1205" t="s">
        <v>33</v>
      </c>
      <c r="J1205" t="s">
        <v>59</v>
      </c>
      <c r="K1205" s="5">
        <f>72 / 86400</f>
        <v>8.3333333333333339E-4</v>
      </c>
      <c r="L1205" s="5">
        <f>103 / 86400</f>
        <v>1.1921296296296296E-3</v>
      </c>
    </row>
    <row r="1206" spans="1:12" x14ac:dyDescent="0.25">
      <c r="A1206" s="3">
        <v>45716.870798611111</v>
      </c>
      <c r="B1206" t="s">
        <v>297</v>
      </c>
      <c r="C1206" s="3">
        <v>45716.875173611115</v>
      </c>
      <c r="D1206" t="s">
        <v>94</v>
      </c>
      <c r="E1206" s="4">
        <v>0.79800000000000004</v>
      </c>
      <c r="F1206" s="4">
        <v>476539.28200000001</v>
      </c>
      <c r="G1206" s="4">
        <v>476540.08</v>
      </c>
      <c r="H1206" s="5">
        <f>80 / 86400</f>
        <v>9.2592592592592596E-4</v>
      </c>
      <c r="I1206" t="s">
        <v>108</v>
      </c>
      <c r="J1206" t="s">
        <v>214</v>
      </c>
      <c r="K1206" s="5">
        <f>378 / 86400</f>
        <v>4.3750000000000004E-3</v>
      </c>
      <c r="L1206" s="5">
        <f>10784 / 86400</f>
        <v>0.12481481481481481</v>
      </c>
    </row>
    <row r="1207" spans="1:12" x14ac:dyDescent="0.2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</row>
    <row r="1208" spans="1:1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</row>
    <row r="1209" spans="1:12" s="10" customFormat="1" ht="20.100000000000001" customHeight="1" x14ac:dyDescent="0.35">
      <c r="A1209" s="15" t="s">
        <v>519</v>
      </c>
      <c r="B1209" s="15"/>
      <c r="C1209" s="15"/>
      <c r="D1209" s="15"/>
      <c r="E1209" s="15"/>
      <c r="F1209" s="15"/>
      <c r="G1209" s="15"/>
      <c r="H1209" s="15"/>
      <c r="I1209" s="15"/>
      <c r="J1209" s="15"/>
    </row>
    <row r="1210" spans="1:12" x14ac:dyDescent="0.2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</row>
    <row r="1211" spans="1:12" ht="30" x14ac:dyDescent="0.25">
      <c r="A1211" s="2" t="s">
        <v>6</v>
      </c>
      <c r="B1211" s="2" t="s">
        <v>7</v>
      </c>
      <c r="C1211" s="2" t="s">
        <v>8</v>
      </c>
      <c r="D1211" s="2" t="s">
        <v>9</v>
      </c>
      <c r="E1211" s="2" t="s">
        <v>10</v>
      </c>
      <c r="F1211" s="2" t="s">
        <v>11</v>
      </c>
      <c r="G1211" s="2" t="s">
        <v>12</v>
      </c>
      <c r="H1211" s="2" t="s">
        <v>13</v>
      </c>
      <c r="I1211" s="2" t="s">
        <v>14</v>
      </c>
      <c r="J1211" s="2" t="s">
        <v>15</v>
      </c>
      <c r="K1211" s="2" t="s">
        <v>16</v>
      </c>
      <c r="L1211" s="2" t="s">
        <v>17</v>
      </c>
    </row>
    <row r="1212" spans="1:12" x14ac:dyDescent="0.25">
      <c r="A1212" s="3">
        <v>45716.007013888884</v>
      </c>
      <c r="B1212" t="s">
        <v>89</v>
      </c>
      <c r="C1212" s="3">
        <v>45716.011400462958</v>
      </c>
      <c r="D1212" t="s">
        <v>90</v>
      </c>
      <c r="E1212" s="4">
        <v>1.429</v>
      </c>
      <c r="F1212" s="4">
        <v>416792.82699999999</v>
      </c>
      <c r="G1212" s="4">
        <v>416794.25599999999</v>
      </c>
      <c r="H1212" s="5">
        <f>120 / 86400</f>
        <v>1.3888888888888889E-3</v>
      </c>
      <c r="I1212" t="s">
        <v>219</v>
      </c>
      <c r="J1212" t="s">
        <v>72</v>
      </c>
      <c r="K1212" s="5">
        <f>378 / 86400</f>
        <v>4.3750000000000004E-3</v>
      </c>
      <c r="L1212" s="5">
        <f>1101 / 86400</f>
        <v>1.2743055555555556E-2</v>
      </c>
    </row>
    <row r="1213" spans="1:12" x14ac:dyDescent="0.25">
      <c r="A1213" s="3">
        <v>45716.017129629632</v>
      </c>
      <c r="B1213" t="s">
        <v>90</v>
      </c>
      <c r="C1213" s="3">
        <v>45716.01767361111</v>
      </c>
      <c r="D1213" t="s">
        <v>90</v>
      </c>
      <c r="E1213" s="4">
        <v>1.2999999999999999E-2</v>
      </c>
      <c r="F1213" s="4">
        <v>416794.25599999999</v>
      </c>
      <c r="G1213" s="4">
        <v>416794.26899999997</v>
      </c>
      <c r="H1213" s="5">
        <f>19 / 86400</f>
        <v>2.199074074074074E-4</v>
      </c>
      <c r="I1213" t="s">
        <v>137</v>
      </c>
      <c r="J1213" t="s">
        <v>59</v>
      </c>
      <c r="K1213" s="5">
        <f>46 / 86400</f>
        <v>5.3240740740740744E-4</v>
      </c>
      <c r="L1213" s="5">
        <f>2041 / 86400</f>
        <v>2.3622685185185184E-2</v>
      </c>
    </row>
    <row r="1214" spans="1:12" x14ac:dyDescent="0.25">
      <c r="A1214" s="3">
        <v>45716.041296296295</v>
      </c>
      <c r="B1214" t="s">
        <v>90</v>
      </c>
      <c r="C1214" s="3">
        <v>45716.041874999995</v>
      </c>
      <c r="D1214" t="s">
        <v>90</v>
      </c>
      <c r="E1214" s="4">
        <v>7.0000000000000001E-3</v>
      </c>
      <c r="F1214" s="4">
        <v>416794.26899999997</v>
      </c>
      <c r="G1214" s="4">
        <v>416794.27600000001</v>
      </c>
      <c r="H1214" s="5">
        <f>39 / 86400</f>
        <v>4.5138888888888887E-4</v>
      </c>
      <c r="I1214" t="s">
        <v>22</v>
      </c>
      <c r="J1214" t="s">
        <v>59</v>
      </c>
      <c r="K1214" s="5">
        <f>49 / 86400</f>
        <v>5.6712962962962967E-4</v>
      </c>
      <c r="L1214" s="5">
        <f>19725 / 86400</f>
        <v>0.2282986111111111</v>
      </c>
    </row>
    <row r="1215" spans="1:12" x14ac:dyDescent="0.25">
      <c r="A1215" s="3">
        <v>45716.270173611112</v>
      </c>
      <c r="B1215" t="s">
        <v>90</v>
      </c>
      <c r="C1215" s="3">
        <v>45716.2731712963</v>
      </c>
      <c r="D1215" t="s">
        <v>90</v>
      </c>
      <c r="E1215" s="4">
        <v>2.3E-2</v>
      </c>
      <c r="F1215" s="4">
        <v>416794.27600000001</v>
      </c>
      <c r="G1215" s="4">
        <v>416794.299</v>
      </c>
      <c r="H1215" s="5">
        <f>199 / 86400</f>
        <v>2.3032407407407407E-3</v>
      </c>
      <c r="I1215" t="s">
        <v>156</v>
      </c>
      <c r="J1215" t="s">
        <v>22</v>
      </c>
      <c r="K1215" s="5">
        <f>258 / 86400</f>
        <v>2.9861111111111113E-3</v>
      </c>
      <c r="L1215" s="5">
        <f>6075 / 86400</f>
        <v>7.03125E-2</v>
      </c>
    </row>
    <row r="1216" spans="1:12" x14ac:dyDescent="0.25">
      <c r="A1216" s="3">
        <v>45716.3434837963</v>
      </c>
      <c r="B1216" t="s">
        <v>90</v>
      </c>
      <c r="C1216" s="3">
        <v>45716.344201388885</v>
      </c>
      <c r="D1216" t="s">
        <v>90</v>
      </c>
      <c r="E1216" s="4">
        <v>1.4E-2</v>
      </c>
      <c r="F1216" s="4">
        <v>416794.299</v>
      </c>
      <c r="G1216" s="4">
        <v>416794.31300000002</v>
      </c>
      <c r="H1216" s="5">
        <f>39 / 86400</f>
        <v>4.5138888888888887E-4</v>
      </c>
      <c r="I1216" t="s">
        <v>25</v>
      </c>
      <c r="J1216" t="s">
        <v>59</v>
      </c>
      <c r="K1216" s="5">
        <f>62 / 86400</f>
        <v>7.1759259259259259E-4</v>
      </c>
      <c r="L1216" s="5">
        <f>10657 / 86400</f>
        <v>0.1233449074074074</v>
      </c>
    </row>
    <row r="1217" spans="1:12" x14ac:dyDescent="0.25">
      <c r="A1217" s="3">
        <v>45716.467546296291</v>
      </c>
      <c r="B1217" t="s">
        <v>90</v>
      </c>
      <c r="C1217" s="3">
        <v>45716.480127314819</v>
      </c>
      <c r="D1217" t="s">
        <v>148</v>
      </c>
      <c r="E1217" s="4">
        <v>2.7290000000000001</v>
      </c>
      <c r="F1217" s="4">
        <v>416794.31300000002</v>
      </c>
      <c r="G1217" s="4">
        <v>416797.04200000002</v>
      </c>
      <c r="H1217" s="5">
        <f>519 / 86400</f>
        <v>6.0069444444444441E-3</v>
      </c>
      <c r="I1217" t="s">
        <v>173</v>
      </c>
      <c r="J1217" t="s">
        <v>132</v>
      </c>
      <c r="K1217" s="5">
        <f>1087 / 86400</f>
        <v>1.2581018518518519E-2</v>
      </c>
      <c r="L1217" s="5">
        <f>759 / 86400</f>
        <v>8.7847222222222215E-3</v>
      </c>
    </row>
    <row r="1218" spans="1:12" x14ac:dyDescent="0.25">
      <c r="A1218" s="3">
        <v>45716.488912037035</v>
      </c>
      <c r="B1218" t="s">
        <v>148</v>
      </c>
      <c r="C1218" s="3">
        <v>45716.497789351852</v>
      </c>
      <c r="D1218" t="s">
        <v>90</v>
      </c>
      <c r="E1218" s="4">
        <v>3.7469999999999999</v>
      </c>
      <c r="F1218" s="4">
        <v>416797.04200000002</v>
      </c>
      <c r="G1218" s="4">
        <v>416800.78899999999</v>
      </c>
      <c r="H1218" s="5">
        <f>78 / 86400</f>
        <v>9.0277777777777774E-4</v>
      </c>
      <c r="I1218" t="s">
        <v>202</v>
      </c>
      <c r="J1218" t="s">
        <v>20</v>
      </c>
      <c r="K1218" s="5">
        <f>766 / 86400</f>
        <v>8.86574074074074E-3</v>
      </c>
      <c r="L1218" s="5">
        <f>11759 / 86400</f>
        <v>0.13609953703703703</v>
      </c>
    </row>
    <row r="1219" spans="1:12" x14ac:dyDescent="0.25">
      <c r="A1219" s="3">
        <v>45716.633888888886</v>
      </c>
      <c r="B1219" t="s">
        <v>90</v>
      </c>
      <c r="C1219" s="3">
        <v>45716.735798611116</v>
      </c>
      <c r="D1219" t="s">
        <v>186</v>
      </c>
      <c r="E1219" s="4">
        <v>49.786999999999999</v>
      </c>
      <c r="F1219" s="4">
        <v>416800.78899999999</v>
      </c>
      <c r="G1219" s="4">
        <v>416850.576</v>
      </c>
      <c r="H1219" s="5">
        <f>3018 / 86400</f>
        <v>3.4930555555555555E-2</v>
      </c>
      <c r="I1219" t="s">
        <v>47</v>
      </c>
      <c r="J1219" t="s">
        <v>108</v>
      </c>
      <c r="K1219" s="5">
        <f>8804 / 86400</f>
        <v>0.10189814814814815</v>
      </c>
      <c r="L1219" s="5">
        <f>35 / 86400</f>
        <v>4.0509259259259258E-4</v>
      </c>
    </row>
    <row r="1220" spans="1:12" x14ac:dyDescent="0.25">
      <c r="A1220" s="3">
        <v>45716.736203703702</v>
      </c>
      <c r="B1220" t="s">
        <v>186</v>
      </c>
      <c r="C1220" s="3">
        <v>45716.972442129627</v>
      </c>
      <c r="D1220" t="s">
        <v>89</v>
      </c>
      <c r="E1220" s="4">
        <v>101.41200000000001</v>
      </c>
      <c r="F1220" s="4">
        <v>416850.576</v>
      </c>
      <c r="G1220" s="4">
        <v>416951.98800000001</v>
      </c>
      <c r="H1220" s="5">
        <f>7018 / 86400</f>
        <v>8.1226851851851856E-2</v>
      </c>
      <c r="I1220" t="s">
        <v>81</v>
      </c>
      <c r="J1220" t="s">
        <v>20</v>
      </c>
      <c r="K1220" s="5">
        <f>20410 / 86400</f>
        <v>0.23622685185185185</v>
      </c>
      <c r="L1220" s="5">
        <f>723 / 86400</f>
        <v>8.3680555555555557E-3</v>
      </c>
    </row>
    <row r="1221" spans="1:12" x14ac:dyDescent="0.25">
      <c r="A1221" s="3">
        <v>45716.980810185181</v>
      </c>
      <c r="B1221" t="s">
        <v>89</v>
      </c>
      <c r="C1221" s="3">
        <v>45716.981145833328</v>
      </c>
      <c r="D1221" t="s">
        <v>89</v>
      </c>
      <c r="E1221" s="4">
        <v>5.7000000000000002E-2</v>
      </c>
      <c r="F1221" s="4">
        <v>416951.98800000001</v>
      </c>
      <c r="G1221" s="4">
        <v>416952.04499999998</v>
      </c>
      <c r="H1221" s="5">
        <f>0 / 86400</f>
        <v>0</v>
      </c>
      <c r="I1221" t="s">
        <v>28</v>
      </c>
      <c r="J1221" t="s">
        <v>57</v>
      </c>
      <c r="K1221" s="5">
        <f>28 / 86400</f>
        <v>3.2407407407407406E-4</v>
      </c>
      <c r="L1221" s="5">
        <f>1474 / 86400</f>
        <v>1.7060185185185185E-2</v>
      </c>
    </row>
    <row r="1222" spans="1:12" x14ac:dyDescent="0.25">
      <c r="A1222" s="3">
        <v>45716.998206018514</v>
      </c>
      <c r="B1222" t="s">
        <v>89</v>
      </c>
      <c r="C1222" s="3">
        <v>45716.99998842593</v>
      </c>
      <c r="D1222" t="s">
        <v>95</v>
      </c>
      <c r="E1222" s="4">
        <v>0.88200000000000001</v>
      </c>
      <c r="F1222" s="4">
        <v>416952.04499999998</v>
      </c>
      <c r="G1222" s="4">
        <v>416952.92700000003</v>
      </c>
      <c r="H1222" s="5">
        <f>0 / 86400</f>
        <v>0</v>
      </c>
      <c r="I1222" t="s">
        <v>167</v>
      </c>
      <c r="J1222" t="s">
        <v>190</v>
      </c>
      <c r="K1222" s="5">
        <f>154 / 86400</f>
        <v>1.7824074074074075E-3</v>
      </c>
      <c r="L1222" s="5">
        <f>0 / 86400</f>
        <v>0</v>
      </c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s="10" customFormat="1" ht="20.100000000000001" customHeight="1" x14ac:dyDescent="0.35">
      <c r="A1225" s="15" t="s">
        <v>520</v>
      </c>
      <c r="B1225" s="15"/>
      <c r="C1225" s="15"/>
      <c r="D1225" s="15"/>
      <c r="E1225" s="15"/>
      <c r="F1225" s="15"/>
      <c r="G1225" s="15"/>
      <c r="H1225" s="15"/>
      <c r="I1225" s="15"/>
      <c r="J1225" s="15"/>
    </row>
    <row r="1226" spans="1:1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</row>
    <row r="1227" spans="1:12" ht="30" x14ac:dyDescent="0.25">
      <c r="A1227" s="2" t="s">
        <v>6</v>
      </c>
      <c r="B1227" s="2" t="s">
        <v>7</v>
      </c>
      <c r="C1227" s="2" t="s">
        <v>8</v>
      </c>
      <c r="D1227" s="2" t="s">
        <v>9</v>
      </c>
      <c r="E1227" s="2" t="s">
        <v>10</v>
      </c>
      <c r="F1227" s="2" t="s">
        <v>11</v>
      </c>
      <c r="G1227" s="2" t="s">
        <v>12</v>
      </c>
      <c r="H1227" s="2" t="s">
        <v>13</v>
      </c>
      <c r="I1227" s="2" t="s">
        <v>14</v>
      </c>
      <c r="J1227" s="2" t="s">
        <v>15</v>
      </c>
      <c r="K1227" s="2" t="s">
        <v>16</v>
      </c>
      <c r="L1227" s="2" t="s">
        <v>17</v>
      </c>
    </row>
    <row r="1228" spans="1:12" x14ac:dyDescent="0.25">
      <c r="A1228" s="3">
        <v>45716</v>
      </c>
      <c r="B1228" t="s">
        <v>96</v>
      </c>
      <c r="C1228" s="3">
        <v>45716.006956018522</v>
      </c>
      <c r="D1228" t="s">
        <v>24</v>
      </c>
      <c r="E1228" s="4">
        <v>3.4420000000000002</v>
      </c>
      <c r="F1228" s="4">
        <v>331843.59299999999</v>
      </c>
      <c r="G1228" s="4">
        <v>331847.03499999997</v>
      </c>
      <c r="H1228" s="5">
        <f>200 / 86400</f>
        <v>2.3148148148148147E-3</v>
      </c>
      <c r="I1228" t="s">
        <v>110</v>
      </c>
      <c r="J1228" t="s">
        <v>190</v>
      </c>
      <c r="K1228" s="5">
        <f>601 / 86400</f>
        <v>6.9560185185185185E-3</v>
      </c>
      <c r="L1228" s="5">
        <f>640 / 86400</f>
        <v>7.4074074074074077E-3</v>
      </c>
    </row>
    <row r="1229" spans="1:12" x14ac:dyDescent="0.25">
      <c r="A1229" s="3">
        <v>45716.014363425929</v>
      </c>
      <c r="B1229" t="s">
        <v>24</v>
      </c>
      <c r="C1229" s="3">
        <v>45716.017592592594</v>
      </c>
      <c r="D1229" t="s">
        <v>26</v>
      </c>
      <c r="E1229" s="4">
        <v>0.52500000000000002</v>
      </c>
      <c r="F1229" s="4">
        <v>331847.03499999997</v>
      </c>
      <c r="G1229" s="4">
        <v>331847.56</v>
      </c>
      <c r="H1229" s="5">
        <f>140 / 86400</f>
        <v>1.6203703703703703E-3</v>
      </c>
      <c r="I1229" t="s">
        <v>182</v>
      </c>
      <c r="J1229" t="s">
        <v>57</v>
      </c>
      <c r="K1229" s="5">
        <f>279 / 86400</f>
        <v>3.2291666666666666E-3</v>
      </c>
      <c r="L1229" s="5">
        <f>13509 / 86400</f>
        <v>0.15635416666666666</v>
      </c>
    </row>
    <row r="1230" spans="1:12" x14ac:dyDescent="0.25">
      <c r="A1230" s="3">
        <v>45716.173946759256</v>
      </c>
      <c r="B1230" t="s">
        <v>26</v>
      </c>
      <c r="C1230" s="3">
        <v>45716.35020833333</v>
      </c>
      <c r="D1230" t="s">
        <v>46</v>
      </c>
      <c r="E1230" s="4">
        <v>85.143000000000001</v>
      </c>
      <c r="F1230" s="4">
        <v>331847.56</v>
      </c>
      <c r="G1230" s="4">
        <v>331932.70299999998</v>
      </c>
      <c r="H1230" s="5">
        <f>3479 / 86400</f>
        <v>4.0266203703703707E-2</v>
      </c>
      <c r="I1230" t="s">
        <v>27</v>
      </c>
      <c r="J1230" t="s">
        <v>108</v>
      </c>
      <c r="K1230" s="5">
        <f>15229 / 86400</f>
        <v>0.17626157407407408</v>
      </c>
      <c r="L1230" s="5">
        <f>3980 / 86400</f>
        <v>4.6064814814814815E-2</v>
      </c>
    </row>
    <row r="1231" spans="1:12" x14ac:dyDescent="0.25">
      <c r="A1231" s="3">
        <v>45716.396273148144</v>
      </c>
      <c r="B1231" t="s">
        <v>46</v>
      </c>
      <c r="C1231" s="3">
        <v>45716.403321759259</v>
      </c>
      <c r="D1231" t="s">
        <v>161</v>
      </c>
      <c r="E1231" s="4">
        <v>1.1879999999999999</v>
      </c>
      <c r="F1231" s="4">
        <v>331932.70299999998</v>
      </c>
      <c r="G1231" s="4">
        <v>331933.891</v>
      </c>
      <c r="H1231" s="5">
        <f>179 / 86400</f>
        <v>2.0717592592592593E-3</v>
      </c>
      <c r="I1231" t="s">
        <v>130</v>
      </c>
      <c r="J1231" t="s">
        <v>57</v>
      </c>
      <c r="K1231" s="5">
        <f>608 / 86400</f>
        <v>7.037037037037037E-3</v>
      </c>
      <c r="L1231" s="5">
        <f>2901 / 86400</f>
        <v>3.3576388888888892E-2</v>
      </c>
    </row>
    <row r="1232" spans="1:12" x14ac:dyDescent="0.25">
      <c r="A1232" s="3">
        <v>45716.436898148153</v>
      </c>
      <c r="B1232" t="s">
        <v>161</v>
      </c>
      <c r="C1232" s="3">
        <v>45716.669004629628</v>
      </c>
      <c r="D1232" t="s">
        <v>24</v>
      </c>
      <c r="E1232" s="4">
        <v>86.84</v>
      </c>
      <c r="F1232" s="4">
        <v>331933.891</v>
      </c>
      <c r="G1232" s="4">
        <v>332020.73100000003</v>
      </c>
      <c r="H1232" s="5">
        <f>6940 / 86400</f>
        <v>8.0324074074074076E-2</v>
      </c>
      <c r="I1232" t="s">
        <v>66</v>
      </c>
      <c r="J1232" t="s">
        <v>31</v>
      </c>
      <c r="K1232" s="5">
        <f>20054 / 86400</f>
        <v>0.23210648148148147</v>
      </c>
      <c r="L1232" s="5">
        <f>444 / 86400</f>
        <v>5.138888888888889E-3</v>
      </c>
    </row>
    <row r="1233" spans="1:12" x14ac:dyDescent="0.25">
      <c r="A1233" s="3">
        <v>45716.674143518518</v>
      </c>
      <c r="B1233" t="s">
        <v>24</v>
      </c>
      <c r="C1233" s="3">
        <v>45716.846782407403</v>
      </c>
      <c r="D1233" t="s">
        <v>80</v>
      </c>
      <c r="E1233" s="4">
        <v>58.481999999999999</v>
      </c>
      <c r="F1233" s="4">
        <v>332020.73100000003</v>
      </c>
      <c r="G1233" s="4">
        <v>332079.21299999999</v>
      </c>
      <c r="H1233" s="5">
        <f>6099 / 86400</f>
        <v>7.059027777777778E-2</v>
      </c>
      <c r="I1233" t="s">
        <v>75</v>
      </c>
      <c r="J1233" t="s">
        <v>72</v>
      </c>
      <c r="K1233" s="5">
        <f>14916 / 86400</f>
        <v>0.1726388888888889</v>
      </c>
      <c r="L1233" s="5">
        <f>92 / 86400</f>
        <v>1.0648148148148149E-3</v>
      </c>
    </row>
    <row r="1234" spans="1:12" x14ac:dyDescent="0.25">
      <c r="A1234" s="3">
        <v>45716.84784722222</v>
      </c>
      <c r="B1234" t="s">
        <v>80</v>
      </c>
      <c r="C1234" s="3">
        <v>45716.89163194444</v>
      </c>
      <c r="D1234" t="s">
        <v>385</v>
      </c>
      <c r="E1234" s="4">
        <v>15.984</v>
      </c>
      <c r="F1234" s="4">
        <v>332079.21299999999</v>
      </c>
      <c r="G1234" s="4">
        <v>332095.19699999999</v>
      </c>
      <c r="H1234" s="5">
        <f>1678 / 86400</f>
        <v>1.9421296296296298E-2</v>
      </c>
      <c r="I1234" t="s">
        <v>63</v>
      </c>
      <c r="J1234" t="s">
        <v>35</v>
      </c>
      <c r="K1234" s="5">
        <f>3782 / 86400</f>
        <v>4.3773148148148151E-2</v>
      </c>
      <c r="L1234" s="5">
        <f>498 / 86400</f>
        <v>5.7638888888888887E-3</v>
      </c>
    </row>
    <row r="1235" spans="1:12" x14ac:dyDescent="0.25">
      <c r="A1235" s="3">
        <v>45716.897395833337</v>
      </c>
      <c r="B1235" t="s">
        <v>385</v>
      </c>
      <c r="C1235" s="3">
        <v>45716.981249999997</v>
      </c>
      <c r="D1235" t="s">
        <v>398</v>
      </c>
      <c r="E1235" s="4">
        <v>40.704999999999998</v>
      </c>
      <c r="F1235" s="4">
        <v>332095.19699999999</v>
      </c>
      <c r="G1235" s="4">
        <v>332135.902</v>
      </c>
      <c r="H1235" s="5">
        <f>2299 / 86400</f>
        <v>2.6608796296296297E-2</v>
      </c>
      <c r="I1235" t="s">
        <v>47</v>
      </c>
      <c r="J1235" t="s">
        <v>108</v>
      </c>
      <c r="K1235" s="5">
        <f>7244 / 86400</f>
        <v>8.3842592592592594E-2</v>
      </c>
      <c r="L1235" s="5">
        <f>124 / 86400</f>
        <v>1.4351851851851852E-3</v>
      </c>
    </row>
    <row r="1236" spans="1:12" x14ac:dyDescent="0.25">
      <c r="A1236" s="3">
        <v>45716.982685185183</v>
      </c>
      <c r="B1236" t="s">
        <v>398</v>
      </c>
      <c r="C1236" s="3">
        <v>45716.996527777781</v>
      </c>
      <c r="D1236" t="s">
        <v>24</v>
      </c>
      <c r="E1236" s="4">
        <v>10.093999999999999</v>
      </c>
      <c r="F1236" s="4">
        <v>332135.902</v>
      </c>
      <c r="G1236" s="4">
        <v>332145.99599999998</v>
      </c>
      <c r="H1236" s="5">
        <f>180 / 86400</f>
        <v>2.0833333333333333E-3</v>
      </c>
      <c r="I1236" t="s">
        <v>87</v>
      </c>
      <c r="J1236" t="s">
        <v>149</v>
      </c>
      <c r="K1236" s="5">
        <f>1195 / 86400</f>
        <v>1.3831018518518519E-2</v>
      </c>
      <c r="L1236" s="5">
        <f>20 / 86400</f>
        <v>2.3148148148148149E-4</v>
      </c>
    </row>
    <row r="1237" spans="1:12" x14ac:dyDescent="0.25">
      <c r="A1237" s="3">
        <v>45716.996759259258</v>
      </c>
      <c r="B1237" t="s">
        <v>24</v>
      </c>
      <c r="C1237" s="3">
        <v>45716.996944444443</v>
      </c>
      <c r="D1237" t="s">
        <v>24</v>
      </c>
      <c r="E1237" s="4">
        <v>8.0000000000000002E-3</v>
      </c>
      <c r="F1237" s="4">
        <v>332145.99599999998</v>
      </c>
      <c r="G1237" s="4">
        <v>332146.00400000002</v>
      </c>
      <c r="H1237" s="5">
        <f>0 / 86400</f>
        <v>0</v>
      </c>
      <c r="I1237" t="s">
        <v>22</v>
      </c>
      <c r="J1237" t="s">
        <v>156</v>
      </c>
      <c r="K1237" s="5">
        <f>16 / 86400</f>
        <v>1.8518518518518518E-4</v>
      </c>
      <c r="L1237" s="5">
        <f>263 / 86400</f>
        <v>3.0439814814814813E-3</v>
      </c>
    </row>
    <row r="1238" spans="1:12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</row>
    <row r="1239" spans="1:12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</row>
    <row r="1240" spans="1:12" s="10" customFormat="1" ht="20.100000000000001" customHeight="1" x14ac:dyDescent="0.35">
      <c r="A1240" s="15" t="s">
        <v>521</v>
      </c>
      <c r="B1240" s="15"/>
      <c r="C1240" s="15"/>
      <c r="D1240" s="15"/>
      <c r="E1240" s="15"/>
      <c r="F1240" s="15"/>
      <c r="G1240" s="15"/>
      <c r="H1240" s="15"/>
      <c r="I1240" s="15"/>
      <c r="J1240" s="15"/>
    </row>
    <row r="1241" spans="1:1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</row>
    <row r="1242" spans="1:12" ht="30" x14ac:dyDescent="0.25">
      <c r="A1242" s="2" t="s">
        <v>6</v>
      </c>
      <c r="B1242" s="2" t="s">
        <v>7</v>
      </c>
      <c r="C1242" s="2" t="s">
        <v>8</v>
      </c>
      <c r="D1242" s="2" t="s">
        <v>9</v>
      </c>
      <c r="E1242" s="2" t="s">
        <v>10</v>
      </c>
      <c r="F1242" s="2" t="s">
        <v>11</v>
      </c>
      <c r="G1242" s="2" t="s">
        <v>12</v>
      </c>
      <c r="H1242" s="2" t="s">
        <v>13</v>
      </c>
      <c r="I1242" s="2" t="s">
        <v>14</v>
      </c>
      <c r="J1242" s="2" t="s">
        <v>15</v>
      </c>
      <c r="K1242" s="2" t="s">
        <v>16</v>
      </c>
      <c r="L1242" s="2" t="s">
        <v>17</v>
      </c>
    </row>
    <row r="1243" spans="1:12" x14ac:dyDescent="0.25">
      <c r="A1243" s="3">
        <v>45716.394814814819</v>
      </c>
      <c r="B1243" t="s">
        <v>26</v>
      </c>
      <c r="C1243" s="3">
        <v>45716.401597222226</v>
      </c>
      <c r="D1243" t="s">
        <v>26</v>
      </c>
      <c r="E1243" s="4">
        <v>0.36499999999999999</v>
      </c>
      <c r="F1243" s="4">
        <v>362244.38299999997</v>
      </c>
      <c r="G1243" s="4">
        <v>362244.74800000002</v>
      </c>
      <c r="H1243" s="5">
        <f>420 / 86400</f>
        <v>4.8611111111111112E-3</v>
      </c>
      <c r="I1243" t="s">
        <v>64</v>
      </c>
      <c r="J1243" t="s">
        <v>156</v>
      </c>
      <c r="K1243" s="5">
        <f>586 / 86400</f>
        <v>6.7824074074074071E-3</v>
      </c>
      <c r="L1243" s="5">
        <f>34443 / 86400</f>
        <v>0.39864583333333331</v>
      </c>
    </row>
    <row r="1244" spans="1:12" x14ac:dyDescent="0.25">
      <c r="A1244" s="3">
        <v>45716.405428240745</v>
      </c>
      <c r="B1244" t="s">
        <v>26</v>
      </c>
      <c r="C1244" s="3">
        <v>45716.413530092592</v>
      </c>
      <c r="D1244" t="s">
        <v>400</v>
      </c>
      <c r="E1244" s="4">
        <v>3.3140000000000001</v>
      </c>
      <c r="F1244" s="4">
        <v>362244.74800000002</v>
      </c>
      <c r="G1244" s="4">
        <v>362248.06199999998</v>
      </c>
      <c r="H1244" s="5">
        <f>100 / 86400</f>
        <v>1.1574074074074073E-3</v>
      </c>
      <c r="I1244" t="s">
        <v>97</v>
      </c>
      <c r="J1244" t="s">
        <v>62</v>
      </c>
      <c r="K1244" s="5">
        <f>700 / 86400</f>
        <v>8.1018518518518514E-3</v>
      </c>
      <c r="L1244" s="5">
        <f>850 / 86400</f>
        <v>9.8379629629629633E-3</v>
      </c>
    </row>
    <row r="1245" spans="1:12" x14ac:dyDescent="0.25">
      <c r="A1245" s="3">
        <v>45716.423368055555</v>
      </c>
      <c r="B1245" t="s">
        <v>400</v>
      </c>
      <c r="C1245" s="3">
        <v>45716.433749999997</v>
      </c>
      <c r="D1245" t="s">
        <v>26</v>
      </c>
      <c r="E1245" s="4">
        <v>4.157</v>
      </c>
      <c r="F1245" s="4">
        <v>362248.06199999998</v>
      </c>
      <c r="G1245" s="4">
        <v>362252.21899999998</v>
      </c>
      <c r="H1245" s="5">
        <f>100 / 86400</f>
        <v>1.1574074074074073E-3</v>
      </c>
      <c r="I1245" t="s">
        <v>97</v>
      </c>
      <c r="J1245" t="s">
        <v>62</v>
      </c>
      <c r="K1245" s="5">
        <f>896 / 86400</f>
        <v>1.037037037037037E-2</v>
      </c>
      <c r="L1245" s="5">
        <f>48923 / 86400</f>
        <v>0.56623842592592588</v>
      </c>
    </row>
    <row r="1246" spans="1:12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</row>
    <row r="1247" spans="1:12" x14ac:dyDescent="0.2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</row>
    <row r="1248" spans="1:12" s="10" customFormat="1" ht="20.100000000000001" customHeight="1" x14ac:dyDescent="0.35">
      <c r="A1248" s="15" t="s">
        <v>522</v>
      </c>
      <c r="B1248" s="15"/>
      <c r="C1248" s="15"/>
      <c r="D1248" s="15"/>
      <c r="E1248" s="15"/>
      <c r="F1248" s="15"/>
      <c r="G1248" s="15"/>
      <c r="H1248" s="15"/>
      <c r="I1248" s="15"/>
      <c r="J1248" s="15"/>
    </row>
    <row r="1249" spans="1:1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</row>
    <row r="1250" spans="1:12" ht="30" x14ac:dyDescent="0.25">
      <c r="A1250" s="2" t="s">
        <v>6</v>
      </c>
      <c r="B1250" s="2" t="s">
        <v>7</v>
      </c>
      <c r="C1250" s="2" t="s">
        <v>8</v>
      </c>
      <c r="D1250" s="2" t="s">
        <v>9</v>
      </c>
      <c r="E1250" s="2" t="s">
        <v>10</v>
      </c>
      <c r="F1250" s="2" t="s">
        <v>11</v>
      </c>
      <c r="G1250" s="2" t="s">
        <v>12</v>
      </c>
      <c r="H1250" s="2" t="s">
        <v>13</v>
      </c>
      <c r="I1250" s="2" t="s">
        <v>14</v>
      </c>
      <c r="J1250" s="2" t="s">
        <v>15</v>
      </c>
      <c r="K1250" s="2" t="s">
        <v>16</v>
      </c>
      <c r="L1250" s="2" t="s">
        <v>17</v>
      </c>
    </row>
    <row r="1251" spans="1:12" x14ac:dyDescent="0.25">
      <c r="A1251" s="3">
        <v>45716.279050925921</v>
      </c>
      <c r="B1251" t="s">
        <v>98</v>
      </c>
      <c r="C1251" s="3">
        <v>45716.489247685182</v>
      </c>
      <c r="D1251" t="s">
        <v>464</v>
      </c>
      <c r="E1251" s="4">
        <v>81.766000000000005</v>
      </c>
      <c r="F1251" s="4">
        <v>83082.3</v>
      </c>
      <c r="G1251" s="4">
        <v>83164.066000000006</v>
      </c>
      <c r="H1251" s="5">
        <f>7979 / 86400</f>
        <v>9.2349537037037036E-2</v>
      </c>
      <c r="I1251" t="s">
        <v>78</v>
      </c>
      <c r="J1251" t="s">
        <v>31</v>
      </c>
      <c r="K1251" s="5">
        <f>18160 / 86400</f>
        <v>0.2101851851851852</v>
      </c>
      <c r="L1251" s="5">
        <f>24327 / 86400</f>
        <v>0.28156249999999999</v>
      </c>
    </row>
    <row r="1252" spans="1:12" x14ac:dyDescent="0.25">
      <c r="A1252" s="3">
        <v>45716.491759259261</v>
      </c>
      <c r="B1252" t="s">
        <v>464</v>
      </c>
      <c r="C1252" s="3">
        <v>45716.491805555561</v>
      </c>
      <c r="D1252" t="s">
        <v>464</v>
      </c>
      <c r="E1252" s="4">
        <v>0</v>
      </c>
      <c r="F1252" s="4">
        <v>83164.066000000006</v>
      </c>
      <c r="G1252" s="4">
        <v>83164.066000000006</v>
      </c>
      <c r="H1252" s="5">
        <f>0 / 86400</f>
        <v>0</v>
      </c>
      <c r="I1252" t="s">
        <v>22</v>
      </c>
      <c r="J1252" t="s">
        <v>22</v>
      </c>
      <c r="K1252" s="5">
        <f>3 / 86400</f>
        <v>3.4722222222222222E-5</v>
      </c>
      <c r="L1252" s="5">
        <f>22 / 86400</f>
        <v>2.5462962962962961E-4</v>
      </c>
    </row>
    <row r="1253" spans="1:12" x14ac:dyDescent="0.25">
      <c r="A1253" s="3">
        <v>45716.492060185185</v>
      </c>
      <c r="B1253" t="s">
        <v>464</v>
      </c>
      <c r="C1253" s="3">
        <v>45716.494756944448</v>
      </c>
      <c r="D1253" t="s">
        <v>98</v>
      </c>
      <c r="E1253" s="4">
        <v>1.161</v>
      </c>
      <c r="F1253" s="4">
        <v>83164.066000000006</v>
      </c>
      <c r="G1253" s="4">
        <v>83165.226999999999</v>
      </c>
      <c r="H1253" s="5">
        <f>20 / 86400</f>
        <v>2.3148148148148149E-4</v>
      </c>
      <c r="I1253" t="s">
        <v>171</v>
      </c>
      <c r="J1253" t="s">
        <v>20</v>
      </c>
      <c r="K1253" s="5">
        <f>233 / 86400</f>
        <v>2.6967592592592594E-3</v>
      </c>
      <c r="L1253" s="5">
        <f>37 / 86400</f>
        <v>4.2824074074074075E-4</v>
      </c>
    </row>
    <row r="1254" spans="1:12" x14ac:dyDescent="0.25">
      <c r="A1254" s="3">
        <v>45716.49518518518</v>
      </c>
      <c r="B1254" t="s">
        <v>98</v>
      </c>
      <c r="C1254" s="3">
        <v>45716.49523148148</v>
      </c>
      <c r="D1254" t="s">
        <v>98</v>
      </c>
      <c r="E1254" s="4">
        <v>0</v>
      </c>
      <c r="F1254" s="4">
        <v>83165.226999999999</v>
      </c>
      <c r="G1254" s="4">
        <v>83165.226999999999</v>
      </c>
      <c r="H1254" s="5">
        <f>0 / 86400</f>
        <v>0</v>
      </c>
      <c r="I1254" t="s">
        <v>22</v>
      </c>
      <c r="J1254" t="s">
        <v>22</v>
      </c>
      <c r="K1254" s="5">
        <f>4 / 86400</f>
        <v>4.6296296296296294E-5</v>
      </c>
      <c r="L1254" s="5">
        <f>10668 / 86400</f>
        <v>0.12347222222222222</v>
      </c>
    </row>
    <row r="1255" spans="1:12" x14ac:dyDescent="0.25">
      <c r="A1255" s="3">
        <v>45716.618703703702</v>
      </c>
      <c r="B1255" t="s">
        <v>98</v>
      </c>
      <c r="C1255" s="3">
        <v>45716.866018518514</v>
      </c>
      <c r="D1255" t="s">
        <v>464</v>
      </c>
      <c r="E1255" s="4">
        <v>96.227999999999994</v>
      </c>
      <c r="F1255" s="4">
        <v>83165.226999999999</v>
      </c>
      <c r="G1255" s="4">
        <v>83261.455000000002</v>
      </c>
      <c r="H1255" s="5">
        <f>6839 / 86400</f>
        <v>7.9155092592592596E-2</v>
      </c>
      <c r="I1255" t="s">
        <v>78</v>
      </c>
      <c r="J1255" t="s">
        <v>31</v>
      </c>
      <c r="K1255" s="5">
        <f>21368 / 86400</f>
        <v>0.24731481481481482</v>
      </c>
      <c r="L1255" s="5">
        <f>7 / 86400</f>
        <v>8.1018518518518516E-5</v>
      </c>
    </row>
    <row r="1256" spans="1:12" x14ac:dyDescent="0.25">
      <c r="A1256" s="3">
        <v>45716.866099537037</v>
      </c>
      <c r="B1256" t="s">
        <v>464</v>
      </c>
      <c r="C1256" s="3">
        <v>45716.86613425926</v>
      </c>
      <c r="D1256" t="s">
        <v>464</v>
      </c>
      <c r="E1256" s="4">
        <v>0</v>
      </c>
      <c r="F1256" s="4">
        <v>83261.455000000002</v>
      </c>
      <c r="G1256" s="4">
        <v>83261.455000000002</v>
      </c>
      <c r="H1256" s="5">
        <f>0 / 86400</f>
        <v>0</v>
      </c>
      <c r="I1256" t="s">
        <v>22</v>
      </c>
      <c r="J1256" t="s">
        <v>22</v>
      </c>
      <c r="K1256" s="5">
        <f>3 / 86400</f>
        <v>3.4722222222222222E-5</v>
      </c>
      <c r="L1256" s="5">
        <f>350 / 86400</f>
        <v>4.0509259259259257E-3</v>
      </c>
    </row>
    <row r="1257" spans="1:12" x14ac:dyDescent="0.25">
      <c r="A1257" s="3">
        <v>45716.87018518518</v>
      </c>
      <c r="B1257" t="s">
        <v>464</v>
      </c>
      <c r="C1257" s="3">
        <v>45716.875393518523</v>
      </c>
      <c r="D1257" t="s">
        <v>98</v>
      </c>
      <c r="E1257" s="4">
        <v>1.2350000000000001</v>
      </c>
      <c r="F1257" s="4">
        <v>83261.455000000002</v>
      </c>
      <c r="G1257" s="4">
        <v>83262.69</v>
      </c>
      <c r="H1257" s="5">
        <f>159 / 86400</f>
        <v>1.8402777777777777E-3</v>
      </c>
      <c r="I1257" t="s">
        <v>164</v>
      </c>
      <c r="J1257" t="s">
        <v>151</v>
      </c>
      <c r="K1257" s="5">
        <f>450 / 86400</f>
        <v>5.208333333333333E-3</v>
      </c>
      <c r="L1257" s="5">
        <f>17 / 86400</f>
        <v>1.9675925925925926E-4</v>
      </c>
    </row>
    <row r="1258" spans="1:12" x14ac:dyDescent="0.25">
      <c r="A1258" s="3">
        <v>45716.875590277778</v>
      </c>
      <c r="B1258" t="s">
        <v>98</v>
      </c>
      <c r="C1258" s="3">
        <v>45716.875648148147</v>
      </c>
      <c r="D1258" t="s">
        <v>98</v>
      </c>
      <c r="E1258" s="4">
        <v>0</v>
      </c>
      <c r="F1258" s="4">
        <v>83262.69</v>
      </c>
      <c r="G1258" s="4">
        <v>83262.69</v>
      </c>
      <c r="H1258" s="5">
        <f>0 / 86400</f>
        <v>0</v>
      </c>
      <c r="I1258" t="s">
        <v>22</v>
      </c>
      <c r="J1258" t="s">
        <v>22</v>
      </c>
      <c r="K1258" s="5">
        <f>5 / 86400</f>
        <v>5.7870370370370373E-5</v>
      </c>
      <c r="L1258" s="5">
        <f>1024 / 86400</f>
        <v>1.1851851851851851E-2</v>
      </c>
    </row>
    <row r="1259" spans="1:12" x14ac:dyDescent="0.25">
      <c r="A1259" s="3">
        <v>45716.887499999997</v>
      </c>
      <c r="B1259" t="s">
        <v>98</v>
      </c>
      <c r="C1259" s="3">
        <v>45716.888541666667</v>
      </c>
      <c r="D1259" t="s">
        <v>98</v>
      </c>
      <c r="E1259" s="4">
        <v>2.1999999999999999E-2</v>
      </c>
      <c r="F1259" s="4">
        <v>83262.69</v>
      </c>
      <c r="G1259" s="4">
        <v>83262.712</v>
      </c>
      <c r="H1259" s="5">
        <f>39 / 86400</f>
        <v>4.5138888888888887E-4</v>
      </c>
      <c r="I1259" t="s">
        <v>59</v>
      </c>
      <c r="J1259" t="s">
        <v>59</v>
      </c>
      <c r="K1259" s="5">
        <f>90 / 86400</f>
        <v>1.0416666666666667E-3</v>
      </c>
      <c r="L1259" s="5">
        <f>9629 / 86400</f>
        <v>0.11144675925925926</v>
      </c>
    </row>
    <row r="1260" spans="1:12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</row>
    <row r="1261" spans="1:1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</row>
    <row r="1262" spans="1:12" s="10" customFormat="1" ht="20.100000000000001" customHeight="1" x14ac:dyDescent="0.35">
      <c r="A1262" s="15" t="s">
        <v>523</v>
      </c>
      <c r="B1262" s="15"/>
      <c r="C1262" s="15"/>
      <c r="D1262" s="15"/>
      <c r="E1262" s="15"/>
      <c r="F1262" s="15"/>
      <c r="G1262" s="15"/>
      <c r="H1262" s="15"/>
      <c r="I1262" s="15"/>
      <c r="J1262" s="15"/>
    </row>
    <row r="1263" spans="1:1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</row>
    <row r="1264" spans="1:12" ht="30" x14ac:dyDescent="0.25">
      <c r="A1264" s="2" t="s">
        <v>6</v>
      </c>
      <c r="B1264" s="2" t="s">
        <v>7</v>
      </c>
      <c r="C1264" s="2" t="s">
        <v>8</v>
      </c>
      <c r="D1264" s="2" t="s">
        <v>9</v>
      </c>
      <c r="E1264" s="2" t="s">
        <v>10</v>
      </c>
      <c r="F1264" s="2" t="s">
        <v>11</v>
      </c>
      <c r="G1264" s="2" t="s">
        <v>12</v>
      </c>
      <c r="H1264" s="2" t="s">
        <v>13</v>
      </c>
      <c r="I1264" s="2" t="s">
        <v>14</v>
      </c>
      <c r="J1264" s="2" t="s">
        <v>15</v>
      </c>
      <c r="K1264" s="2" t="s">
        <v>16</v>
      </c>
      <c r="L1264" s="2" t="s">
        <v>17</v>
      </c>
    </row>
    <row r="1265" spans="1:12" x14ac:dyDescent="0.25">
      <c r="A1265" s="3">
        <v>45716.205104166671</v>
      </c>
      <c r="B1265" t="s">
        <v>46</v>
      </c>
      <c r="C1265" s="3">
        <v>45716.209224537037</v>
      </c>
      <c r="D1265" t="s">
        <v>146</v>
      </c>
      <c r="E1265" s="4">
        <v>0.61099999999999999</v>
      </c>
      <c r="F1265" s="4">
        <v>472581.05499999999</v>
      </c>
      <c r="G1265" s="4">
        <v>472581.66600000003</v>
      </c>
      <c r="H1265" s="5">
        <f>139 / 86400</f>
        <v>1.6087962962962963E-3</v>
      </c>
      <c r="I1265" t="s">
        <v>236</v>
      </c>
      <c r="J1265" t="s">
        <v>137</v>
      </c>
      <c r="K1265" s="5">
        <f>356 / 86400</f>
        <v>4.1203703703703706E-3</v>
      </c>
      <c r="L1265" s="5">
        <f>17905 / 86400</f>
        <v>0.20723379629629629</v>
      </c>
    </row>
    <row r="1266" spans="1:12" x14ac:dyDescent="0.25">
      <c r="A1266" s="3">
        <v>45716.211354166662</v>
      </c>
      <c r="B1266" t="s">
        <v>146</v>
      </c>
      <c r="C1266" s="3">
        <v>45716.486620370371</v>
      </c>
      <c r="D1266" t="s">
        <v>131</v>
      </c>
      <c r="E1266" s="4">
        <v>102.11199999999999</v>
      </c>
      <c r="F1266" s="4">
        <v>472581.66600000003</v>
      </c>
      <c r="G1266" s="4">
        <v>472683.77799999999</v>
      </c>
      <c r="H1266" s="5">
        <f>9580 / 86400</f>
        <v>0.11087962962962963</v>
      </c>
      <c r="I1266" t="s">
        <v>52</v>
      </c>
      <c r="J1266" t="s">
        <v>35</v>
      </c>
      <c r="K1266" s="5">
        <f>23782 / 86400</f>
        <v>0.27525462962962965</v>
      </c>
      <c r="L1266" s="5">
        <f>1073 / 86400</f>
        <v>1.2418981481481482E-2</v>
      </c>
    </row>
    <row r="1267" spans="1:12" x14ac:dyDescent="0.25">
      <c r="A1267" s="3">
        <v>45716.499039351853</v>
      </c>
      <c r="B1267" t="s">
        <v>161</v>
      </c>
      <c r="C1267" s="3">
        <v>45716.505902777775</v>
      </c>
      <c r="D1267" t="s">
        <v>46</v>
      </c>
      <c r="E1267" s="4">
        <v>1.2969999999999999</v>
      </c>
      <c r="F1267" s="4">
        <v>472683.77799999999</v>
      </c>
      <c r="G1267" s="4">
        <v>472685.07500000001</v>
      </c>
      <c r="H1267" s="5">
        <f>240 / 86400</f>
        <v>2.7777777777777779E-3</v>
      </c>
      <c r="I1267" t="s">
        <v>164</v>
      </c>
      <c r="J1267" t="s">
        <v>214</v>
      </c>
      <c r="K1267" s="5">
        <f>592 / 86400</f>
        <v>6.851851851851852E-3</v>
      </c>
      <c r="L1267" s="5">
        <f>1093 / 86400</f>
        <v>1.2650462962962962E-2</v>
      </c>
    </row>
    <row r="1268" spans="1:12" x14ac:dyDescent="0.25">
      <c r="A1268" s="3">
        <v>45716.518553240741</v>
      </c>
      <c r="B1268" t="s">
        <v>46</v>
      </c>
      <c r="C1268" s="3">
        <v>45716.519386574073</v>
      </c>
      <c r="D1268" t="s">
        <v>46</v>
      </c>
      <c r="E1268" s="4">
        <v>2.7E-2</v>
      </c>
      <c r="F1268" s="4">
        <v>472685.07500000001</v>
      </c>
      <c r="G1268" s="4">
        <v>472685.10200000001</v>
      </c>
      <c r="H1268" s="5">
        <f>19 / 86400</f>
        <v>2.199074074074074E-4</v>
      </c>
      <c r="I1268" t="s">
        <v>33</v>
      </c>
      <c r="J1268" t="s">
        <v>59</v>
      </c>
      <c r="K1268" s="5">
        <f>72 / 86400</f>
        <v>8.3333333333333339E-4</v>
      </c>
      <c r="L1268" s="5">
        <f>312 / 86400</f>
        <v>3.6111111111111109E-3</v>
      </c>
    </row>
    <row r="1269" spans="1:12" x14ac:dyDescent="0.25">
      <c r="A1269" s="3">
        <v>45716.522997685184</v>
      </c>
      <c r="B1269" t="s">
        <v>46</v>
      </c>
      <c r="C1269" s="3">
        <v>45716.524953703702</v>
      </c>
      <c r="D1269" t="s">
        <v>41</v>
      </c>
      <c r="E1269" s="4">
        <v>0.128</v>
      </c>
      <c r="F1269" s="4">
        <v>472685.10200000001</v>
      </c>
      <c r="G1269" s="4">
        <v>472685.23</v>
      </c>
      <c r="H1269" s="5">
        <f>99 / 86400</f>
        <v>1.1458333333333333E-3</v>
      </c>
      <c r="I1269" t="s">
        <v>100</v>
      </c>
      <c r="J1269" t="s">
        <v>33</v>
      </c>
      <c r="K1269" s="5">
        <f>168 / 86400</f>
        <v>1.9444444444444444E-3</v>
      </c>
      <c r="L1269" s="5">
        <f>475 / 86400</f>
        <v>5.4976851851851853E-3</v>
      </c>
    </row>
    <row r="1270" spans="1:12" x14ac:dyDescent="0.25">
      <c r="A1270" s="3">
        <v>45716.530451388884</v>
      </c>
      <c r="B1270" t="s">
        <v>41</v>
      </c>
      <c r="C1270" s="3">
        <v>45716.535324074073</v>
      </c>
      <c r="D1270" t="s">
        <v>53</v>
      </c>
      <c r="E1270" s="4">
        <v>1.736</v>
      </c>
      <c r="F1270" s="4">
        <v>472685.23</v>
      </c>
      <c r="G1270" s="4">
        <v>472686.96600000001</v>
      </c>
      <c r="H1270" s="5">
        <f>40 / 86400</f>
        <v>4.6296296296296298E-4</v>
      </c>
      <c r="I1270" t="s">
        <v>179</v>
      </c>
      <c r="J1270" t="s">
        <v>35</v>
      </c>
      <c r="K1270" s="5">
        <f>421 / 86400</f>
        <v>4.8726851851851848E-3</v>
      </c>
      <c r="L1270" s="5">
        <f>793 / 86400</f>
        <v>9.1782407407407403E-3</v>
      </c>
    </row>
    <row r="1271" spans="1:12" x14ac:dyDescent="0.25">
      <c r="A1271" s="3">
        <v>45716.544502314813</v>
      </c>
      <c r="B1271" t="s">
        <v>53</v>
      </c>
      <c r="C1271" s="3">
        <v>45716.545081018514</v>
      </c>
      <c r="D1271" t="s">
        <v>53</v>
      </c>
      <c r="E1271" s="4">
        <v>1.7000000000000001E-2</v>
      </c>
      <c r="F1271" s="4">
        <v>472686.96600000001</v>
      </c>
      <c r="G1271" s="4">
        <v>472686.98300000001</v>
      </c>
      <c r="H1271" s="5">
        <f>20 / 86400</f>
        <v>2.3148148148148149E-4</v>
      </c>
      <c r="I1271" t="s">
        <v>25</v>
      </c>
      <c r="J1271" t="s">
        <v>59</v>
      </c>
      <c r="K1271" s="5">
        <f>50 / 86400</f>
        <v>5.7870370370370367E-4</v>
      </c>
      <c r="L1271" s="5">
        <f>5528 / 86400</f>
        <v>6.3981481481481486E-2</v>
      </c>
    </row>
    <row r="1272" spans="1:12" x14ac:dyDescent="0.25">
      <c r="A1272" s="3">
        <v>45716.6090625</v>
      </c>
      <c r="B1272" t="s">
        <v>53</v>
      </c>
      <c r="C1272" s="3">
        <v>45716.611898148149</v>
      </c>
      <c r="D1272" t="s">
        <v>136</v>
      </c>
      <c r="E1272" s="4">
        <v>0.495</v>
      </c>
      <c r="F1272" s="4">
        <v>472686.98300000001</v>
      </c>
      <c r="G1272" s="4">
        <v>472687.478</v>
      </c>
      <c r="H1272" s="5">
        <f>60 / 86400</f>
        <v>6.9444444444444447E-4</v>
      </c>
      <c r="I1272" t="s">
        <v>32</v>
      </c>
      <c r="J1272" t="s">
        <v>57</v>
      </c>
      <c r="K1272" s="5">
        <f>244 / 86400</f>
        <v>2.8240740740740739E-3</v>
      </c>
      <c r="L1272" s="5">
        <f>481 / 86400</f>
        <v>5.5671296296296293E-3</v>
      </c>
    </row>
    <row r="1273" spans="1:12" x14ac:dyDescent="0.25">
      <c r="A1273" s="3">
        <v>45716.617465277777</v>
      </c>
      <c r="B1273" t="s">
        <v>136</v>
      </c>
      <c r="C1273" s="3">
        <v>45716.620324074072</v>
      </c>
      <c r="D1273" t="s">
        <v>162</v>
      </c>
      <c r="E1273" s="4">
        <v>1.0660000000000001</v>
      </c>
      <c r="F1273" s="4">
        <v>472687.478</v>
      </c>
      <c r="G1273" s="4">
        <v>472688.54399999999</v>
      </c>
      <c r="H1273" s="5">
        <f>40 / 86400</f>
        <v>4.6296296296296298E-4</v>
      </c>
      <c r="I1273" t="s">
        <v>168</v>
      </c>
      <c r="J1273" t="s">
        <v>31</v>
      </c>
      <c r="K1273" s="5">
        <f>247 / 86400</f>
        <v>2.8587962962962963E-3</v>
      </c>
      <c r="L1273" s="5">
        <f>4014 / 86400</f>
        <v>4.6458333333333331E-2</v>
      </c>
    </row>
    <row r="1274" spans="1:12" x14ac:dyDescent="0.25">
      <c r="A1274" s="3">
        <v>45716.66678240741</v>
      </c>
      <c r="B1274" t="s">
        <v>162</v>
      </c>
      <c r="C1274" s="3">
        <v>45716.674375000002</v>
      </c>
      <c r="D1274" t="s">
        <v>41</v>
      </c>
      <c r="E1274" s="4">
        <v>2.1120000000000001</v>
      </c>
      <c r="F1274" s="4">
        <v>472688.54399999999</v>
      </c>
      <c r="G1274" s="4">
        <v>472690.65600000002</v>
      </c>
      <c r="H1274" s="5">
        <f>200 / 86400</f>
        <v>2.3148148148148147E-3</v>
      </c>
      <c r="I1274" t="s">
        <v>242</v>
      </c>
      <c r="J1274" t="s">
        <v>28</v>
      </c>
      <c r="K1274" s="5">
        <f>655 / 86400</f>
        <v>7.5810185185185182E-3</v>
      </c>
      <c r="L1274" s="5">
        <f>1859 / 86400</f>
        <v>2.1516203703703704E-2</v>
      </c>
    </row>
    <row r="1275" spans="1:12" x14ac:dyDescent="0.25">
      <c r="A1275" s="3">
        <v>45716.695891203708</v>
      </c>
      <c r="B1275" t="s">
        <v>41</v>
      </c>
      <c r="C1275" s="3">
        <v>45716.892511574071</v>
      </c>
      <c r="D1275" t="s">
        <v>465</v>
      </c>
      <c r="E1275" s="4">
        <v>58.804000000000002</v>
      </c>
      <c r="F1275" s="4">
        <v>472690.65600000002</v>
      </c>
      <c r="G1275" s="4">
        <v>472749.46</v>
      </c>
      <c r="H1275" s="5">
        <f>8239 / 86400</f>
        <v>9.5358796296296303E-2</v>
      </c>
      <c r="I1275" t="s">
        <v>27</v>
      </c>
      <c r="J1275" t="s">
        <v>28</v>
      </c>
      <c r="K1275" s="5">
        <f>16987 / 86400</f>
        <v>0.1966087962962963</v>
      </c>
      <c r="L1275" s="5">
        <f>310 / 86400</f>
        <v>3.5879629629629629E-3</v>
      </c>
    </row>
    <row r="1276" spans="1:12" x14ac:dyDescent="0.25">
      <c r="A1276" s="3">
        <v>45716.896099537036</v>
      </c>
      <c r="B1276" t="s">
        <v>465</v>
      </c>
      <c r="C1276" s="3">
        <v>45716.897615740745</v>
      </c>
      <c r="D1276" t="s">
        <v>232</v>
      </c>
      <c r="E1276" s="4">
        <v>0.69499999999999995</v>
      </c>
      <c r="F1276" s="4">
        <v>472749.46</v>
      </c>
      <c r="G1276" s="4">
        <v>472750.15500000003</v>
      </c>
      <c r="H1276" s="5">
        <f>0 / 86400</f>
        <v>0</v>
      </c>
      <c r="I1276" t="s">
        <v>165</v>
      </c>
      <c r="J1276" t="s">
        <v>85</v>
      </c>
      <c r="K1276" s="5">
        <f>130 / 86400</f>
        <v>1.5046296296296296E-3</v>
      </c>
      <c r="L1276" s="5">
        <f>54 / 86400</f>
        <v>6.2500000000000001E-4</v>
      </c>
    </row>
    <row r="1277" spans="1:12" x14ac:dyDescent="0.25">
      <c r="A1277" s="3">
        <v>45716.898240740746</v>
      </c>
      <c r="B1277" t="s">
        <v>232</v>
      </c>
      <c r="C1277" s="3">
        <v>45716.99998842593</v>
      </c>
      <c r="D1277" t="s">
        <v>21</v>
      </c>
      <c r="E1277" s="4">
        <v>48.212000000000003</v>
      </c>
      <c r="F1277" s="4">
        <v>472750.15500000003</v>
      </c>
      <c r="G1277" s="4">
        <v>472798.36700000003</v>
      </c>
      <c r="H1277" s="5">
        <f>2540 / 86400</f>
        <v>2.9398148148148149E-2</v>
      </c>
      <c r="I1277" t="s">
        <v>104</v>
      </c>
      <c r="J1277" t="s">
        <v>108</v>
      </c>
      <c r="K1277" s="5">
        <f>8791 / 86400</f>
        <v>0.10174768518518519</v>
      </c>
      <c r="L1277" s="5">
        <f>0 / 86400</f>
        <v>0</v>
      </c>
    </row>
    <row r="1278" spans="1:1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</row>
    <row r="1279" spans="1:1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2" s="10" customFormat="1" ht="20.100000000000001" customHeight="1" x14ac:dyDescent="0.35">
      <c r="A1280" s="15" t="s">
        <v>524</v>
      </c>
      <c r="B1280" s="15"/>
      <c r="C1280" s="15"/>
      <c r="D1280" s="15"/>
      <c r="E1280" s="15"/>
      <c r="F1280" s="15"/>
      <c r="G1280" s="15"/>
      <c r="H1280" s="15"/>
      <c r="I1280" s="15"/>
      <c r="J1280" s="15"/>
    </row>
    <row r="1281" spans="1:1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</row>
    <row r="1282" spans="1:12" ht="30" x14ac:dyDescent="0.25">
      <c r="A1282" s="2" t="s">
        <v>6</v>
      </c>
      <c r="B1282" s="2" t="s">
        <v>7</v>
      </c>
      <c r="C1282" s="2" t="s">
        <v>8</v>
      </c>
      <c r="D1282" s="2" t="s">
        <v>9</v>
      </c>
      <c r="E1282" s="2" t="s">
        <v>10</v>
      </c>
      <c r="F1282" s="2" t="s">
        <v>11</v>
      </c>
      <c r="G1282" s="2" t="s">
        <v>12</v>
      </c>
      <c r="H1282" s="2" t="s">
        <v>13</v>
      </c>
      <c r="I1282" s="2" t="s">
        <v>14</v>
      </c>
      <c r="J1282" s="2" t="s">
        <v>15</v>
      </c>
      <c r="K1282" s="2" t="s">
        <v>16</v>
      </c>
      <c r="L1282" s="2" t="s">
        <v>17</v>
      </c>
    </row>
    <row r="1283" spans="1:12" x14ac:dyDescent="0.25">
      <c r="A1283" s="3">
        <v>45716.233935185184</v>
      </c>
      <c r="B1283" t="s">
        <v>99</v>
      </c>
      <c r="C1283" s="3">
        <v>45716.237071759257</v>
      </c>
      <c r="D1283" t="s">
        <v>99</v>
      </c>
      <c r="E1283" s="4">
        <v>0</v>
      </c>
      <c r="F1283" s="4">
        <v>428213.33600000001</v>
      </c>
      <c r="G1283" s="4">
        <v>428213.33600000001</v>
      </c>
      <c r="H1283" s="5">
        <f>259 / 86400</f>
        <v>2.9976851851851853E-3</v>
      </c>
      <c r="I1283" t="s">
        <v>22</v>
      </c>
      <c r="J1283" t="s">
        <v>22</v>
      </c>
      <c r="K1283" s="5">
        <f>270 / 86400</f>
        <v>3.1250000000000002E-3</v>
      </c>
      <c r="L1283" s="5">
        <f>20761 / 86400</f>
        <v>0.24028935185185185</v>
      </c>
    </row>
    <row r="1284" spans="1:12" x14ac:dyDescent="0.25">
      <c r="A1284" s="3">
        <v>45716.243425925924</v>
      </c>
      <c r="B1284" t="s">
        <v>99</v>
      </c>
      <c r="C1284" s="3">
        <v>45716.367708333331</v>
      </c>
      <c r="D1284" t="s">
        <v>99</v>
      </c>
      <c r="E1284" s="4">
        <v>0</v>
      </c>
      <c r="F1284" s="4">
        <v>428213.33600000001</v>
      </c>
      <c r="G1284" s="4">
        <v>428213.33600000001</v>
      </c>
      <c r="H1284" s="5">
        <f>10729 / 86400</f>
        <v>0.12417824074074074</v>
      </c>
      <c r="I1284" t="s">
        <v>22</v>
      </c>
      <c r="J1284" t="s">
        <v>22</v>
      </c>
      <c r="K1284" s="5">
        <f>10738 / 86400</f>
        <v>0.12428240740740741</v>
      </c>
      <c r="L1284" s="5">
        <f>1268 / 86400</f>
        <v>1.4675925925925926E-2</v>
      </c>
    </row>
    <row r="1285" spans="1:12" x14ac:dyDescent="0.25">
      <c r="A1285" s="3">
        <v>45716.382384259261</v>
      </c>
      <c r="B1285" t="s">
        <v>99</v>
      </c>
      <c r="C1285" s="3">
        <v>45716.51761574074</v>
      </c>
      <c r="D1285" t="s">
        <v>99</v>
      </c>
      <c r="E1285" s="4">
        <v>0</v>
      </c>
      <c r="F1285" s="4">
        <v>428213.33600000001</v>
      </c>
      <c r="G1285" s="4">
        <v>428213.33600000001</v>
      </c>
      <c r="H1285" s="5">
        <f>11669 / 86400</f>
        <v>0.13505787037037037</v>
      </c>
      <c r="I1285" t="s">
        <v>22</v>
      </c>
      <c r="J1285" t="s">
        <v>22</v>
      </c>
      <c r="K1285" s="5">
        <f>11683 / 86400</f>
        <v>0.13521990740740741</v>
      </c>
      <c r="L1285" s="5">
        <f>816 / 86400</f>
        <v>9.4444444444444445E-3</v>
      </c>
    </row>
    <row r="1286" spans="1:12" x14ac:dyDescent="0.25">
      <c r="A1286" s="3">
        <v>45716.527060185181</v>
      </c>
      <c r="B1286" t="s">
        <v>99</v>
      </c>
      <c r="C1286" s="3">
        <v>45716.527175925927</v>
      </c>
      <c r="D1286" t="s">
        <v>99</v>
      </c>
      <c r="E1286" s="4">
        <v>0</v>
      </c>
      <c r="F1286" s="4">
        <v>428213.33600000001</v>
      </c>
      <c r="G1286" s="4">
        <v>428213.33600000001</v>
      </c>
      <c r="H1286" s="5">
        <f>0 / 86400</f>
        <v>0</v>
      </c>
      <c r="I1286" t="s">
        <v>22</v>
      </c>
      <c r="J1286" t="s">
        <v>22</v>
      </c>
      <c r="K1286" s="5">
        <f>10 / 86400</f>
        <v>1.1574074074074075E-4</v>
      </c>
      <c r="L1286" s="5">
        <f>1 / 86400</f>
        <v>1.1574074074074073E-5</v>
      </c>
    </row>
    <row r="1287" spans="1:12" x14ac:dyDescent="0.25">
      <c r="A1287" s="3">
        <v>45716.527187500003</v>
      </c>
      <c r="B1287" t="s">
        <v>99</v>
      </c>
      <c r="C1287" s="3">
        <v>45716.532118055555</v>
      </c>
      <c r="D1287" t="s">
        <v>99</v>
      </c>
      <c r="E1287" s="4">
        <v>0</v>
      </c>
      <c r="F1287" s="4">
        <v>428213.33600000001</v>
      </c>
      <c r="G1287" s="4">
        <v>428213.33600000001</v>
      </c>
      <c r="H1287" s="5">
        <f>409 / 86400</f>
        <v>4.7337962962962967E-3</v>
      </c>
      <c r="I1287" t="s">
        <v>22</v>
      </c>
      <c r="J1287" t="s">
        <v>22</v>
      </c>
      <c r="K1287" s="5">
        <f>426 / 86400</f>
        <v>4.9305555555555552E-3</v>
      </c>
      <c r="L1287" s="5">
        <f>6935 / 86400</f>
        <v>8.0266203703703701E-2</v>
      </c>
    </row>
    <row r="1288" spans="1:12" x14ac:dyDescent="0.25">
      <c r="A1288" s="3">
        <v>45716.612384259264</v>
      </c>
      <c r="B1288" t="s">
        <v>99</v>
      </c>
      <c r="C1288" s="3">
        <v>45716.614108796297</v>
      </c>
      <c r="D1288" t="s">
        <v>99</v>
      </c>
      <c r="E1288" s="4">
        <v>0</v>
      </c>
      <c r="F1288" s="4">
        <v>428213.33600000001</v>
      </c>
      <c r="G1288" s="4">
        <v>428213.33600000001</v>
      </c>
      <c r="H1288" s="5">
        <f>139 / 86400</f>
        <v>1.6087962962962963E-3</v>
      </c>
      <c r="I1288" t="s">
        <v>22</v>
      </c>
      <c r="J1288" t="s">
        <v>22</v>
      </c>
      <c r="K1288" s="5">
        <f>149 / 86400</f>
        <v>1.724537037037037E-3</v>
      </c>
      <c r="L1288" s="5">
        <f>3232 / 86400</f>
        <v>3.740740740740741E-2</v>
      </c>
    </row>
    <row r="1289" spans="1:12" x14ac:dyDescent="0.25">
      <c r="A1289" s="3">
        <v>45716.651516203703</v>
      </c>
      <c r="B1289" t="s">
        <v>99</v>
      </c>
      <c r="C1289" s="3">
        <v>45716.655868055561</v>
      </c>
      <c r="D1289" t="s">
        <v>99</v>
      </c>
      <c r="E1289" s="4">
        <v>0</v>
      </c>
      <c r="F1289" s="4">
        <v>428213.33600000001</v>
      </c>
      <c r="G1289" s="4">
        <v>428213.33600000001</v>
      </c>
      <c r="H1289" s="5">
        <f>359 / 86400</f>
        <v>4.1550925925925922E-3</v>
      </c>
      <c r="I1289" t="s">
        <v>22</v>
      </c>
      <c r="J1289" t="s">
        <v>22</v>
      </c>
      <c r="K1289" s="5">
        <f>376 / 86400</f>
        <v>4.3518518518518515E-3</v>
      </c>
      <c r="L1289" s="5">
        <f>808 / 86400</f>
        <v>9.3518518518518525E-3</v>
      </c>
    </row>
    <row r="1290" spans="1:12" x14ac:dyDescent="0.25">
      <c r="A1290" s="3">
        <v>45716.665219907409</v>
      </c>
      <c r="B1290" t="s">
        <v>99</v>
      </c>
      <c r="C1290" s="3">
        <v>45716.665833333333</v>
      </c>
      <c r="D1290" t="s">
        <v>99</v>
      </c>
      <c r="E1290" s="4">
        <v>0</v>
      </c>
      <c r="F1290" s="4">
        <v>428213.33600000001</v>
      </c>
      <c r="G1290" s="4">
        <v>428213.33600000001</v>
      </c>
      <c r="H1290" s="5">
        <f>39 / 86400</f>
        <v>4.5138888888888887E-4</v>
      </c>
      <c r="I1290" t="s">
        <v>22</v>
      </c>
      <c r="J1290" t="s">
        <v>22</v>
      </c>
      <c r="K1290" s="5">
        <f>53 / 86400</f>
        <v>6.134259259259259E-4</v>
      </c>
      <c r="L1290" s="5">
        <f>2109 / 86400</f>
        <v>2.4409722222222222E-2</v>
      </c>
    </row>
    <row r="1291" spans="1:12" x14ac:dyDescent="0.25">
      <c r="A1291" s="3">
        <v>45716.690243055556</v>
      </c>
      <c r="B1291" t="s">
        <v>99</v>
      </c>
      <c r="C1291" s="3">
        <v>45716.943831018521</v>
      </c>
      <c r="D1291" t="s">
        <v>99</v>
      </c>
      <c r="E1291" s="4">
        <v>0</v>
      </c>
      <c r="F1291" s="4">
        <v>428213.33600000001</v>
      </c>
      <c r="G1291" s="4">
        <v>428213.33600000001</v>
      </c>
      <c r="H1291" s="5">
        <f>21899 / 86400</f>
        <v>0.25346064814814817</v>
      </c>
      <c r="I1291" t="s">
        <v>22</v>
      </c>
      <c r="J1291" t="s">
        <v>22</v>
      </c>
      <c r="K1291" s="5">
        <f>21909 / 86400</f>
        <v>0.25357638888888889</v>
      </c>
      <c r="L1291" s="5">
        <f>999 / 86400</f>
        <v>1.15625E-2</v>
      </c>
    </row>
    <row r="1292" spans="1:12" x14ac:dyDescent="0.25">
      <c r="A1292" s="3">
        <v>45716.955393518518</v>
      </c>
      <c r="B1292" t="s">
        <v>99</v>
      </c>
      <c r="C1292" s="3">
        <v>45716.956469907411</v>
      </c>
      <c r="D1292" t="s">
        <v>99</v>
      </c>
      <c r="E1292" s="4">
        <v>0</v>
      </c>
      <c r="F1292" s="4">
        <v>428213.33600000001</v>
      </c>
      <c r="G1292" s="4">
        <v>428213.33600000001</v>
      </c>
      <c r="H1292" s="5">
        <f>79 / 86400</f>
        <v>9.1435185185185185E-4</v>
      </c>
      <c r="I1292" t="s">
        <v>22</v>
      </c>
      <c r="J1292" t="s">
        <v>22</v>
      </c>
      <c r="K1292" s="5">
        <f>92 / 86400</f>
        <v>1.0648148148148149E-3</v>
      </c>
      <c r="L1292" s="5">
        <f>480 / 86400</f>
        <v>5.5555555555555558E-3</v>
      </c>
    </row>
    <row r="1293" spans="1:12" x14ac:dyDescent="0.25">
      <c r="A1293" s="3">
        <v>45716.962025462963</v>
      </c>
      <c r="B1293" t="s">
        <v>99</v>
      </c>
      <c r="C1293" s="3">
        <v>45716.964212962965</v>
      </c>
      <c r="D1293" t="s">
        <v>99</v>
      </c>
      <c r="E1293" s="4">
        <v>0</v>
      </c>
      <c r="F1293" s="4">
        <v>428213.33600000001</v>
      </c>
      <c r="G1293" s="4">
        <v>428213.33600000001</v>
      </c>
      <c r="H1293" s="5">
        <f>179 / 86400</f>
        <v>2.0717592592592593E-3</v>
      </c>
      <c r="I1293" t="s">
        <v>22</v>
      </c>
      <c r="J1293" t="s">
        <v>22</v>
      </c>
      <c r="K1293" s="5">
        <f>188 / 86400</f>
        <v>2.1759259259259258E-3</v>
      </c>
      <c r="L1293" s="5">
        <f>3091 / 86400</f>
        <v>3.577546296296296E-2</v>
      </c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</row>
    <row r="1296" spans="1:12" s="10" customFormat="1" ht="20.100000000000001" customHeight="1" x14ac:dyDescent="0.35">
      <c r="A1296" s="15" t="s">
        <v>525</v>
      </c>
      <c r="B1296" s="15"/>
      <c r="C1296" s="15"/>
      <c r="D1296" s="15"/>
      <c r="E1296" s="15"/>
      <c r="F1296" s="15"/>
      <c r="G1296" s="15"/>
      <c r="H1296" s="15"/>
      <c r="I1296" s="15"/>
      <c r="J1296" s="15"/>
    </row>
    <row r="1297" spans="1:1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</row>
    <row r="1298" spans="1:12" ht="30" x14ac:dyDescent="0.25">
      <c r="A1298" s="2" t="s">
        <v>6</v>
      </c>
      <c r="B1298" s="2" t="s">
        <v>7</v>
      </c>
      <c r="C1298" s="2" t="s">
        <v>8</v>
      </c>
      <c r="D1298" s="2" t="s">
        <v>9</v>
      </c>
      <c r="E1298" s="2" t="s">
        <v>10</v>
      </c>
      <c r="F1298" s="2" t="s">
        <v>11</v>
      </c>
      <c r="G1298" s="2" t="s">
        <v>12</v>
      </c>
      <c r="H1298" s="2" t="s">
        <v>13</v>
      </c>
      <c r="I1298" s="2" t="s">
        <v>14</v>
      </c>
      <c r="J1298" s="2" t="s">
        <v>15</v>
      </c>
      <c r="K1298" s="2" t="s">
        <v>16</v>
      </c>
      <c r="L1298" s="2" t="s">
        <v>17</v>
      </c>
    </row>
    <row r="1299" spans="1:12" x14ac:dyDescent="0.25">
      <c r="A1299" s="3">
        <v>45716.250162037039</v>
      </c>
      <c r="B1299" t="s">
        <v>26</v>
      </c>
      <c r="C1299" s="3">
        <v>45716.314560185187</v>
      </c>
      <c r="D1299" t="s">
        <v>144</v>
      </c>
      <c r="E1299" s="4">
        <v>30.262</v>
      </c>
      <c r="F1299" s="4">
        <v>578100.24300000002</v>
      </c>
      <c r="G1299" s="4">
        <v>578130.505</v>
      </c>
      <c r="H1299" s="5">
        <f>1760 / 86400</f>
        <v>2.0370370370370372E-2</v>
      </c>
      <c r="I1299" t="s">
        <v>63</v>
      </c>
      <c r="J1299" t="s">
        <v>108</v>
      </c>
      <c r="K1299" s="5">
        <f>5563 / 86400</f>
        <v>6.4386574074074068E-2</v>
      </c>
      <c r="L1299" s="5">
        <f>21747 / 86400</f>
        <v>0.25170138888888888</v>
      </c>
    </row>
    <row r="1300" spans="1:12" x14ac:dyDescent="0.25">
      <c r="A1300" s="3">
        <v>45716.316099537042</v>
      </c>
      <c r="B1300" t="s">
        <v>144</v>
      </c>
      <c r="C1300" s="3">
        <v>45716.317673611113</v>
      </c>
      <c r="D1300" t="s">
        <v>146</v>
      </c>
      <c r="E1300" s="4">
        <v>1.2E-2</v>
      </c>
      <c r="F1300" s="4">
        <v>578130.505</v>
      </c>
      <c r="G1300" s="4">
        <v>578130.51699999999</v>
      </c>
      <c r="H1300" s="5">
        <f>119 / 86400</f>
        <v>1.3773148148148147E-3</v>
      </c>
      <c r="I1300" t="s">
        <v>22</v>
      </c>
      <c r="J1300" t="s">
        <v>22</v>
      </c>
      <c r="K1300" s="5">
        <f>135 / 86400</f>
        <v>1.5625000000000001E-3</v>
      </c>
      <c r="L1300" s="5">
        <f>533 / 86400</f>
        <v>6.1689814814814819E-3</v>
      </c>
    </row>
    <row r="1301" spans="1:12" x14ac:dyDescent="0.25">
      <c r="A1301" s="3">
        <v>45716.323842592596</v>
      </c>
      <c r="B1301" t="s">
        <v>146</v>
      </c>
      <c r="C1301" s="3">
        <v>45716.480844907404</v>
      </c>
      <c r="D1301" t="s">
        <v>232</v>
      </c>
      <c r="E1301" s="4">
        <v>56.697000000000003</v>
      </c>
      <c r="F1301" s="4">
        <v>578130.51699999999</v>
      </c>
      <c r="G1301" s="4">
        <v>578187.21400000004</v>
      </c>
      <c r="H1301" s="5">
        <f>4836 / 86400</f>
        <v>5.5972222222222222E-2</v>
      </c>
      <c r="I1301" t="s">
        <v>81</v>
      </c>
      <c r="J1301" t="s">
        <v>35</v>
      </c>
      <c r="K1301" s="5">
        <f>13565 / 86400</f>
        <v>0.1570023148148148</v>
      </c>
      <c r="L1301" s="5">
        <f>4 / 86400</f>
        <v>4.6296296296296294E-5</v>
      </c>
    </row>
    <row r="1302" spans="1:12" x14ac:dyDescent="0.25">
      <c r="A1302" s="3">
        <v>45716.480891203704</v>
      </c>
      <c r="B1302" t="s">
        <v>232</v>
      </c>
      <c r="C1302" s="3">
        <v>45716.513611111106</v>
      </c>
      <c r="D1302" t="s">
        <v>466</v>
      </c>
      <c r="E1302" s="4">
        <v>5.8979999999999997</v>
      </c>
      <c r="F1302" s="4">
        <v>578187.21400000004</v>
      </c>
      <c r="G1302" s="4">
        <v>578193.11199999996</v>
      </c>
      <c r="H1302" s="5">
        <f>1779 / 86400</f>
        <v>2.0590277777777777E-2</v>
      </c>
      <c r="I1302" t="s">
        <v>44</v>
      </c>
      <c r="J1302" t="s">
        <v>214</v>
      </c>
      <c r="K1302" s="5">
        <f>2826 / 86400</f>
        <v>3.2708333333333332E-2</v>
      </c>
      <c r="L1302" s="5">
        <f>3949 / 86400</f>
        <v>4.5706018518518521E-2</v>
      </c>
    </row>
    <row r="1303" spans="1:12" x14ac:dyDescent="0.25">
      <c r="A1303" s="3">
        <v>45716.559317129635</v>
      </c>
      <c r="B1303" t="s">
        <v>466</v>
      </c>
      <c r="C1303" s="3">
        <v>45716.617662037039</v>
      </c>
      <c r="D1303" t="s">
        <v>232</v>
      </c>
      <c r="E1303" s="4">
        <v>6.9169999999999998</v>
      </c>
      <c r="F1303" s="4">
        <v>578193.11199999996</v>
      </c>
      <c r="G1303" s="4">
        <v>578200.02899999998</v>
      </c>
      <c r="H1303" s="5">
        <f>3479 / 86400</f>
        <v>4.0266203703703707E-2</v>
      </c>
      <c r="I1303" t="s">
        <v>318</v>
      </c>
      <c r="J1303" t="s">
        <v>25</v>
      </c>
      <c r="K1303" s="5">
        <f>5040 / 86400</f>
        <v>5.8333333333333334E-2</v>
      </c>
      <c r="L1303" s="5">
        <f>321 / 86400</f>
        <v>3.7152777777777778E-3</v>
      </c>
    </row>
    <row r="1304" spans="1:12" x14ac:dyDescent="0.25">
      <c r="A1304" s="3">
        <v>45716.621377314819</v>
      </c>
      <c r="B1304" t="s">
        <v>232</v>
      </c>
      <c r="C1304" s="3">
        <v>45716.894537037035</v>
      </c>
      <c r="D1304" t="s">
        <v>148</v>
      </c>
      <c r="E1304" s="4">
        <v>56.582000000000001</v>
      </c>
      <c r="F1304" s="4">
        <v>578200.02899999998</v>
      </c>
      <c r="G1304" s="4">
        <v>578256.61100000003</v>
      </c>
      <c r="H1304" s="5">
        <f>13039 / 86400</f>
        <v>0.15091435185185184</v>
      </c>
      <c r="I1304" t="s">
        <v>39</v>
      </c>
      <c r="J1304" t="s">
        <v>132</v>
      </c>
      <c r="K1304" s="5">
        <f>23601 / 86400</f>
        <v>0.27315972222222223</v>
      </c>
      <c r="L1304" s="5">
        <f>205 / 86400</f>
        <v>2.3726851851851851E-3</v>
      </c>
    </row>
    <row r="1305" spans="1:12" x14ac:dyDescent="0.25">
      <c r="A1305" s="3">
        <v>45716.896909722222</v>
      </c>
      <c r="B1305" t="s">
        <v>148</v>
      </c>
      <c r="C1305" s="3">
        <v>45716.897743055553</v>
      </c>
      <c r="D1305" t="s">
        <v>148</v>
      </c>
      <c r="E1305" s="4">
        <v>7.1999999999999995E-2</v>
      </c>
      <c r="F1305" s="4">
        <v>578256.61100000003</v>
      </c>
      <c r="G1305" s="4">
        <v>578256.68299999996</v>
      </c>
      <c r="H1305" s="5">
        <f>20 / 86400</f>
        <v>2.3148148148148149E-4</v>
      </c>
      <c r="I1305" t="s">
        <v>132</v>
      </c>
      <c r="J1305" t="s">
        <v>147</v>
      </c>
      <c r="K1305" s="5">
        <f>71 / 86400</f>
        <v>8.2175925925925927E-4</v>
      </c>
      <c r="L1305" s="5">
        <f>847 / 86400</f>
        <v>9.8032407407407408E-3</v>
      </c>
    </row>
    <row r="1306" spans="1:12" x14ac:dyDescent="0.25">
      <c r="A1306" s="3">
        <v>45716.907546296294</v>
      </c>
      <c r="B1306" t="s">
        <v>148</v>
      </c>
      <c r="C1306" s="3">
        <v>45716.918541666666</v>
      </c>
      <c r="D1306" t="s">
        <v>26</v>
      </c>
      <c r="E1306" s="4">
        <v>1.796</v>
      </c>
      <c r="F1306" s="4">
        <v>578256.68299999996</v>
      </c>
      <c r="G1306" s="4">
        <v>578258.47900000005</v>
      </c>
      <c r="H1306" s="5">
        <f>499 / 86400</f>
        <v>5.7754629629629631E-3</v>
      </c>
      <c r="I1306" t="s">
        <v>140</v>
      </c>
      <c r="J1306" t="s">
        <v>57</v>
      </c>
      <c r="K1306" s="5">
        <f>950 / 86400</f>
        <v>1.0995370370370371E-2</v>
      </c>
      <c r="L1306" s="5">
        <f>7037 / 86400</f>
        <v>8.144675925925926E-2</v>
      </c>
    </row>
    <row r="1307" spans="1:1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</row>
    <row r="1308" spans="1:1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</row>
    <row r="1309" spans="1:12" s="10" customFormat="1" ht="20.100000000000001" customHeight="1" x14ac:dyDescent="0.35">
      <c r="A1309" s="15" t="s">
        <v>526</v>
      </c>
      <c r="B1309" s="15"/>
      <c r="C1309" s="15"/>
      <c r="D1309" s="15"/>
      <c r="E1309" s="15"/>
      <c r="F1309" s="15"/>
      <c r="G1309" s="15"/>
      <c r="H1309" s="15"/>
      <c r="I1309" s="15"/>
      <c r="J1309" s="15"/>
    </row>
    <row r="1310" spans="1:1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</row>
    <row r="1311" spans="1:12" ht="30" x14ac:dyDescent="0.25">
      <c r="A1311" s="2" t="s">
        <v>6</v>
      </c>
      <c r="B1311" s="2" t="s">
        <v>7</v>
      </c>
      <c r="C1311" s="2" t="s">
        <v>8</v>
      </c>
      <c r="D1311" s="2" t="s">
        <v>9</v>
      </c>
      <c r="E1311" s="2" t="s">
        <v>10</v>
      </c>
      <c r="F1311" s="2" t="s">
        <v>11</v>
      </c>
      <c r="G1311" s="2" t="s">
        <v>12</v>
      </c>
      <c r="H1311" s="2" t="s">
        <v>13</v>
      </c>
      <c r="I1311" s="2" t="s">
        <v>14</v>
      </c>
      <c r="J1311" s="2" t="s">
        <v>15</v>
      </c>
      <c r="K1311" s="2" t="s">
        <v>16</v>
      </c>
      <c r="L1311" s="2" t="s">
        <v>17</v>
      </c>
    </row>
    <row r="1312" spans="1:12" x14ac:dyDescent="0.25">
      <c r="A1312" s="3">
        <v>45716.238310185188</v>
      </c>
      <c r="B1312" t="s">
        <v>101</v>
      </c>
      <c r="C1312" s="3">
        <v>45716.616296296299</v>
      </c>
      <c r="D1312" t="s">
        <v>98</v>
      </c>
      <c r="E1312" s="4">
        <v>132.73400000000001</v>
      </c>
      <c r="F1312" s="4">
        <v>418798.429</v>
      </c>
      <c r="G1312" s="4">
        <v>418931.163</v>
      </c>
      <c r="H1312" s="5">
        <f>13247 / 86400</f>
        <v>0.15332175925925925</v>
      </c>
      <c r="I1312" t="s">
        <v>87</v>
      </c>
      <c r="J1312" t="s">
        <v>35</v>
      </c>
      <c r="K1312" s="5">
        <f>32657 / 86400</f>
        <v>0.37797453703703704</v>
      </c>
      <c r="L1312" s="5">
        <f>22695 / 86400</f>
        <v>0.26267361111111109</v>
      </c>
    </row>
    <row r="1313" spans="1:12" x14ac:dyDescent="0.25">
      <c r="A1313" s="3">
        <v>45716.640659722223</v>
      </c>
      <c r="B1313" t="s">
        <v>98</v>
      </c>
      <c r="C1313" s="3">
        <v>45716.64126157407</v>
      </c>
      <c r="D1313" t="s">
        <v>135</v>
      </c>
      <c r="E1313" s="4">
        <v>0.04</v>
      </c>
      <c r="F1313" s="4">
        <v>418931.163</v>
      </c>
      <c r="G1313" s="4">
        <v>418931.20299999998</v>
      </c>
      <c r="H1313" s="5">
        <f>0 / 86400</f>
        <v>0</v>
      </c>
      <c r="I1313" t="s">
        <v>147</v>
      </c>
      <c r="J1313" t="s">
        <v>33</v>
      </c>
      <c r="K1313" s="5">
        <f>51 / 86400</f>
        <v>5.9027777777777778E-4</v>
      </c>
      <c r="L1313" s="5">
        <f>149 / 86400</f>
        <v>1.724537037037037E-3</v>
      </c>
    </row>
    <row r="1314" spans="1:12" x14ac:dyDescent="0.25">
      <c r="A1314" s="3">
        <v>45716.64298611111</v>
      </c>
      <c r="B1314" t="s">
        <v>135</v>
      </c>
      <c r="C1314" s="3">
        <v>45716.644942129627</v>
      </c>
      <c r="D1314" t="s">
        <v>136</v>
      </c>
      <c r="E1314" s="4">
        <v>0.24399999999999999</v>
      </c>
      <c r="F1314" s="4">
        <v>418931.20299999998</v>
      </c>
      <c r="G1314" s="4">
        <v>418931.44699999999</v>
      </c>
      <c r="H1314" s="5">
        <f>80 / 86400</f>
        <v>9.2592592592592596E-4</v>
      </c>
      <c r="I1314" t="s">
        <v>85</v>
      </c>
      <c r="J1314" t="s">
        <v>25</v>
      </c>
      <c r="K1314" s="5">
        <f>168 / 86400</f>
        <v>1.9444444444444444E-3</v>
      </c>
      <c r="L1314" s="5">
        <f>319 / 86400</f>
        <v>3.6921296296296298E-3</v>
      </c>
    </row>
    <row r="1315" spans="1:12" x14ac:dyDescent="0.25">
      <c r="A1315" s="3">
        <v>45716.648634259254</v>
      </c>
      <c r="B1315" t="s">
        <v>136</v>
      </c>
      <c r="C1315" s="3">
        <v>45716.649282407408</v>
      </c>
      <c r="D1315" t="s">
        <v>136</v>
      </c>
      <c r="E1315" s="4">
        <v>8.1000000000000003E-2</v>
      </c>
      <c r="F1315" s="4">
        <v>418931.44699999999</v>
      </c>
      <c r="G1315" s="4">
        <v>418931.52799999999</v>
      </c>
      <c r="H1315" s="5">
        <f>0 / 86400</f>
        <v>0</v>
      </c>
      <c r="I1315" t="s">
        <v>100</v>
      </c>
      <c r="J1315" t="s">
        <v>25</v>
      </c>
      <c r="K1315" s="5">
        <f>55 / 86400</f>
        <v>6.3657407407407413E-4</v>
      </c>
      <c r="L1315" s="5">
        <f>2052 / 86400</f>
        <v>2.375E-2</v>
      </c>
    </row>
    <row r="1316" spans="1:12" x14ac:dyDescent="0.25">
      <c r="A1316" s="3">
        <v>45716.673032407409</v>
      </c>
      <c r="B1316" t="s">
        <v>134</v>
      </c>
      <c r="C1316" s="3">
        <v>45716.673935185187</v>
      </c>
      <c r="D1316" t="s">
        <v>134</v>
      </c>
      <c r="E1316" s="4">
        <v>7.0000000000000001E-3</v>
      </c>
      <c r="F1316" s="4">
        <v>418931.52799999999</v>
      </c>
      <c r="G1316" s="4">
        <v>418931.53499999997</v>
      </c>
      <c r="H1316" s="5">
        <f>59 / 86400</f>
        <v>6.8287037037037036E-4</v>
      </c>
      <c r="I1316" t="s">
        <v>22</v>
      </c>
      <c r="J1316" t="s">
        <v>22</v>
      </c>
      <c r="K1316" s="5">
        <f>77 / 86400</f>
        <v>8.9120370370370373E-4</v>
      </c>
      <c r="L1316" s="5">
        <f>8638 / 86400</f>
        <v>9.9976851851851858E-2</v>
      </c>
    </row>
    <row r="1317" spans="1:12" x14ac:dyDescent="0.25">
      <c r="A1317" s="3">
        <v>45716.773912037039</v>
      </c>
      <c r="B1317" t="s">
        <v>134</v>
      </c>
      <c r="C1317" s="3">
        <v>45716.900509259256</v>
      </c>
      <c r="D1317" t="s">
        <v>101</v>
      </c>
      <c r="E1317" s="4">
        <v>54.929000000000002</v>
      </c>
      <c r="F1317" s="4">
        <v>418931.53499999997</v>
      </c>
      <c r="G1317" s="4">
        <v>418986.46399999998</v>
      </c>
      <c r="H1317" s="5">
        <f>2680 / 86400</f>
        <v>3.1018518518518518E-2</v>
      </c>
      <c r="I1317" t="s">
        <v>39</v>
      </c>
      <c r="J1317" t="s">
        <v>20</v>
      </c>
      <c r="K1317" s="5">
        <f>10937 / 86400</f>
        <v>0.12658564814814816</v>
      </c>
      <c r="L1317" s="5">
        <f>8595 / 86400</f>
        <v>9.947916666666666E-2</v>
      </c>
    </row>
    <row r="1318" spans="1:1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</row>
    <row r="1319" spans="1:1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</row>
    <row r="1320" spans="1:12" s="10" customFormat="1" ht="20.100000000000001" customHeight="1" x14ac:dyDescent="0.35">
      <c r="A1320" s="15" t="s">
        <v>527</v>
      </c>
      <c r="B1320" s="15"/>
      <c r="C1320" s="15"/>
      <c r="D1320" s="15"/>
      <c r="E1320" s="15"/>
      <c r="F1320" s="15"/>
      <c r="G1320" s="15"/>
      <c r="H1320" s="15"/>
      <c r="I1320" s="15"/>
      <c r="J1320" s="15"/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2" ht="30" x14ac:dyDescent="0.25">
      <c r="A1322" s="2" t="s">
        <v>6</v>
      </c>
      <c r="B1322" s="2" t="s">
        <v>7</v>
      </c>
      <c r="C1322" s="2" t="s">
        <v>8</v>
      </c>
      <c r="D1322" s="2" t="s">
        <v>9</v>
      </c>
      <c r="E1322" s="2" t="s">
        <v>10</v>
      </c>
      <c r="F1322" s="2" t="s">
        <v>11</v>
      </c>
      <c r="G1322" s="2" t="s">
        <v>12</v>
      </c>
      <c r="H1322" s="2" t="s">
        <v>13</v>
      </c>
      <c r="I1322" s="2" t="s">
        <v>14</v>
      </c>
      <c r="J1322" s="2" t="s">
        <v>15</v>
      </c>
      <c r="K1322" s="2" t="s">
        <v>16</v>
      </c>
      <c r="L1322" s="2" t="s">
        <v>17</v>
      </c>
    </row>
    <row r="1323" spans="1:12" x14ac:dyDescent="0.25">
      <c r="A1323" s="3">
        <v>45716.296296296292</v>
      </c>
      <c r="B1323" t="s">
        <v>102</v>
      </c>
      <c r="C1323" s="3">
        <v>45716.319571759261</v>
      </c>
      <c r="D1323" t="s">
        <v>467</v>
      </c>
      <c r="E1323" s="4">
        <v>12.734</v>
      </c>
      <c r="F1323" s="4">
        <v>402321.21500000003</v>
      </c>
      <c r="G1323" s="4">
        <v>402333.94900000002</v>
      </c>
      <c r="H1323" s="5">
        <f>559 / 86400</f>
        <v>6.4699074074074077E-3</v>
      </c>
      <c r="I1323" t="s">
        <v>219</v>
      </c>
      <c r="J1323" t="s">
        <v>153</v>
      </c>
      <c r="K1323" s="5">
        <f>2011 / 86400</f>
        <v>2.3275462962962963E-2</v>
      </c>
      <c r="L1323" s="5">
        <f>28620 / 86400</f>
        <v>0.33124999999999999</v>
      </c>
    </row>
    <row r="1324" spans="1:12" x14ac:dyDescent="0.25">
      <c r="A1324" s="3">
        <v>45716.354525462964</v>
      </c>
      <c r="B1324" t="s">
        <v>467</v>
      </c>
      <c r="C1324" s="3">
        <v>45716.36513888889</v>
      </c>
      <c r="D1324" t="s">
        <v>136</v>
      </c>
      <c r="E1324" s="4">
        <v>4.0090000000000003</v>
      </c>
      <c r="F1324" s="4">
        <v>402333.94900000002</v>
      </c>
      <c r="G1324" s="4">
        <v>402337.95799999998</v>
      </c>
      <c r="H1324" s="5">
        <f>163 / 86400</f>
        <v>1.8865740740740742E-3</v>
      </c>
      <c r="I1324" t="s">
        <v>179</v>
      </c>
      <c r="J1324" t="s">
        <v>31</v>
      </c>
      <c r="K1324" s="5">
        <f>916 / 86400</f>
        <v>1.0601851851851852E-2</v>
      </c>
      <c r="L1324" s="5">
        <f>1865 / 86400</f>
        <v>2.1585648148148149E-2</v>
      </c>
    </row>
    <row r="1325" spans="1:12" x14ac:dyDescent="0.25">
      <c r="A1325" s="3">
        <v>45716.386724537035</v>
      </c>
      <c r="B1325" t="s">
        <v>136</v>
      </c>
      <c r="C1325" s="3">
        <v>45716.390347222223</v>
      </c>
      <c r="D1325" t="s">
        <v>136</v>
      </c>
      <c r="E1325" s="4">
        <v>0.16700000000000001</v>
      </c>
      <c r="F1325" s="4">
        <v>402337.95799999998</v>
      </c>
      <c r="G1325" s="4">
        <v>402338.125</v>
      </c>
      <c r="H1325" s="5">
        <f>139 / 86400</f>
        <v>1.6087962962962963E-3</v>
      </c>
      <c r="I1325" t="s">
        <v>132</v>
      </c>
      <c r="J1325" t="s">
        <v>156</v>
      </c>
      <c r="K1325" s="5">
        <f>313 / 86400</f>
        <v>3.6226851851851854E-3</v>
      </c>
      <c r="L1325" s="5">
        <f>16 / 86400</f>
        <v>1.8518518518518518E-4</v>
      </c>
    </row>
    <row r="1326" spans="1:12" x14ac:dyDescent="0.25">
      <c r="A1326" s="3">
        <v>45716.390532407408</v>
      </c>
      <c r="B1326" t="s">
        <v>136</v>
      </c>
      <c r="C1326" s="3">
        <v>45716.390729166669</v>
      </c>
      <c r="D1326" t="s">
        <v>136</v>
      </c>
      <c r="E1326" s="4">
        <v>4.0000000000000001E-3</v>
      </c>
      <c r="F1326" s="4">
        <v>402338.125</v>
      </c>
      <c r="G1326" s="4">
        <v>402338.12900000002</v>
      </c>
      <c r="H1326" s="5">
        <f>0 / 86400</f>
        <v>0</v>
      </c>
      <c r="I1326" t="s">
        <v>22</v>
      </c>
      <c r="J1326" t="s">
        <v>59</v>
      </c>
      <c r="K1326" s="5">
        <f>17 / 86400</f>
        <v>1.9675925925925926E-4</v>
      </c>
      <c r="L1326" s="5">
        <f>1120 / 86400</f>
        <v>1.2962962962962963E-2</v>
      </c>
    </row>
    <row r="1327" spans="1:12" x14ac:dyDescent="0.25">
      <c r="A1327" s="3">
        <v>45716.403692129628</v>
      </c>
      <c r="B1327" t="s">
        <v>136</v>
      </c>
      <c r="C1327" s="3">
        <v>45716.41</v>
      </c>
      <c r="D1327" t="s">
        <v>134</v>
      </c>
      <c r="E1327" s="4">
        <v>3.6259999999999999</v>
      </c>
      <c r="F1327" s="4">
        <v>402338.12900000002</v>
      </c>
      <c r="G1327" s="4">
        <v>402341.755</v>
      </c>
      <c r="H1327" s="5">
        <f>179 / 86400</f>
        <v>2.0717592592592593E-3</v>
      </c>
      <c r="I1327" t="s">
        <v>104</v>
      </c>
      <c r="J1327" t="s">
        <v>37</v>
      </c>
      <c r="K1327" s="5">
        <f>545 / 86400</f>
        <v>6.3078703703703708E-3</v>
      </c>
      <c r="L1327" s="5">
        <f>1172 / 86400</f>
        <v>1.3564814814814814E-2</v>
      </c>
    </row>
    <row r="1328" spans="1:12" x14ac:dyDescent="0.25">
      <c r="A1328" s="3">
        <v>45716.423564814817</v>
      </c>
      <c r="B1328" t="s">
        <v>134</v>
      </c>
      <c r="C1328" s="3">
        <v>45716.435844907406</v>
      </c>
      <c r="D1328" t="s">
        <v>423</v>
      </c>
      <c r="E1328" s="4">
        <v>4.7619999999999996</v>
      </c>
      <c r="F1328" s="4">
        <v>402341.755</v>
      </c>
      <c r="G1328" s="4">
        <v>402346.51699999999</v>
      </c>
      <c r="H1328" s="5">
        <f>220 / 86400</f>
        <v>2.5462962962962965E-3</v>
      </c>
      <c r="I1328" t="s">
        <v>200</v>
      </c>
      <c r="J1328" t="s">
        <v>31</v>
      </c>
      <c r="K1328" s="5">
        <f>1061 / 86400</f>
        <v>1.2280092592592592E-2</v>
      </c>
      <c r="L1328" s="5">
        <f>2057 / 86400</f>
        <v>2.3807870370370372E-2</v>
      </c>
    </row>
    <row r="1329" spans="1:12" x14ac:dyDescent="0.25">
      <c r="A1329" s="3">
        <v>45716.459652777776</v>
      </c>
      <c r="B1329" t="s">
        <v>423</v>
      </c>
      <c r="C1329" s="3">
        <v>45716.474097222221</v>
      </c>
      <c r="D1329" t="s">
        <v>468</v>
      </c>
      <c r="E1329" s="4">
        <v>1.452</v>
      </c>
      <c r="F1329" s="4">
        <v>402346.51699999999</v>
      </c>
      <c r="G1329" s="4">
        <v>402347.96899999998</v>
      </c>
      <c r="H1329" s="5">
        <f>760 / 86400</f>
        <v>8.7962962962962968E-3</v>
      </c>
      <c r="I1329" t="s">
        <v>130</v>
      </c>
      <c r="J1329" t="s">
        <v>147</v>
      </c>
      <c r="K1329" s="5">
        <f>1247 / 86400</f>
        <v>1.443287037037037E-2</v>
      </c>
      <c r="L1329" s="5">
        <f>9093 / 86400</f>
        <v>0.10524305555555556</v>
      </c>
    </row>
    <row r="1330" spans="1:12" x14ac:dyDescent="0.25">
      <c r="A1330" s="3">
        <v>45716.579340277778</v>
      </c>
      <c r="B1330" t="s">
        <v>468</v>
      </c>
      <c r="C1330" s="3">
        <v>45716.582685185189</v>
      </c>
      <c r="D1330" t="s">
        <v>469</v>
      </c>
      <c r="E1330" s="4">
        <v>0.21199999999999999</v>
      </c>
      <c r="F1330" s="4">
        <v>402347.96899999998</v>
      </c>
      <c r="G1330" s="4">
        <v>402348.18099999998</v>
      </c>
      <c r="H1330" s="5">
        <f>159 / 86400</f>
        <v>1.8402777777777777E-3</v>
      </c>
      <c r="I1330" t="s">
        <v>72</v>
      </c>
      <c r="J1330" t="s">
        <v>33</v>
      </c>
      <c r="K1330" s="5">
        <f>288 / 86400</f>
        <v>3.3333333333333335E-3</v>
      </c>
      <c r="L1330" s="5">
        <f>45 / 86400</f>
        <v>5.2083333333333333E-4</v>
      </c>
    </row>
    <row r="1331" spans="1:12" x14ac:dyDescent="0.25">
      <c r="A1331" s="3">
        <v>45716.58320601852</v>
      </c>
      <c r="B1331" t="s">
        <v>469</v>
      </c>
      <c r="C1331" s="3">
        <v>45716.604201388887</v>
      </c>
      <c r="D1331" t="s">
        <v>103</v>
      </c>
      <c r="E1331" s="4">
        <v>12.911</v>
      </c>
      <c r="F1331" s="4">
        <v>402348.18099999998</v>
      </c>
      <c r="G1331" s="4">
        <v>402361.092</v>
      </c>
      <c r="H1331" s="5">
        <f>140 / 86400</f>
        <v>1.6203703703703703E-3</v>
      </c>
      <c r="I1331" t="s">
        <v>242</v>
      </c>
      <c r="J1331" t="s">
        <v>236</v>
      </c>
      <c r="K1331" s="5">
        <f>1813 / 86400</f>
        <v>2.0983796296296296E-2</v>
      </c>
      <c r="L1331" s="5">
        <f>34196 / 86400</f>
        <v>0.39578703703703705</v>
      </c>
    </row>
    <row r="1332" spans="1:1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2" s="10" customFormat="1" ht="20.100000000000001" customHeight="1" x14ac:dyDescent="0.35">
      <c r="A1334" s="15" t="s">
        <v>528</v>
      </c>
      <c r="B1334" s="15"/>
      <c r="C1334" s="15"/>
      <c r="D1334" s="15"/>
      <c r="E1334" s="15"/>
      <c r="F1334" s="15"/>
      <c r="G1334" s="15"/>
      <c r="H1334" s="15"/>
      <c r="I1334" s="15"/>
      <c r="J1334" s="15"/>
    </row>
    <row r="1335" spans="1:1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</row>
    <row r="1336" spans="1:12" ht="30" x14ac:dyDescent="0.25">
      <c r="A1336" s="2" t="s">
        <v>6</v>
      </c>
      <c r="B1336" s="2" t="s">
        <v>7</v>
      </c>
      <c r="C1336" s="2" t="s">
        <v>8</v>
      </c>
      <c r="D1336" s="2" t="s">
        <v>9</v>
      </c>
      <c r="E1336" s="2" t="s">
        <v>10</v>
      </c>
      <c r="F1336" s="2" t="s">
        <v>11</v>
      </c>
      <c r="G1336" s="2" t="s">
        <v>12</v>
      </c>
      <c r="H1336" s="2" t="s">
        <v>13</v>
      </c>
      <c r="I1336" s="2" t="s">
        <v>14</v>
      </c>
      <c r="J1336" s="2" t="s">
        <v>15</v>
      </c>
      <c r="K1336" s="2" t="s">
        <v>16</v>
      </c>
      <c r="L1336" s="2" t="s">
        <v>17</v>
      </c>
    </row>
    <row r="1337" spans="1:12" x14ac:dyDescent="0.25">
      <c r="A1337" s="3">
        <v>45716.197719907403</v>
      </c>
      <c r="B1337" t="s">
        <v>26</v>
      </c>
      <c r="C1337" s="3">
        <v>45716.215775462959</v>
      </c>
      <c r="D1337" t="s">
        <v>203</v>
      </c>
      <c r="E1337" s="4">
        <v>10.278</v>
      </c>
      <c r="F1337" s="4">
        <v>384391.23100000003</v>
      </c>
      <c r="G1337" s="4">
        <v>384401.50900000002</v>
      </c>
      <c r="H1337" s="5">
        <f>639 / 86400</f>
        <v>7.3958333333333333E-3</v>
      </c>
      <c r="I1337" t="s">
        <v>58</v>
      </c>
      <c r="J1337" t="s">
        <v>37</v>
      </c>
      <c r="K1337" s="5">
        <f>1560 / 86400</f>
        <v>1.8055555555555554E-2</v>
      </c>
      <c r="L1337" s="5">
        <f>17273 / 86400</f>
        <v>0.19991898148148149</v>
      </c>
    </row>
    <row r="1338" spans="1:12" x14ac:dyDescent="0.25">
      <c r="A1338" s="3">
        <v>45716.217974537038</v>
      </c>
      <c r="B1338" t="s">
        <v>203</v>
      </c>
      <c r="C1338" s="3">
        <v>45716.442384259259</v>
      </c>
      <c r="D1338" t="s">
        <v>50</v>
      </c>
      <c r="E1338" s="4">
        <v>85.753</v>
      </c>
      <c r="F1338" s="4">
        <v>384401.50900000002</v>
      </c>
      <c r="G1338" s="4">
        <v>384487.26199999999</v>
      </c>
      <c r="H1338" s="5">
        <f>6999 / 86400</f>
        <v>8.1006944444444451E-2</v>
      </c>
      <c r="I1338" t="s">
        <v>91</v>
      </c>
      <c r="J1338" t="s">
        <v>31</v>
      </c>
      <c r="K1338" s="5">
        <f>19388 / 86400</f>
        <v>0.22439814814814815</v>
      </c>
      <c r="L1338" s="5">
        <f>2796 / 86400</f>
        <v>3.2361111111111111E-2</v>
      </c>
    </row>
    <row r="1339" spans="1:12" x14ac:dyDescent="0.25">
      <c r="A1339" s="3">
        <v>45716.474745370375</v>
      </c>
      <c r="B1339" t="s">
        <v>50</v>
      </c>
      <c r="C1339" s="3">
        <v>45716.480763888889</v>
      </c>
      <c r="D1339" t="s">
        <v>161</v>
      </c>
      <c r="E1339" s="4">
        <v>1.1279999999999999</v>
      </c>
      <c r="F1339" s="4">
        <v>384487.26199999999</v>
      </c>
      <c r="G1339" s="4">
        <v>384488.39</v>
      </c>
      <c r="H1339" s="5">
        <f>99 / 86400</f>
        <v>1.1458333333333333E-3</v>
      </c>
      <c r="I1339" t="s">
        <v>145</v>
      </c>
      <c r="J1339" t="s">
        <v>214</v>
      </c>
      <c r="K1339" s="5">
        <f>520 / 86400</f>
        <v>6.0185185185185185E-3</v>
      </c>
      <c r="L1339" s="5">
        <f>592 / 86400</f>
        <v>6.851851851851852E-3</v>
      </c>
    </row>
    <row r="1340" spans="1:12" x14ac:dyDescent="0.25">
      <c r="A1340" s="3">
        <v>45716.487615740742</v>
      </c>
      <c r="B1340" t="s">
        <v>161</v>
      </c>
      <c r="C1340" s="3">
        <v>45716.487847222219</v>
      </c>
      <c r="D1340" t="s">
        <v>161</v>
      </c>
      <c r="E1340" s="4">
        <v>0</v>
      </c>
      <c r="F1340" s="4">
        <v>384488.39</v>
      </c>
      <c r="G1340" s="4">
        <v>384488.39</v>
      </c>
      <c r="H1340" s="5">
        <f>0 / 86400</f>
        <v>0</v>
      </c>
      <c r="I1340" t="s">
        <v>22</v>
      </c>
      <c r="J1340" t="s">
        <v>22</v>
      </c>
      <c r="K1340" s="5">
        <f>20 / 86400</f>
        <v>2.3148148148148149E-4</v>
      </c>
      <c r="L1340" s="5">
        <f>171 / 86400</f>
        <v>1.9791666666666668E-3</v>
      </c>
    </row>
    <row r="1341" spans="1:12" x14ac:dyDescent="0.25">
      <c r="A1341" s="3">
        <v>45716.48982638889</v>
      </c>
      <c r="B1341" t="s">
        <v>161</v>
      </c>
      <c r="C1341" s="3">
        <v>45716.490219907406</v>
      </c>
      <c r="D1341" t="s">
        <v>161</v>
      </c>
      <c r="E1341" s="4">
        <v>0</v>
      </c>
      <c r="F1341" s="4">
        <v>384488.39</v>
      </c>
      <c r="G1341" s="4">
        <v>384488.39</v>
      </c>
      <c r="H1341" s="5">
        <f>19 / 86400</f>
        <v>2.199074074074074E-4</v>
      </c>
      <c r="I1341" t="s">
        <v>22</v>
      </c>
      <c r="J1341" t="s">
        <v>22</v>
      </c>
      <c r="K1341" s="5">
        <f>33 / 86400</f>
        <v>3.8194444444444446E-4</v>
      </c>
      <c r="L1341" s="5">
        <f>1797 / 86400</f>
        <v>2.0798611111111111E-2</v>
      </c>
    </row>
    <row r="1342" spans="1:12" x14ac:dyDescent="0.25">
      <c r="A1342" s="3">
        <v>45716.511018518519</v>
      </c>
      <c r="B1342" t="s">
        <v>161</v>
      </c>
      <c r="C1342" s="3">
        <v>45716.613611111112</v>
      </c>
      <c r="D1342" t="s">
        <v>115</v>
      </c>
      <c r="E1342" s="4">
        <v>44.273000000000003</v>
      </c>
      <c r="F1342" s="4">
        <v>384488.39</v>
      </c>
      <c r="G1342" s="4">
        <v>384532.663</v>
      </c>
      <c r="H1342" s="5">
        <f>2519 / 86400</f>
        <v>2.9155092592592594E-2</v>
      </c>
      <c r="I1342" t="s">
        <v>70</v>
      </c>
      <c r="J1342" t="s">
        <v>20</v>
      </c>
      <c r="K1342" s="5">
        <f>8863 / 86400</f>
        <v>0.10258101851851852</v>
      </c>
      <c r="L1342" s="5">
        <f>1704 / 86400</f>
        <v>1.9722222222222221E-2</v>
      </c>
    </row>
    <row r="1343" spans="1:12" x14ac:dyDescent="0.25">
      <c r="A1343" s="3">
        <v>45716.633333333331</v>
      </c>
      <c r="B1343" t="s">
        <v>115</v>
      </c>
      <c r="C1343" s="3">
        <v>45716.696458333332</v>
      </c>
      <c r="D1343" t="s">
        <v>24</v>
      </c>
      <c r="E1343" s="4">
        <v>22.23</v>
      </c>
      <c r="F1343" s="4">
        <v>384532.663</v>
      </c>
      <c r="G1343" s="4">
        <v>384554.89299999998</v>
      </c>
      <c r="H1343" s="5">
        <f>1700 / 86400</f>
        <v>1.9675925925925927E-2</v>
      </c>
      <c r="I1343" t="s">
        <v>202</v>
      </c>
      <c r="J1343" t="s">
        <v>35</v>
      </c>
      <c r="K1343" s="5">
        <f>5454 / 86400</f>
        <v>6.3125000000000001E-2</v>
      </c>
      <c r="L1343" s="5">
        <f>661 / 86400</f>
        <v>7.6504629629629631E-3</v>
      </c>
    </row>
    <row r="1344" spans="1:12" x14ac:dyDescent="0.25">
      <c r="A1344" s="3">
        <v>45716.704108796301</v>
      </c>
      <c r="B1344" t="s">
        <v>24</v>
      </c>
      <c r="C1344" s="3">
        <v>45716.714016203703</v>
      </c>
      <c r="D1344" t="s">
        <v>26</v>
      </c>
      <c r="E1344" s="4">
        <v>2.2970000000000002</v>
      </c>
      <c r="F1344" s="4">
        <v>384554.89299999998</v>
      </c>
      <c r="G1344" s="4">
        <v>384557.19</v>
      </c>
      <c r="H1344" s="5">
        <f>79 / 86400</f>
        <v>9.1435185185185185E-4</v>
      </c>
      <c r="I1344" t="s">
        <v>20</v>
      </c>
      <c r="J1344" t="s">
        <v>151</v>
      </c>
      <c r="K1344" s="5">
        <f>856 / 86400</f>
        <v>9.9074074074074082E-3</v>
      </c>
      <c r="L1344" s="5">
        <f>150 / 86400</f>
        <v>1.736111111111111E-3</v>
      </c>
    </row>
    <row r="1345" spans="1:12" x14ac:dyDescent="0.25">
      <c r="A1345" s="3">
        <v>45716.71575231482</v>
      </c>
      <c r="B1345" t="s">
        <v>26</v>
      </c>
      <c r="C1345" s="3">
        <v>45716.716469907406</v>
      </c>
      <c r="D1345" t="s">
        <v>26</v>
      </c>
      <c r="E1345" s="4">
        <v>0.125</v>
      </c>
      <c r="F1345" s="4">
        <v>384557.19</v>
      </c>
      <c r="G1345" s="4">
        <v>384557.315</v>
      </c>
      <c r="H1345" s="5">
        <f>0 / 86400</f>
        <v>0</v>
      </c>
      <c r="I1345" t="s">
        <v>151</v>
      </c>
      <c r="J1345" t="s">
        <v>57</v>
      </c>
      <c r="K1345" s="5">
        <f>61 / 86400</f>
        <v>7.0601851851851847E-4</v>
      </c>
      <c r="L1345" s="5">
        <f>4528 / 86400</f>
        <v>5.2407407407407409E-2</v>
      </c>
    </row>
    <row r="1346" spans="1:12" x14ac:dyDescent="0.25">
      <c r="A1346" s="3">
        <v>45716.768877314811</v>
      </c>
      <c r="B1346" t="s">
        <v>26</v>
      </c>
      <c r="C1346" s="3">
        <v>45716.770115740743</v>
      </c>
      <c r="D1346" t="s">
        <v>26</v>
      </c>
      <c r="E1346" s="4">
        <v>8.0000000000000002E-3</v>
      </c>
      <c r="F1346" s="4">
        <v>384557.315</v>
      </c>
      <c r="G1346" s="4">
        <v>384557.32299999997</v>
      </c>
      <c r="H1346" s="5">
        <f>99 / 86400</f>
        <v>1.1458333333333333E-3</v>
      </c>
      <c r="I1346" t="s">
        <v>22</v>
      </c>
      <c r="J1346" t="s">
        <v>22</v>
      </c>
      <c r="K1346" s="5">
        <f>107 / 86400</f>
        <v>1.238425925925926E-3</v>
      </c>
      <c r="L1346" s="5">
        <f>192 / 86400</f>
        <v>2.2222222222222222E-3</v>
      </c>
    </row>
    <row r="1347" spans="1:12" x14ac:dyDescent="0.25">
      <c r="A1347" s="3">
        <v>45716.772337962961</v>
      </c>
      <c r="B1347" t="s">
        <v>26</v>
      </c>
      <c r="C1347" s="3">
        <v>45716.775381944448</v>
      </c>
      <c r="D1347" t="s">
        <v>26</v>
      </c>
      <c r="E1347" s="4">
        <v>0</v>
      </c>
      <c r="F1347" s="4">
        <v>384557.32299999997</v>
      </c>
      <c r="G1347" s="4">
        <v>384557.32299999997</v>
      </c>
      <c r="H1347" s="5">
        <f>259 / 86400</f>
        <v>2.9976851851851853E-3</v>
      </c>
      <c r="I1347" t="s">
        <v>22</v>
      </c>
      <c r="J1347" t="s">
        <v>22</v>
      </c>
      <c r="K1347" s="5">
        <f>263 / 86400</f>
        <v>3.0439814814814813E-3</v>
      </c>
      <c r="L1347" s="5">
        <f>130 / 86400</f>
        <v>1.5046296296296296E-3</v>
      </c>
    </row>
    <row r="1348" spans="1:12" x14ac:dyDescent="0.25">
      <c r="A1348" s="3">
        <v>45716.776886574073</v>
      </c>
      <c r="B1348" t="s">
        <v>26</v>
      </c>
      <c r="C1348" s="3">
        <v>45716.777453703704</v>
      </c>
      <c r="D1348" t="s">
        <v>26</v>
      </c>
      <c r="E1348" s="4">
        <v>3.7999999999999999E-2</v>
      </c>
      <c r="F1348" s="4">
        <v>384557.32299999997</v>
      </c>
      <c r="G1348" s="4">
        <v>384557.36099999998</v>
      </c>
      <c r="H1348" s="5">
        <f>20 / 86400</f>
        <v>2.3148148148148149E-4</v>
      </c>
      <c r="I1348" t="s">
        <v>137</v>
      </c>
      <c r="J1348" t="s">
        <v>33</v>
      </c>
      <c r="K1348" s="5">
        <f>49 / 86400</f>
        <v>5.6712962962962967E-4</v>
      </c>
      <c r="L1348" s="5">
        <f>456 / 86400</f>
        <v>5.2777777777777779E-3</v>
      </c>
    </row>
    <row r="1349" spans="1:12" x14ac:dyDescent="0.25">
      <c r="A1349" s="3">
        <v>45716.782731481479</v>
      </c>
      <c r="B1349" t="s">
        <v>26</v>
      </c>
      <c r="C1349" s="3">
        <v>45716.78738425926</v>
      </c>
      <c r="D1349" t="s">
        <v>26</v>
      </c>
      <c r="E1349" s="4">
        <v>4.9000000000000002E-2</v>
      </c>
      <c r="F1349" s="4">
        <v>384557.36099999998</v>
      </c>
      <c r="G1349" s="4">
        <v>384557.41</v>
      </c>
      <c r="H1349" s="5">
        <f>339 / 86400</f>
        <v>3.9236111111111112E-3</v>
      </c>
      <c r="I1349" t="s">
        <v>156</v>
      </c>
      <c r="J1349" t="s">
        <v>22</v>
      </c>
      <c r="K1349" s="5">
        <f>401 / 86400</f>
        <v>4.6412037037037038E-3</v>
      </c>
      <c r="L1349" s="5">
        <f>18369 / 86400</f>
        <v>0.21260416666666668</v>
      </c>
    </row>
    <row r="1350" spans="1:12" x14ac:dyDescent="0.2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</row>
    <row r="1351" spans="1:1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</row>
    <row r="1352" spans="1:12" s="10" customFormat="1" ht="20.100000000000001" customHeight="1" x14ac:dyDescent="0.35">
      <c r="A1352" s="15" t="s">
        <v>529</v>
      </c>
      <c r="B1352" s="15"/>
      <c r="C1352" s="15"/>
      <c r="D1352" s="15"/>
      <c r="E1352" s="15"/>
      <c r="F1352" s="15"/>
      <c r="G1352" s="15"/>
      <c r="H1352" s="15"/>
      <c r="I1352" s="15"/>
      <c r="J1352" s="15"/>
    </row>
    <row r="1353" spans="1:12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</row>
    <row r="1354" spans="1:12" ht="30" x14ac:dyDescent="0.25">
      <c r="A1354" s="2" t="s">
        <v>6</v>
      </c>
      <c r="B1354" s="2" t="s">
        <v>7</v>
      </c>
      <c r="C1354" s="2" t="s">
        <v>8</v>
      </c>
      <c r="D1354" s="2" t="s">
        <v>9</v>
      </c>
      <c r="E1354" s="2" t="s">
        <v>10</v>
      </c>
      <c r="F1354" s="2" t="s">
        <v>11</v>
      </c>
      <c r="G1354" s="2" t="s">
        <v>12</v>
      </c>
      <c r="H1354" s="2" t="s">
        <v>13</v>
      </c>
      <c r="I1354" s="2" t="s">
        <v>14</v>
      </c>
      <c r="J1354" s="2" t="s">
        <v>15</v>
      </c>
      <c r="K1354" s="2" t="s">
        <v>16</v>
      </c>
      <c r="L1354" s="2" t="s">
        <v>17</v>
      </c>
    </row>
    <row r="1355" spans="1:12" x14ac:dyDescent="0.25">
      <c r="A1355" s="3">
        <v>45716.312303240746</v>
      </c>
      <c r="B1355" t="s">
        <v>105</v>
      </c>
      <c r="C1355" s="3">
        <v>45716.324525462958</v>
      </c>
      <c r="D1355" t="s">
        <v>161</v>
      </c>
      <c r="E1355" s="4">
        <v>1.8879999999999999</v>
      </c>
      <c r="F1355" s="4">
        <v>548579.10800000001</v>
      </c>
      <c r="G1355" s="4">
        <v>548580.99600000004</v>
      </c>
      <c r="H1355" s="5">
        <f>679 / 86400</f>
        <v>7.858796296296296E-3</v>
      </c>
      <c r="I1355" t="s">
        <v>183</v>
      </c>
      <c r="J1355" t="s">
        <v>137</v>
      </c>
      <c r="K1355" s="5">
        <f>1056 / 86400</f>
        <v>1.2222222222222223E-2</v>
      </c>
      <c r="L1355" s="5">
        <f>27280 / 86400</f>
        <v>0.31574074074074077</v>
      </c>
    </row>
    <row r="1356" spans="1:12" x14ac:dyDescent="0.25">
      <c r="A1356" s="3">
        <v>45716.327962962961</v>
      </c>
      <c r="B1356" t="s">
        <v>161</v>
      </c>
      <c r="C1356" s="3">
        <v>45716.454548611116</v>
      </c>
      <c r="D1356" t="s">
        <v>387</v>
      </c>
      <c r="E1356" s="4">
        <v>50.856999999999999</v>
      </c>
      <c r="F1356" s="4">
        <v>548580.99600000004</v>
      </c>
      <c r="G1356" s="4">
        <v>548631.853</v>
      </c>
      <c r="H1356" s="5">
        <f>3762 / 86400</f>
        <v>4.3541666666666666E-2</v>
      </c>
      <c r="I1356" t="s">
        <v>58</v>
      </c>
      <c r="J1356" t="s">
        <v>62</v>
      </c>
      <c r="K1356" s="5">
        <f>10936 / 86400</f>
        <v>0.12657407407407406</v>
      </c>
      <c r="L1356" s="5">
        <f>1789 / 86400</f>
        <v>2.0706018518518519E-2</v>
      </c>
    </row>
    <row r="1357" spans="1:12" x14ac:dyDescent="0.25">
      <c r="A1357" s="3">
        <v>45716.475254629629</v>
      </c>
      <c r="B1357" t="s">
        <v>387</v>
      </c>
      <c r="C1357" s="3">
        <v>45716.611724537041</v>
      </c>
      <c r="D1357" t="s">
        <v>302</v>
      </c>
      <c r="E1357" s="4">
        <v>46.344999999999999</v>
      </c>
      <c r="F1357" s="4">
        <v>548631.853</v>
      </c>
      <c r="G1357" s="4">
        <v>548678.19799999997</v>
      </c>
      <c r="H1357" s="5">
        <f>4220 / 86400</f>
        <v>4.884259259259259E-2</v>
      </c>
      <c r="I1357" t="s">
        <v>175</v>
      </c>
      <c r="J1357" t="s">
        <v>72</v>
      </c>
      <c r="K1357" s="5">
        <f>11790 / 86400</f>
        <v>0.13645833333333332</v>
      </c>
      <c r="L1357" s="5">
        <f>91 / 86400</f>
        <v>1.0532407407407407E-3</v>
      </c>
    </row>
    <row r="1358" spans="1:12" x14ac:dyDescent="0.25">
      <c r="A1358" s="3">
        <v>45716.612777777773</v>
      </c>
      <c r="B1358" t="s">
        <v>302</v>
      </c>
      <c r="C1358" s="3">
        <v>45716.613599537042</v>
      </c>
      <c r="D1358" t="s">
        <v>120</v>
      </c>
      <c r="E1358" s="4">
        <v>0.28199999999999997</v>
      </c>
      <c r="F1358" s="4">
        <v>548678.19799999997</v>
      </c>
      <c r="G1358" s="4">
        <v>548678.48</v>
      </c>
      <c r="H1358" s="5">
        <f>0 / 86400</f>
        <v>0</v>
      </c>
      <c r="I1358" t="s">
        <v>130</v>
      </c>
      <c r="J1358" t="s">
        <v>72</v>
      </c>
      <c r="K1358" s="5">
        <f>71 / 86400</f>
        <v>8.2175925925925927E-4</v>
      </c>
      <c r="L1358" s="5">
        <f>1806 / 86400</f>
        <v>2.0902777777777777E-2</v>
      </c>
    </row>
    <row r="1359" spans="1:12" x14ac:dyDescent="0.25">
      <c r="A1359" s="3">
        <v>45716.634502314817</v>
      </c>
      <c r="B1359" t="s">
        <v>359</v>
      </c>
      <c r="C1359" s="3">
        <v>45716.859432870369</v>
      </c>
      <c r="D1359" t="s">
        <v>136</v>
      </c>
      <c r="E1359" s="4">
        <v>88.623999999999995</v>
      </c>
      <c r="F1359" s="4">
        <v>548678.48</v>
      </c>
      <c r="G1359" s="4">
        <v>548767.10400000005</v>
      </c>
      <c r="H1359" s="5">
        <f>6002 / 86400</f>
        <v>6.9467592592592595E-2</v>
      </c>
      <c r="I1359" t="s">
        <v>65</v>
      </c>
      <c r="J1359" t="s">
        <v>31</v>
      </c>
      <c r="K1359" s="5">
        <f>19433 / 86400</f>
        <v>0.22491898148148148</v>
      </c>
      <c r="L1359" s="5">
        <f>749 / 86400</f>
        <v>8.6689814814814806E-3</v>
      </c>
    </row>
    <row r="1360" spans="1:12" x14ac:dyDescent="0.25">
      <c r="A1360" s="3">
        <v>45716.868101851855</v>
      </c>
      <c r="B1360" t="s">
        <v>136</v>
      </c>
      <c r="C1360" s="3">
        <v>45716.870775462958</v>
      </c>
      <c r="D1360" t="s">
        <v>105</v>
      </c>
      <c r="E1360" s="4">
        <v>0.54100000000000004</v>
      </c>
      <c r="F1360" s="4">
        <v>548767.10400000005</v>
      </c>
      <c r="G1360" s="4">
        <v>548767.64500000002</v>
      </c>
      <c r="H1360" s="5">
        <f>60 / 86400</f>
        <v>6.9444444444444447E-4</v>
      </c>
      <c r="I1360" t="s">
        <v>145</v>
      </c>
      <c r="J1360" t="s">
        <v>214</v>
      </c>
      <c r="K1360" s="5">
        <f>231 / 86400</f>
        <v>2.673611111111111E-3</v>
      </c>
      <c r="L1360" s="5">
        <f>11164 / 86400</f>
        <v>0.12921296296296297</v>
      </c>
    </row>
    <row r="1361" spans="1:12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</row>
    <row r="1362" spans="1:12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</row>
    <row r="1363" spans="1:12" s="10" customFormat="1" ht="20.100000000000001" customHeight="1" x14ac:dyDescent="0.35">
      <c r="A1363" s="15" t="s">
        <v>530</v>
      </c>
      <c r="B1363" s="15"/>
      <c r="C1363" s="15"/>
      <c r="D1363" s="15"/>
      <c r="E1363" s="15"/>
      <c r="F1363" s="15"/>
      <c r="G1363" s="15"/>
      <c r="H1363" s="15"/>
      <c r="I1363" s="15"/>
      <c r="J1363" s="15"/>
    </row>
    <row r="1364" spans="1:12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</row>
    <row r="1365" spans="1:12" ht="30" x14ac:dyDescent="0.25">
      <c r="A1365" s="2" t="s">
        <v>6</v>
      </c>
      <c r="B1365" s="2" t="s">
        <v>7</v>
      </c>
      <c r="C1365" s="2" t="s">
        <v>8</v>
      </c>
      <c r="D1365" s="2" t="s">
        <v>9</v>
      </c>
      <c r="E1365" s="2" t="s">
        <v>10</v>
      </c>
      <c r="F1365" s="2" t="s">
        <v>11</v>
      </c>
      <c r="G1365" s="2" t="s">
        <v>12</v>
      </c>
      <c r="H1365" s="2" t="s">
        <v>13</v>
      </c>
      <c r="I1365" s="2" t="s">
        <v>14</v>
      </c>
      <c r="J1365" s="2" t="s">
        <v>15</v>
      </c>
      <c r="K1365" s="2" t="s">
        <v>16</v>
      </c>
      <c r="L1365" s="2" t="s">
        <v>17</v>
      </c>
    </row>
    <row r="1366" spans="1:12" x14ac:dyDescent="0.25">
      <c r="A1366" s="3">
        <v>45716.004259259258</v>
      </c>
      <c r="B1366" t="s">
        <v>106</v>
      </c>
      <c r="C1366" s="3">
        <v>45716.006550925929</v>
      </c>
      <c r="D1366" t="s">
        <v>106</v>
      </c>
      <c r="E1366" s="4">
        <v>0</v>
      </c>
      <c r="F1366" s="4">
        <v>107707.897</v>
      </c>
      <c r="G1366" s="4">
        <v>107707.897</v>
      </c>
      <c r="H1366" s="5">
        <f>178 / 86400</f>
        <v>2.0601851851851853E-3</v>
      </c>
      <c r="I1366" t="s">
        <v>22</v>
      </c>
      <c r="J1366" t="s">
        <v>22</v>
      </c>
      <c r="K1366" s="5">
        <f>198 / 86400</f>
        <v>2.2916666666666667E-3</v>
      </c>
      <c r="L1366" s="5">
        <f>1542 / 86400</f>
        <v>1.7847222222222223E-2</v>
      </c>
    </row>
    <row r="1367" spans="1:12" x14ac:dyDescent="0.25">
      <c r="A1367" s="3">
        <v>45716.020138888889</v>
      </c>
      <c r="B1367" t="s">
        <v>106</v>
      </c>
      <c r="C1367" s="3">
        <v>45716.096712962964</v>
      </c>
      <c r="D1367" t="s">
        <v>124</v>
      </c>
      <c r="E1367" s="4">
        <v>44.865000000000002</v>
      </c>
      <c r="F1367" s="4">
        <v>107707.897</v>
      </c>
      <c r="G1367" s="4">
        <v>107752.762</v>
      </c>
      <c r="H1367" s="5">
        <f>2278 / 86400</f>
        <v>2.6365740740740742E-2</v>
      </c>
      <c r="I1367" t="s">
        <v>47</v>
      </c>
      <c r="J1367" t="s">
        <v>37</v>
      </c>
      <c r="K1367" s="5">
        <f>6616 / 86400</f>
        <v>7.6574074074074072E-2</v>
      </c>
      <c r="L1367" s="5">
        <f>351 / 86400</f>
        <v>4.0625000000000001E-3</v>
      </c>
    </row>
    <row r="1368" spans="1:12" x14ac:dyDescent="0.25">
      <c r="A1368" s="3">
        <v>45716.100775462968</v>
      </c>
      <c r="B1368" t="s">
        <v>124</v>
      </c>
      <c r="C1368" s="3">
        <v>45716.107800925922</v>
      </c>
      <c r="D1368" t="s">
        <v>470</v>
      </c>
      <c r="E1368" s="4">
        <v>4.3339999999999996</v>
      </c>
      <c r="F1368" s="4">
        <v>107752.762</v>
      </c>
      <c r="G1368" s="4">
        <v>107757.09600000001</v>
      </c>
      <c r="H1368" s="5">
        <f>97 / 86400</f>
        <v>1.1226851851851851E-3</v>
      </c>
      <c r="I1368" t="s">
        <v>219</v>
      </c>
      <c r="J1368" t="s">
        <v>236</v>
      </c>
      <c r="K1368" s="5">
        <f>607 / 86400</f>
        <v>7.0254629629629634E-3</v>
      </c>
      <c r="L1368" s="5">
        <f>229 / 86400</f>
        <v>2.650462962962963E-3</v>
      </c>
    </row>
    <row r="1369" spans="1:12" x14ac:dyDescent="0.25">
      <c r="A1369" s="3">
        <v>45716.110451388886</v>
      </c>
      <c r="B1369" t="s">
        <v>470</v>
      </c>
      <c r="C1369" s="3">
        <v>45716.111770833333</v>
      </c>
      <c r="D1369" t="s">
        <v>118</v>
      </c>
      <c r="E1369" s="4">
        <v>0.53100000000000003</v>
      </c>
      <c r="F1369" s="4">
        <v>107757.09600000001</v>
      </c>
      <c r="G1369" s="4">
        <v>107757.62699999999</v>
      </c>
      <c r="H1369" s="5">
        <f>17 / 86400</f>
        <v>1.9675925925925926E-4</v>
      </c>
      <c r="I1369" t="s">
        <v>165</v>
      </c>
      <c r="J1369" t="s">
        <v>62</v>
      </c>
      <c r="K1369" s="5">
        <f>114 / 86400</f>
        <v>1.3194444444444445E-3</v>
      </c>
      <c r="L1369" s="5">
        <f>848 / 86400</f>
        <v>9.8148148148148144E-3</v>
      </c>
    </row>
    <row r="1370" spans="1:12" x14ac:dyDescent="0.25">
      <c r="A1370" s="3">
        <v>45716.121585648143</v>
      </c>
      <c r="B1370" t="s">
        <v>118</v>
      </c>
      <c r="C1370" s="3">
        <v>45716.122407407413</v>
      </c>
      <c r="D1370" t="s">
        <v>118</v>
      </c>
      <c r="E1370" s="4">
        <v>7.5999999999999998E-2</v>
      </c>
      <c r="F1370" s="4">
        <v>107757.62699999999</v>
      </c>
      <c r="G1370" s="4">
        <v>107757.70299999999</v>
      </c>
      <c r="H1370" s="5">
        <f>19 / 86400</f>
        <v>2.199074074074074E-4</v>
      </c>
      <c r="I1370" t="s">
        <v>132</v>
      </c>
      <c r="J1370" t="s">
        <v>147</v>
      </c>
      <c r="K1370" s="5">
        <f>71 / 86400</f>
        <v>8.2175925925925927E-4</v>
      </c>
      <c r="L1370" s="5">
        <f>7609 / 86400</f>
        <v>8.8067129629629634E-2</v>
      </c>
    </row>
    <row r="1371" spans="1:12" x14ac:dyDescent="0.25">
      <c r="A1371" s="3">
        <v>45716.210474537038</v>
      </c>
      <c r="B1371" t="s">
        <v>118</v>
      </c>
      <c r="C1371" s="3">
        <v>45716.211759259255</v>
      </c>
      <c r="D1371" t="s">
        <v>118</v>
      </c>
      <c r="E1371" s="4">
        <v>4.1000000000000002E-2</v>
      </c>
      <c r="F1371" s="4">
        <v>107757.70299999999</v>
      </c>
      <c r="G1371" s="4">
        <v>107757.74400000001</v>
      </c>
      <c r="H1371" s="5">
        <f>58 / 86400</f>
        <v>6.7129629629629625E-4</v>
      </c>
      <c r="I1371" t="s">
        <v>137</v>
      </c>
      <c r="J1371" t="s">
        <v>59</v>
      </c>
      <c r="K1371" s="5">
        <f>111 / 86400</f>
        <v>1.2847222222222223E-3</v>
      </c>
      <c r="L1371" s="5">
        <f>28 / 86400</f>
        <v>3.2407407407407406E-4</v>
      </c>
    </row>
    <row r="1372" spans="1:12" x14ac:dyDescent="0.25">
      <c r="A1372" s="3">
        <v>45716.212083333332</v>
      </c>
      <c r="B1372" t="s">
        <v>118</v>
      </c>
      <c r="C1372" s="3">
        <v>45716.212164351848</v>
      </c>
      <c r="D1372" t="s">
        <v>118</v>
      </c>
      <c r="E1372" s="4">
        <v>0</v>
      </c>
      <c r="F1372" s="4">
        <v>107757.74400000001</v>
      </c>
      <c r="G1372" s="4">
        <v>107757.74400000001</v>
      </c>
      <c r="H1372" s="5">
        <f>0 / 86400</f>
        <v>0</v>
      </c>
      <c r="I1372" t="s">
        <v>22</v>
      </c>
      <c r="J1372" t="s">
        <v>22</v>
      </c>
      <c r="K1372" s="5">
        <f>7 / 86400</f>
        <v>8.1018518518518516E-5</v>
      </c>
      <c r="L1372" s="5">
        <f>8152 / 86400</f>
        <v>9.4351851851851853E-2</v>
      </c>
    </row>
    <row r="1373" spans="1:12" x14ac:dyDescent="0.25">
      <c r="A1373" s="3">
        <v>45716.306516203702</v>
      </c>
      <c r="B1373" t="s">
        <v>118</v>
      </c>
      <c r="C1373" s="3">
        <v>45716.449467592596</v>
      </c>
      <c r="D1373" t="s">
        <v>471</v>
      </c>
      <c r="E1373" s="4">
        <v>70.311999999999998</v>
      </c>
      <c r="F1373" s="4">
        <v>107757.74400000001</v>
      </c>
      <c r="G1373" s="4">
        <v>107828.056</v>
      </c>
      <c r="H1373" s="5">
        <f>3818 / 86400</f>
        <v>4.4189814814814814E-2</v>
      </c>
      <c r="I1373" t="s">
        <v>54</v>
      </c>
      <c r="J1373" t="s">
        <v>108</v>
      </c>
      <c r="K1373" s="5">
        <f>12351 / 86400</f>
        <v>0.14295138888888889</v>
      </c>
      <c r="L1373" s="5">
        <f>2185 / 86400</f>
        <v>2.5289351851851851E-2</v>
      </c>
    </row>
    <row r="1374" spans="1:12" x14ac:dyDescent="0.25">
      <c r="A1374" s="3">
        <v>45716.474756944444</v>
      </c>
      <c r="B1374" t="s">
        <v>471</v>
      </c>
      <c r="C1374" s="3">
        <v>45716.478935185187</v>
      </c>
      <c r="D1374" t="s">
        <v>131</v>
      </c>
      <c r="E1374" s="4">
        <v>1.0920000000000001</v>
      </c>
      <c r="F1374" s="4">
        <v>107828.056</v>
      </c>
      <c r="G1374" s="4">
        <v>107829.148</v>
      </c>
      <c r="H1374" s="5">
        <f>117 / 86400</f>
        <v>1.3541666666666667E-3</v>
      </c>
      <c r="I1374" t="s">
        <v>236</v>
      </c>
      <c r="J1374" t="s">
        <v>100</v>
      </c>
      <c r="K1374" s="5">
        <f>361 / 86400</f>
        <v>4.178240740740741E-3</v>
      </c>
      <c r="L1374" s="5">
        <f>1012 / 86400</f>
        <v>1.1712962962962963E-2</v>
      </c>
    </row>
    <row r="1375" spans="1:12" x14ac:dyDescent="0.25">
      <c r="A1375" s="3">
        <v>45716.490648148145</v>
      </c>
      <c r="B1375" t="s">
        <v>131</v>
      </c>
      <c r="C1375" s="3">
        <v>45716.732499999998</v>
      </c>
      <c r="D1375" t="s">
        <v>162</v>
      </c>
      <c r="E1375" s="4">
        <v>96.29</v>
      </c>
      <c r="F1375" s="4">
        <v>107829.148</v>
      </c>
      <c r="G1375" s="4">
        <v>107925.43799999999</v>
      </c>
      <c r="H1375" s="5">
        <f>7380 / 86400</f>
        <v>8.5416666666666669E-2</v>
      </c>
      <c r="I1375" t="s">
        <v>49</v>
      </c>
      <c r="J1375" t="s">
        <v>62</v>
      </c>
      <c r="K1375" s="5">
        <f>20896 / 86400</f>
        <v>0.24185185185185185</v>
      </c>
      <c r="L1375" s="5">
        <f>147 / 86400</f>
        <v>1.7013888888888888E-3</v>
      </c>
    </row>
    <row r="1376" spans="1:12" x14ac:dyDescent="0.25">
      <c r="A1376" s="3">
        <v>45716.734201388885</v>
      </c>
      <c r="B1376" t="s">
        <v>162</v>
      </c>
      <c r="C1376" s="3">
        <v>45716.735405092593</v>
      </c>
      <c r="D1376" t="s">
        <v>135</v>
      </c>
      <c r="E1376" s="4">
        <v>0.48399999999999999</v>
      </c>
      <c r="F1376" s="4">
        <v>107925.43799999999</v>
      </c>
      <c r="G1376" s="4">
        <v>107925.92200000001</v>
      </c>
      <c r="H1376" s="5">
        <f>20 / 86400</f>
        <v>2.3148148148148149E-4</v>
      </c>
      <c r="I1376" t="s">
        <v>206</v>
      </c>
      <c r="J1376" t="s">
        <v>62</v>
      </c>
      <c r="K1376" s="5">
        <f>104 / 86400</f>
        <v>1.2037037037037038E-3</v>
      </c>
      <c r="L1376" s="5">
        <f>1128 / 86400</f>
        <v>1.3055555555555556E-2</v>
      </c>
    </row>
    <row r="1377" spans="1:12" x14ac:dyDescent="0.25">
      <c r="A1377" s="3">
        <v>45716.748460648145</v>
      </c>
      <c r="B1377" t="s">
        <v>135</v>
      </c>
      <c r="C1377" s="3">
        <v>45716.848379629635</v>
      </c>
      <c r="D1377" t="s">
        <v>120</v>
      </c>
      <c r="E1377" s="4">
        <v>54.761000000000003</v>
      </c>
      <c r="F1377" s="4">
        <v>107925.92200000001</v>
      </c>
      <c r="G1377" s="4">
        <v>107980.683</v>
      </c>
      <c r="H1377" s="5">
        <f>2280 / 86400</f>
        <v>2.6388888888888889E-2</v>
      </c>
      <c r="I1377" t="s">
        <v>75</v>
      </c>
      <c r="J1377" t="s">
        <v>153</v>
      </c>
      <c r="K1377" s="5">
        <f>8633 / 86400</f>
        <v>9.9918981481481484E-2</v>
      </c>
      <c r="L1377" s="5">
        <f>352 / 86400</f>
        <v>4.0740740740740737E-3</v>
      </c>
    </row>
    <row r="1378" spans="1:12" x14ac:dyDescent="0.25">
      <c r="A1378" s="3">
        <v>45716.852453703701</v>
      </c>
      <c r="B1378" t="s">
        <v>120</v>
      </c>
      <c r="C1378" s="3">
        <v>45716.99998842593</v>
      </c>
      <c r="D1378" t="s">
        <v>96</v>
      </c>
      <c r="E1378" s="4">
        <v>75.697000000000003</v>
      </c>
      <c r="F1378" s="4">
        <v>107980.683</v>
      </c>
      <c r="G1378" s="4">
        <v>108056.38</v>
      </c>
      <c r="H1378" s="5">
        <f>4500 / 86400</f>
        <v>5.2083333333333336E-2</v>
      </c>
      <c r="I1378" t="s">
        <v>107</v>
      </c>
      <c r="J1378" t="s">
        <v>190</v>
      </c>
      <c r="K1378" s="5">
        <f>12747 / 86400</f>
        <v>0.14753472222222222</v>
      </c>
      <c r="L1378" s="5">
        <f>0 / 86400</f>
        <v>0</v>
      </c>
    </row>
    <row r="1379" spans="1:12" x14ac:dyDescent="0.2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</row>
    <row r="1380" spans="1:12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</row>
    <row r="1381" spans="1:12" s="10" customFormat="1" ht="20.100000000000001" customHeight="1" x14ac:dyDescent="0.35">
      <c r="A1381" s="15" t="s">
        <v>531</v>
      </c>
      <c r="B1381" s="15"/>
      <c r="C1381" s="15"/>
      <c r="D1381" s="15"/>
      <c r="E1381" s="15"/>
      <c r="F1381" s="15"/>
      <c r="G1381" s="15"/>
      <c r="H1381" s="15"/>
      <c r="I1381" s="15"/>
      <c r="J1381" s="15"/>
    </row>
    <row r="1382" spans="1:12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</row>
    <row r="1383" spans="1:12" ht="30" x14ac:dyDescent="0.25">
      <c r="A1383" s="2" t="s">
        <v>6</v>
      </c>
      <c r="B1383" s="2" t="s">
        <v>7</v>
      </c>
      <c r="C1383" s="2" t="s">
        <v>8</v>
      </c>
      <c r="D1383" s="2" t="s">
        <v>9</v>
      </c>
      <c r="E1383" s="2" t="s">
        <v>10</v>
      </c>
      <c r="F1383" s="2" t="s">
        <v>11</v>
      </c>
      <c r="G1383" s="2" t="s">
        <v>12</v>
      </c>
      <c r="H1383" s="2" t="s">
        <v>13</v>
      </c>
      <c r="I1383" s="2" t="s">
        <v>14</v>
      </c>
      <c r="J1383" s="2" t="s">
        <v>15</v>
      </c>
      <c r="K1383" s="2" t="s">
        <v>16</v>
      </c>
      <c r="L1383" s="2" t="s">
        <v>17</v>
      </c>
    </row>
    <row r="1384" spans="1:12" x14ac:dyDescent="0.25">
      <c r="A1384" s="3">
        <v>45716.67350694444</v>
      </c>
      <c r="B1384" t="s">
        <v>109</v>
      </c>
      <c r="C1384" s="3">
        <v>45716.69263888889</v>
      </c>
      <c r="D1384" t="s">
        <v>26</v>
      </c>
      <c r="E1384" s="4">
        <v>7.2510000000000003</v>
      </c>
      <c r="F1384" s="4">
        <v>54580.798000000003</v>
      </c>
      <c r="G1384" s="4">
        <v>54588.048999999999</v>
      </c>
      <c r="H1384" s="5">
        <f>420 / 86400</f>
        <v>4.8611111111111112E-3</v>
      </c>
      <c r="I1384" t="s">
        <v>110</v>
      </c>
      <c r="J1384" t="s">
        <v>31</v>
      </c>
      <c r="K1384" s="5">
        <f>1653 / 86400</f>
        <v>1.9131944444444444E-2</v>
      </c>
      <c r="L1384" s="5">
        <f>58890 / 86400</f>
        <v>0.68159722222222219</v>
      </c>
    </row>
    <row r="1385" spans="1:12" x14ac:dyDescent="0.25">
      <c r="A1385" s="3">
        <v>45716.700729166667</v>
      </c>
      <c r="B1385" t="s">
        <v>26</v>
      </c>
      <c r="C1385" s="3">
        <v>45716.701018518521</v>
      </c>
      <c r="D1385" t="s">
        <v>472</v>
      </c>
      <c r="E1385" s="4">
        <v>1.7999999999999999E-2</v>
      </c>
      <c r="F1385" s="4">
        <v>54588.048999999999</v>
      </c>
      <c r="G1385" s="4">
        <v>54588.067000000003</v>
      </c>
      <c r="H1385" s="5">
        <f>0 / 86400</f>
        <v>0</v>
      </c>
      <c r="I1385" t="s">
        <v>25</v>
      </c>
      <c r="J1385" t="s">
        <v>33</v>
      </c>
      <c r="K1385" s="5">
        <f>25 / 86400</f>
        <v>2.8935185185185184E-4</v>
      </c>
      <c r="L1385" s="5">
        <f>105 / 86400</f>
        <v>1.2152777777777778E-3</v>
      </c>
    </row>
    <row r="1386" spans="1:12" x14ac:dyDescent="0.25">
      <c r="A1386" s="3">
        <v>45716.702233796299</v>
      </c>
      <c r="B1386" t="s">
        <v>472</v>
      </c>
      <c r="C1386" s="3">
        <v>45716.704710648148</v>
      </c>
      <c r="D1386" t="s">
        <v>89</v>
      </c>
      <c r="E1386" s="4">
        <v>0.89800000000000002</v>
      </c>
      <c r="F1386" s="4">
        <v>54588.067000000003</v>
      </c>
      <c r="G1386" s="4">
        <v>54588.964999999997</v>
      </c>
      <c r="H1386" s="5">
        <f>58 / 86400</f>
        <v>6.7129629629629625E-4</v>
      </c>
      <c r="I1386" t="s">
        <v>167</v>
      </c>
      <c r="J1386" t="s">
        <v>35</v>
      </c>
      <c r="K1386" s="5">
        <f>214 / 86400</f>
        <v>2.476851851851852E-3</v>
      </c>
      <c r="L1386" s="5">
        <f>345 / 86400</f>
        <v>3.9930555555555552E-3</v>
      </c>
    </row>
    <row r="1387" spans="1:12" x14ac:dyDescent="0.25">
      <c r="A1387" s="3">
        <v>45716.708703703705</v>
      </c>
      <c r="B1387" t="s">
        <v>89</v>
      </c>
      <c r="C1387" s="3">
        <v>45716.713553240741</v>
      </c>
      <c r="D1387" t="s">
        <v>24</v>
      </c>
      <c r="E1387" s="4">
        <v>1.1519999999999999</v>
      </c>
      <c r="F1387" s="4">
        <v>54588.964999999997</v>
      </c>
      <c r="G1387" s="4">
        <v>54590.116999999998</v>
      </c>
      <c r="H1387" s="5">
        <f>120 / 86400</f>
        <v>1.3888888888888889E-3</v>
      </c>
      <c r="I1387" t="s">
        <v>149</v>
      </c>
      <c r="J1387" t="s">
        <v>151</v>
      </c>
      <c r="K1387" s="5">
        <f>419 / 86400</f>
        <v>4.8495370370370368E-3</v>
      </c>
      <c r="L1387" s="5">
        <f>24748 / 86400</f>
        <v>0.28643518518518518</v>
      </c>
    </row>
    <row r="1388" spans="1:12" x14ac:dyDescent="0.2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</row>
    <row r="1389" spans="1:12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</row>
    <row r="1390" spans="1:12" s="10" customFormat="1" ht="20.100000000000001" customHeight="1" x14ac:dyDescent="0.35">
      <c r="A1390" s="15" t="s">
        <v>532</v>
      </c>
      <c r="B1390" s="15"/>
      <c r="C1390" s="15"/>
      <c r="D1390" s="15"/>
      <c r="E1390" s="15"/>
      <c r="F1390" s="15"/>
      <c r="G1390" s="15"/>
      <c r="H1390" s="15"/>
      <c r="I1390" s="15"/>
      <c r="J1390" s="15"/>
    </row>
    <row r="1391" spans="1:12" x14ac:dyDescent="0.2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</row>
    <row r="1392" spans="1:12" ht="30" x14ac:dyDescent="0.25">
      <c r="A1392" s="2" t="s">
        <v>6</v>
      </c>
      <c r="B1392" s="2" t="s">
        <v>7</v>
      </c>
      <c r="C1392" s="2" t="s">
        <v>8</v>
      </c>
      <c r="D1392" s="2" t="s">
        <v>9</v>
      </c>
      <c r="E1392" s="2" t="s">
        <v>10</v>
      </c>
      <c r="F1392" s="2" t="s">
        <v>11</v>
      </c>
      <c r="G1392" s="2" t="s">
        <v>12</v>
      </c>
      <c r="H1392" s="2" t="s">
        <v>13</v>
      </c>
      <c r="I1392" s="2" t="s">
        <v>14</v>
      </c>
      <c r="J1392" s="2" t="s">
        <v>15</v>
      </c>
      <c r="K1392" s="2" t="s">
        <v>16</v>
      </c>
      <c r="L1392" s="2" t="s">
        <v>17</v>
      </c>
    </row>
    <row r="1393" spans="1:12" x14ac:dyDescent="0.25">
      <c r="A1393" s="3">
        <v>45716.207094907411</v>
      </c>
      <c r="B1393" t="s">
        <v>111</v>
      </c>
      <c r="C1393" s="3">
        <v>45716.210833333331</v>
      </c>
      <c r="D1393" t="s">
        <v>111</v>
      </c>
      <c r="E1393" s="4">
        <v>0</v>
      </c>
      <c r="F1393" s="4">
        <v>48113.285000000003</v>
      </c>
      <c r="G1393" s="4">
        <v>48113.285000000003</v>
      </c>
      <c r="H1393" s="5">
        <f>318 / 86400</f>
        <v>3.6805555555555554E-3</v>
      </c>
      <c r="I1393" t="s">
        <v>22</v>
      </c>
      <c r="J1393" t="s">
        <v>22</v>
      </c>
      <c r="K1393" s="5">
        <f>323 / 86400</f>
        <v>3.7384259259259259E-3</v>
      </c>
      <c r="L1393" s="5">
        <f>29933 / 86400</f>
        <v>0.34644675925925927</v>
      </c>
    </row>
    <row r="1394" spans="1:12" x14ac:dyDescent="0.25">
      <c r="A1394" s="3">
        <v>45716.350185185191</v>
      </c>
      <c r="B1394" t="s">
        <v>111</v>
      </c>
      <c r="C1394" s="3">
        <v>45716.357974537037</v>
      </c>
      <c r="D1394" t="s">
        <v>135</v>
      </c>
      <c r="E1394" s="4">
        <v>1.905</v>
      </c>
      <c r="F1394" s="4">
        <v>48113.285000000003</v>
      </c>
      <c r="G1394" s="4">
        <v>48115.19</v>
      </c>
      <c r="H1394" s="5">
        <f>238 / 86400</f>
        <v>2.7546296296296294E-3</v>
      </c>
      <c r="I1394" t="s">
        <v>200</v>
      </c>
      <c r="J1394" t="s">
        <v>151</v>
      </c>
      <c r="K1394" s="5">
        <f>673 / 86400</f>
        <v>7.789351851851852E-3</v>
      </c>
      <c r="L1394" s="5">
        <f>181 / 86400</f>
        <v>2.0949074074074073E-3</v>
      </c>
    </row>
    <row r="1395" spans="1:12" x14ac:dyDescent="0.25">
      <c r="A1395" s="3">
        <v>45716.360069444447</v>
      </c>
      <c r="B1395" t="s">
        <v>135</v>
      </c>
      <c r="C1395" s="3">
        <v>45716.555810185186</v>
      </c>
      <c r="D1395" t="s">
        <v>46</v>
      </c>
      <c r="E1395" s="4">
        <v>84.058000000000007</v>
      </c>
      <c r="F1395" s="4">
        <v>48115.19</v>
      </c>
      <c r="G1395" s="4">
        <v>48199.248</v>
      </c>
      <c r="H1395" s="5">
        <f>5385 / 86400</f>
        <v>6.232638888888889E-2</v>
      </c>
      <c r="I1395" t="s">
        <v>27</v>
      </c>
      <c r="J1395" t="s">
        <v>20</v>
      </c>
      <c r="K1395" s="5">
        <f>16912 / 86400</f>
        <v>0.19574074074074074</v>
      </c>
      <c r="L1395" s="5">
        <f>2007 / 86400</f>
        <v>2.3229166666666665E-2</v>
      </c>
    </row>
    <row r="1396" spans="1:12" x14ac:dyDescent="0.25">
      <c r="A1396" s="3">
        <v>45716.579039351855</v>
      </c>
      <c r="B1396" t="s">
        <v>46</v>
      </c>
      <c r="C1396" s="3">
        <v>45716.582094907411</v>
      </c>
      <c r="D1396" t="s">
        <v>136</v>
      </c>
      <c r="E1396" s="4">
        <v>0.76700000000000002</v>
      </c>
      <c r="F1396" s="4">
        <v>48199.248</v>
      </c>
      <c r="G1396" s="4">
        <v>48200.014999999999</v>
      </c>
      <c r="H1396" s="5">
        <f>97 / 86400</f>
        <v>1.1226851851851851E-3</v>
      </c>
      <c r="I1396" t="s">
        <v>167</v>
      </c>
      <c r="J1396" t="s">
        <v>151</v>
      </c>
      <c r="K1396" s="5">
        <f>264 / 86400</f>
        <v>3.0555555555555557E-3</v>
      </c>
      <c r="L1396" s="5">
        <f>165 / 86400</f>
        <v>1.9097222222222222E-3</v>
      </c>
    </row>
    <row r="1397" spans="1:12" x14ac:dyDescent="0.25">
      <c r="A1397" s="3">
        <v>45716.584004629629</v>
      </c>
      <c r="B1397" t="s">
        <v>136</v>
      </c>
      <c r="C1397" s="3">
        <v>45716.618171296301</v>
      </c>
      <c r="D1397" t="s">
        <v>36</v>
      </c>
      <c r="E1397" s="4">
        <v>13.11</v>
      </c>
      <c r="F1397" s="4">
        <v>48200.014999999999</v>
      </c>
      <c r="G1397" s="4">
        <v>48213.125</v>
      </c>
      <c r="H1397" s="5">
        <f>1219 / 86400</f>
        <v>1.4108796296296296E-2</v>
      </c>
      <c r="I1397" t="s">
        <v>84</v>
      </c>
      <c r="J1397" t="s">
        <v>31</v>
      </c>
      <c r="K1397" s="5">
        <f>2952 / 86400</f>
        <v>3.4166666666666665E-2</v>
      </c>
      <c r="L1397" s="5">
        <f>17 / 86400</f>
        <v>1.9675925925925926E-4</v>
      </c>
    </row>
    <row r="1398" spans="1:12" x14ac:dyDescent="0.25">
      <c r="A1398" s="3">
        <v>45716.618368055555</v>
      </c>
      <c r="B1398" t="s">
        <v>36</v>
      </c>
      <c r="C1398" s="3">
        <v>45716.625625000001</v>
      </c>
      <c r="D1398" t="s">
        <v>169</v>
      </c>
      <c r="E1398" s="4">
        <v>5.9720000000000004</v>
      </c>
      <c r="F1398" s="4">
        <v>48213.125</v>
      </c>
      <c r="G1398" s="4">
        <v>48219.097000000002</v>
      </c>
      <c r="H1398" s="5">
        <f>80 / 86400</f>
        <v>9.2592592592592596E-4</v>
      </c>
      <c r="I1398" t="s">
        <v>47</v>
      </c>
      <c r="J1398" t="s">
        <v>182</v>
      </c>
      <c r="K1398" s="5">
        <f>627 / 86400</f>
        <v>7.2569444444444443E-3</v>
      </c>
      <c r="L1398" s="5">
        <f>45 / 86400</f>
        <v>5.2083333333333333E-4</v>
      </c>
    </row>
    <row r="1399" spans="1:12" x14ac:dyDescent="0.25">
      <c r="A1399" s="3">
        <v>45716.626145833332</v>
      </c>
      <c r="B1399" t="s">
        <v>169</v>
      </c>
      <c r="C1399" s="3">
        <v>45716.638310185182</v>
      </c>
      <c r="D1399" t="s">
        <v>96</v>
      </c>
      <c r="E1399" s="4">
        <v>6.7350000000000003</v>
      </c>
      <c r="F1399" s="4">
        <v>48219.097000000002</v>
      </c>
      <c r="G1399" s="4">
        <v>48225.832000000002</v>
      </c>
      <c r="H1399" s="5">
        <f>400 / 86400</f>
        <v>4.6296296296296294E-3</v>
      </c>
      <c r="I1399" t="s">
        <v>63</v>
      </c>
      <c r="J1399" t="s">
        <v>153</v>
      </c>
      <c r="K1399" s="5">
        <f>1051 / 86400</f>
        <v>1.2164351851851852E-2</v>
      </c>
      <c r="L1399" s="5">
        <f>12 / 86400</f>
        <v>1.3888888888888889E-4</v>
      </c>
    </row>
    <row r="1400" spans="1:12" x14ac:dyDescent="0.25">
      <c r="A1400" s="3">
        <v>45716.638449074075</v>
      </c>
      <c r="B1400" t="s">
        <v>96</v>
      </c>
      <c r="C1400" s="3">
        <v>45716.640960648147</v>
      </c>
      <c r="D1400" t="s">
        <v>96</v>
      </c>
      <c r="E1400" s="4">
        <v>0.80700000000000005</v>
      </c>
      <c r="F1400" s="4">
        <v>48225.832000000002</v>
      </c>
      <c r="G1400" s="4">
        <v>48226.639000000003</v>
      </c>
      <c r="H1400" s="5">
        <f>73 / 86400</f>
        <v>8.4490740740740739E-4</v>
      </c>
      <c r="I1400" t="s">
        <v>110</v>
      </c>
      <c r="J1400" t="s">
        <v>64</v>
      </c>
      <c r="K1400" s="5">
        <f>217 / 86400</f>
        <v>2.5115740740740741E-3</v>
      </c>
      <c r="L1400" s="5">
        <f>14 / 86400</f>
        <v>1.6203703703703703E-4</v>
      </c>
    </row>
    <row r="1401" spans="1:12" x14ac:dyDescent="0.25">
      <c r="A1401" s="3">
        <v>45716.641122685185</v>
      </c>
      <c r="B1401" t="s">
        <v>96</v>
      </c>
      <c r="C1401" s="3">
        <v>45716.703263888892</v>
      </c>
      <c r="D1401" t="s">
        <v>279</v>
      </c>
      <c r="E1401" s="4">
        <v>21.725999999999999</v>
      </c>
      <c r="F1401" s="4">
        <v>48226.639000000003</v>
      </c>
      <c r="G1401" s="4">
        <v>48248.364999999998</v>
      </c>
      <c r="H1401" s="5">
        <f>2218 / 86400</f>
        <v>2.5671296296296296E-2</v>
      </c>
      <c r="I1401" t="s">
        <v>70</v>
      </c>
      <c r="J1401" t="s">
        <v>35</v>
      </c>
      <c r="K1401" s="5">
        <f>5369 / 86400</f>
        <v>6.2141203703703705E-2</v>
      </c>
      <c r="L1401" s="5">
        <f>11 / 86400</f>
        <v>1.273148148148148E-4</v>
      </c>
    </row>
    <row r="1402" spans="1:12" x14ac:dyDescent="0.25">
      <c r="A1402" s="3">
        <v>45716.7033912037</v>
      </c>
      <c r="B1402" t="s">
        <v>279</v>
      </c>
      <c r="C1402" s="3">
        <v>45716.780335648145</v>
      </c>
      <c r="D1402" t="s">
        <v>135</v>
      </c>
      <c r="E1402" s="4">
        <v>35.616</v>
      </c>
      <c r="F1402" s="4">
        <v>48248.364999999998</v>
      </c>
      <c r="G1402" s="4">
        <v>48283.981</v>
      </c>
      <c r="H1402" s="5">
        <f>2028 / 86400</f>
        <v>2.3472222222222221E-2</v>
      </c>
      <c r="I1402" t="s">
        <v>65</v>
      </c>
      <c r="J1402" t="s">
        <v>85</v>
      </c>
      <c r="K1402" s="5">
        <f>6648 / 86400</f>
        <v>7.694444444444444E-2</v>
      </c>
      <c r="L1402" s="5">
        <f>585 / 86400</f>
        <v>6.7708333333333336E-3</v>
      </c>
    </row>
    <row r="1403" spans="1:12" x14ac:dyDescent="0.25">
      <c r="A1403" s="3">
        <v>45716.787106481483</v>
      </c>
      <c r="B1403" t="s">
        <v>135</v>
      </c>
      <c r="C1403" s="3">
        <v>45716.79378472222</v>
      </c>
      <c r="D1403" t="s">
        <v>473</v>
      </c>
      <c r="E1403" s="4">
        <v>1.0620000000000001</v>
      </c>
      <c r="F1403" s="4">
        <v>48283.981</v>
      </c>
      <c r="G1403" s="4">
        <v>48285.042999999998</v>
      </c>
      <c r="H1403" s="5">
        <f>297 / 86400</f>
        <v>3.4375E-3</v>
      </c>
      <c r="I1403" t="s">
        <v>190</v>
      </c>
      <c r="J1403" t="s">
        <v>57</v>
      </c>
      <c r="K1403" s="5">
        <f>577 / 86400</f>
        <v>6.6782407407407407E-3</v>
      </c>
      <c r="L1403" s="5">
        <f>78 / 86400</f>
        <v>9.0277777777777774E-4</v>
      </c>
    </row>
    <row r="1404" spans="1:12" x14ac:dyDescent="0.25">
      <c r="A1404" s="3">
        <v>45716.794687500005</v>
      </c>
      <c r="B1404" t="s">
        <v>473</v>
      </c>
      <c r="C1404" s="3">
        <v>45716.7971412037</v>
      </c>
      <c r="D1404" t="s">
        <v>112</v>
      </c>
      <c r="E1404" s="4">
        <v>0.77800000000000002</v>
      </c>
      <c r="F1404" s="4">
        <v>48285.042999999998</v>
      </c>
      <c r="G1404" s="4">
        <v>48285.821000000004</v>
      </c>
      <c r="H1404" s="5">
        <f>20 / 86400</f>
        <v>2.3148148148148149E-4</v>
      </c>
      <c r="I1404" t="s">
        <v>140</v>
      </c>
      <c r="J1404" t="s">
        <v>64</v>
      </c>
      <c r="K1404" s="5">
        <f>212 / 86400</f>
        <v>2.4537037037037036E-3</v>
      </c>
      <c r="L1404" s="5">
        <f>660 / 86400</f>
        <v>7.6388888888888886E-3</v>
      </c>
    </row>
    <row r="1405" spans="1:12" x14ac:dyDescent="0.25">
      <c r="A1405" s="3">
        <v>45716.804780092592</v>
      </c>
      <c r="B1405" t="s">
        <v>112</v>
      </c>
      <c r="C1405" s="3">
        <v>45716.805532407408</v>
      </c>
      <c r="D1405" t="s">
        <v>112</v>
      </c>
      <c r="E1405" s="4">
        <v>0</v>
      </c>
      <c r="F1405" s="4">
        <v>48285.821000000004</v>
      </c>
      <c r="G1405" s="4">
        <v>48285.821000000004</v>
      </c>
      <c r="H1405" s="5">
        <f>58 / 86400</f>
        <v>6.7129629629629625E-4</v>
      </c>
      <c r="I1405" t="s">
        <v>22</v>
      </c>
      <c r="J1405" t="s">
        <v>22</v>
      </c>
      <c r="K1405" s="5">
        <f>65 / 86400</f>
        <v>7.5231481481481482E-4</v>
      </c>
      <c r="L1405" s="5">
        <f>8 / 86400</f>
        <v>9.2592592592592588E-5</v>
      </c>
    </row>
    <row r="1406" spans="1:12" x14ac:dyDescent="0.25">
      <c r="A1406" s="3">
        <v>45716.805625000001</v>
      </c>
      <c r="B1406" t="s">
        <v>112</v>
      </c>
      <c r="C1406" s="3">
        <v>45716.806574074071</v>
      </c>
      <c r="D1406" t="s">
        <v>112</v>
      </c>
      <c r="E1406" s="4">
        <v>0</v>
      </c>
      <c r="F1406" s="4">
        <v>48285.821000000004</v>
      </c>
      <c r="G1406" s="4">
        <v>48285.821000000004</v>
      </c>
      <c r="H1406" s="5">
        <f>65 / 86400</f>
        <v>7.5231481481481482E-4</v>
      </c>
      <c r="I1406" t="s">
        <v>22</v>
      </c>
      <c r="J1406" t="s">
        <v>22</v>
      </c>
      <c r="K1406" s="5">
        <f>82 / 86400</f>
        <v>9.4907407407407408E-4</v>
      </c>
      <c r="L1406" s="5">
        <f>16711 / 86400</f>
        <v>0.19341435185185185</v>
      </c>
    </row>
    <row r="1407" spans="1:12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</row>
    <row r="1408" spans="1:12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</row>
    <row r="1409" spans="1:12" s="10" customFormat="1" ht="20.100000000000001" customHeight="1" x14ac:dyDescent="0.35">
      <c r="A1409" s="15" t="s">
        <v>533</v>
      </c>
      <c r="B1409" s="15"/>
      <c r="C1409" s="15"/>
      <c r="D1409" s="15"/>
      <c r="E1409" s="15"/>
      <c r="F1409" s="15"/>
      <c r="G1409" s="15"/>
      <c r="H1409" s="15"/>
      <c r="I1409" s="15"/>
      <c r="J1409" s="15"/>
    </row>
    <row r="1410" spans="1:1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</row>
    <row r="1411" spans="1:12" ht="30" x14ac:dyDescent="0.25">
      <c r="A1411" s="2" t="s">
        <v>6</v>
      </c>
      <c r="B1411" s="2" t="s">
        <v>7</v>
      </c>
      <c r="C1411" s="2" t="s">
        <v>8</v>
      </c>
      <c r="D1411" s="2" t="s">
        <v>9</v>
      </c>
      <c r="E1411" s="2" t="s">
        <v>10</v>
      </c>
      <c r="F1411" s="2" t="s">
        <v>11</v>
      </c>
      <c r="G1411" s="2" t="s">
        <v>12</v>
      </c>
      <c r="H1411" s="2" t="s">
        <v>13</v>
      </c>
      <c r="I1411" s="2" t="s">
        <v>14</v>
      </c>
      <c r="J1411" s="2" t="s">
        <v>15</v>
      </c>
      <c r="K1411" s="2" t="s">
        <v>16</v>
      </c>
      <c r="L1411" s="2" t="s">
        <v>17</v>
      </c>
    </row>
    <row r="1412" spans="1:12" x14ac:dyDescent="0.25">
      <c r="A1412" s="3">
        <v>45716.158194444448</v>
      </c>
      <c r="B1412" t="s">
        <v>113</v>
      </c>
      <c r="C1412" s="3">
        <v>45716.159930555557</v>
      </c>
      <c r="D1412" t="s">
        <v>113</v>
      </c>
      <c r="E1412" s="4">
        <v>0</v>
      </c>
      <c r="F1412" s="4">
        <v>81791.759000000005</v>
      </c>
      <c r="G1412" s="4">
        <v>81791.759000000005</v>
      </c>
      <c r="H1412" s="5">
        <f>137 / 86400</f>
        <v>1.5856481481481481E-3</v>
      </c>
      <c r="I1412" t="s">
        <v>22</v>
      </c>
      <c r="J1412" t="s">
        <v>22</v>
      </c>
      <c r="K1412" s="5">
        <f>150 / 86400</f>
        <v>1.736111111111111E-3</v>
      </c>
      <c r="L1412" s="5">
        <f>13695 / 86400</f>
        <v>0.15850694444444444</v>
      </c>
    </row>
    <row r="1413" spans="1:12" x14ac:dyDescent="0.25">
      <c r="A1413" s="3">
        <v>45716.16024305555</v>
      </c>
      <c r="B1413" t="s">
        <v>113</v>
      </c>
      <c r="C1413" s="3">
        <v>45716.32677083333</v>
      </c>
      <c r="D1413" t="s">
        <v>134</v>
      </c>
      <c r="E1413" s="4">
        <v>93.823999999999998</v>
      </c>
      <c r="F1413" s="4">
        <v>81791.759000000005</v>
      </c>
      <c r="G1413" s="4">
        <v>81885.582999999999</v>
      </c>
      <c r="H1413" s="5">
        <f>3217 / 86400</f>
        <v>3.72337962962963E-2</v>
      </c>
      <c r="I1413" t="s">
        <v>155</v>
      </c>
      <c r="J1413" t="s">
        <v>153</v>
      </c>
      <c r="K1413" s="5">
        <f>14388 / 86400</f>
        <v>0.16652777777777777</v>
      </c>
      <c r="L1413" s="5">
        <f>21 / 86400</f>
        <v>2.4305555555555555E-4</v>
      </c>
    </row>
    <row r="1414" spans="1:12" x14ac:dyDescent="0.25">
      <c r="A1414" s="3">
        <v>45716.327013888891</v>
      </c>
      <c r="B1414" t="s">
        <v>134</v>
      </c>
      <c r="C1414" s="3">
        <v>45716.328865740739</v>
      </c>
      <c r="D1414" t="s">
        <v>134</v>
      </c>
      <c r="E1414" s="4">
        <v>0.96599999999999997</v>
      </c>
      <c r="F1414" s="4">
        <v>81885.582999999999</v>
      </c>
      <c r="G1414" s="4">
        <v>81886.548999999999</v>
      </c>
      <c r="H1414" s="5">
        <f>20 / 86400</f>
        <v>2.3148148148148149E-4</v>
      </c>
      <c r="I1414" t="s">
        <v>168</v>
      </c>
      <c r="J1414" t="s">
        <v>130</v>
      </c>
      <c r="K1414" s="5">
        <f>160 / 86400</f>
        <v>1.8518518518518519E-3</v>
      </c>
      <c r="L1414" s="5">
        <f>118 / 86400</f>
        <v>1.3657407407407407E-3</v>
      </c>
    </row>
    <row r="1415" spans="1:12" x14ac:dyDescent="0.25">
      <c r="A1415" s="3">
        <v>45716.330231481479</v>
      </c>
      <c r="B1415" t="s">
        <v>134</v>
      </c>
      <c r="C1415" s="3">
        <v>45716.330763888887</v>
      </c>
      <c r="D1415" t="s">
        <v>134</v>
      </c>
      <c r="E1415" s="4">
        <v>6.5000000000000002E-2</v>
      </c>
      <c r="F1415" s="4">
        <v>81886.548999999999</v>
      </c>
      <c r="G1415" s="4">
        <v>81886.614000000001</v>
      </c>
      <c r="H1415" s="5">
        <f>0 / 86400</f>
        <v>0</v>
      </c>
      <c r="I1415" t="s">
        <v>214</v>
      </c>
      <c r="J1415" t="s">
        <v>25</v>
      </c>
      <c r="K1415" s="5">
        <f>46 / 86400</f>
        <v>5.3240740740740744E-4</v>
      </c>
      <c r="L1415" s="5">
        <f>500 / 86400</f>
        <v>5.7870370370370367E-3</v>
      </c>
    </row>
    <row r="1416" spans="1:12" x14ac:dyDescent="0.25">
      <c r="A1416" s="3">
        <v>45716.336550925931</v>
      </c>
      <c r="B1416" t="s">
        <v>134</v>
      </c>
      <c r="C1416" s="3">
        <v>45716.339537037042</v>
      </c>
      <c r="D1416" t="s">
        <v>161</v>
      </c>
      <c r="E1416" s="4">
        <v>1.22</v>
      </c>
      <c r="F1416" s="4">
        <v>81886.614000000001</v>
      </c>
      <c r="G1416" s="4">
        <v>81887.834000000003</v>
      </c>
      <c r="H1416" s="5">
        <f>37 / 86400</f>
        <v>4.2824074074074075E-4</v>
      </c>
      <c r="I1416" t="s">
        <v>97</v>
      </c>
      <c r="J1416" t="s">
        <v>62</v>
      </c>
      <c r="K1416" s="5">
        <f>258 / 86400</f>
        <v>2.9861111111111113E-3</v>
      </c>
      <c r="L1416" s="5">
        <f>684 / 86400</f>
        <v>7.9166666666666673E-3</v>
      </c>
    </row>
    <row r="1417" spans="1:12" x14ac:dyDescent="0.25">
      <c r="A1417" s="3">
        <v>45716.347453703704</v>
      </c>
      <c r="B1417" t="s">
        <v>161</v>
      </c>
      <c r="C1417" s="3">
        <v>45716.565960648149</v>
      </c>
      <c r="D1417" t="s">
        <v>314</v>
      </c>
      <c r="E1417" s="4">
        <v>90.581999999999994</v>
      </c>
      <c r="F1417" s="4">
        <v>81887.834000000003</v>
      </c>
      <c r="G1417" s="4">
        <v>81978.415999999997</v>
      </c>
      <c r="H1417" s="5">
        <f>6382 / 86400</f>
        <v>7.3865740740740746E-2</v>
      </c>
      <c r="I1417" t="s">
        <v>58</v>
      </c>
      <c r="J1417" t="s">
        <v>62</v>
      </c>
      <c r="K1417" s="5">
        <f>18879 / 86400</f>
        <v>0.21850694444444443</v>
      </c>
      <c r="L1417" s="5">
        <f>20 / 86400</f>
        <v>2.3148148148148149E-4</v>
      </c>
    </row>
    <row r="1418" spans="1:12" x14ac:dyDescent="0.25">
      <c r="A1418" s="3">
        <v>45716.566192129627</v>
      </c>
      <c r="B1418" t="s">
        <v>314</v>
      </c>
      <c r="C1418" s="3">
        <v>45716.580092592594</v>
      </c>
      <c r="D1418" t="s">
        <v>136</v>
      </c>
      <c r="E1418" s="4">
        <v>4.2300000000000004</v>
      </c>
      <c r="F1418" s="4">
        <v>81978.415999999997</v>
      </c>
      <c r="G1418" s="4">
        <v>81982.645999999993</v>
      </c>
      <c r="H1418" s="5">
        <f>380 / 86400</f>
        <v>4.3981481481481484E-3</v>
      </c>
      <c r="I1418" t="s">
        <v>307</v>
      </c>
      <c r="J1418" t="s">
        <v>64</v>
      </c>
      <c r="K1418" s="5">
        <f>1201 / 86400</f>
        <v>1.3900462962962963E-2</v>
      </c>
      <c r="L1418" s="5">
        <f>258 / 86400</f>
        <v>2.9861111111111113E-3</v>
      </c>
    </row>
    <row r="1419" spans="1:12" x14ac:dyDescent="0.25">
      <c r="A1419" s="3">
        <v>45716.583078703705</v>
      </c>
      <c r="B1419" t="s">
        <v>136</v>
      </c>
      <c r="C1419" s="3">
        <v>45716.583784722221</v>
      </c>
      <c r="D1419" t="s">
        <v>135</v>
      </c>
      <c r="E1419" s="4">
        <v>0.23699999999999999</v>
      </c>
      <c r="F1419" s="4">
        <v>81982.645999999993</v>
      </c>
      <c r="G1419" s="4">
        <v>81982.883000000002</v>
      </c>
      <c r="H1419" s="5">
        <f>0 / 86400</f>
        <v>0</v>
      </c>
      <c r="I1419" t="s">
        <v>130</v>
      </c>
      <c r="J1419" t="s">
        <v>72</v>
      </c>
      <c r="K1419" s="5">
        <f>61 / 86400</f>
        <v>7.0601851851851847E-4</v>
      </c>
      <c r="L1419" s="5">
        <f>78 / 86400</f>
        <v>9.0277777777777774E-4</v>
      </c>
    </row>
    <row r="1420" spans="1:12" x14ac:dyDescent="0.25">
      <c r="A1420" s="3">
        <v>45716.584687499999</v>
      </c>
      <c r="B1420" t="s">
        <v>135</v>
      </c>
      <c r="C1420" s="3">
        <v>45716.585682870369</v>
      </c>
      <c r="D1420" t="s">
        <v>135</v>
      </c>
      <c r="E1420" s="4">
        <v>0.06</v>
      </c>
      <c r="F1420" s="4">
        <v>81982.883000000002</v>
      </c>
      <c r="G1420" s="4">
        <v>81982.942999999999</v>
      </c>
      <c r="H1420" s="5">
        <f>20 / 86400</f>
        <v>2.3148148148148149E-4</v>
      </c>
      <c r="I1420" t="s">
        <v>151</v>
      </c>
      <c r="J1420" t="s">
        <v>33</v>
      </c>
      <c r="K1420" s="5">
        <f>86 / 86400</f>
        <v>9.9537037037037042E-4</v>
      </c>
      <c r="L1420" s="5">
        <f>42 / 86400</f>
        <v>4.861111111111111E-4</v>
      </c>
    </row>
    <row r="1421" spans="1:12" x14ac:dyDescent="0.25">
      <c r="A1421" s="3">
        <v>45716.586168981477</v>
      </c>
      <c r="B1421" t="s">
        <v>135</v>
      </c>
      <c r="C1421" s="3">
        <v>45716.586273148147</v>
      </c>
      <c r="D1421" t="s">
        <v>135</v>
      </c>
      <c r="E1421" s="4">
        <v>0</v>
      </c>
      <c r="F1421" s="4">
        <v>81982.942999999999</v>
      </c>
      <c r="G1421" s="4">
        <v>81982.942999999999</v>
      </c>
      <c r="H1421" s="5">
        <f>0 / 86400</f>
        <v>0</v>
      </c>
      <c r="I1421" t="s">
        <v>22</v>
      </c>
      <c r="J1421" t="s">
        <v>22</v>
      </c>
      <c r="K1421" s="5">
        <f>9 / 86400</f>
        <v>1.0416666666666667E-4</v>
      </c>
      <c r="L1421" s="5">
        <f>763 / 86400</f>
        <v>8.8310185185185193E-3</v>
      </c>
    </row>
    <row r="1422" spans="1:12" x14ac:dyDescent="0.25">
      <c r="A1422" s="3">
        <v>45716.59510416667</v>
      </c>
      <c r="B1422" t="s">
        <v>135</v>
      </c>
      <c r="C1422" s="3">
        <v>45716.597881944443</v>
      </c>
      <c r="D1422" t="s">
        <v>406</v>
      </c>
      <c r="E1422" s="4">
        <v>0.69199999999999995</v>
      </c>
      <c r="F1422" s="4">
        <v>81982.942999999999</v>
      </c>
      <c r="G1422" s="4">
        <v>81983.634999999995</v>
      </c>
      <c r="H1422" s="5">
        <f>120 / 86400</f>
        <v>1.3888888888888889E-3</v>
      </c>
      <c r="I1422" t="s">
        <v>185</v>
      </c>
      <c r="J1422" t="s">
        <v>151</v>
      </c>
      <c r="K1422" s="5">
        <f>240 / 86400</f>
        <v>2.7777777777777779E-3</v>
      </c>
      <c r="L1422" s="5">
        <f>3160 / 86400</f>
        <v>3.6574074074074071E-2</v>
      </c>
    </row>
    <row r="1423" spans="1:12" x14ac:dyDescent="0.25">
      <c r="A1423" s="3">
        <v>45716.634456018517</v>
      </c>
      <c r="B1423" t="s">
        <v>406</v>
      </c>
      <c r="C1423" s="3">
        <v>45716.889074074075</v>
      </c>
      <c r="D1423" t="s">
        <v>136</v>
      </c>
      <c r="E1423" s="4">
        <v>95.093000000000004</v>
      </c>
      <c r="F1423" s="4">
        <v>81983.634999999995</v>
      </c>
      <c r="G1423" s="4">
        <v>82078.728000000003</v>
      </c>
      <c r="H1423" s="5">
        <f>8395 / 86400</f>
        <v>9.7164351851851849E-2</v>
      </c>
      <c r="I1423" t="s">
        <v>81</v>
      </c>
      <c r="J1423" t="s">
        <v>31</v>
      </c>
      <c r="K1423" s="5">
        <f>21999 / 86400</f>
        <v>0.25461805555555556</v>
      </c>
      <c r="L1423" s="5">
        <f>709 / 86400</f>
        <v>8.2060185185185187E-3</v>
      </c>
    </row>
    <row r="1424" spans="1:12" x14ac:dyDescent="0.25">
      <c r="A1424" s="3">
        <v>45716.897280092591</v>
      </c>
      <c r="B1424" t="s">
        <v>136</v>
      </c>
      <c r="C1424" s="3">
        <v>45716.901134259257</v>
      </c>
      <c r="D1424" t="s">
        <v>113</v>
      </c>
      <c r="E1424" s="4">
        <v>0.69699999999999995</v>
      </c>
      <c r="F1424" s="4">
        <v>82078.728000000003</v>
      </c>
      <c r="G1424" s="4">
        <v>82079.425000000003</v>
      </c>
      <c r="H1424" s="5">
        <f>140 / 86400</f>
        <v>1.6203703703703703E-3</v>
      </c>
      <c r="I1424" t="s">
        <v>140</v>
      </c>
      <c r="J1424" t="s">
        <v>214</v>
      </c>
      <c r="K1424" s="5">
        <f>333 / 86400</f>
        <v>3.8541666666666668E-3</v>
      </c>
      <c r="L1424" s="5">
        <f>8541 / 86400</f>
        <v>9.8854166666666674E-2</v>
      </c>
    </row>
    <row r="1425" spans="1:12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</row>
    <row r="1426" spans="1:12" x14ac:dyDescent="0.2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</row>
    <row r="1427" spans="1:12" s="10" customFormat="1" ht="20.100000000000001" customHeight="1" x14ac:dyDescent="0.35">
      <c r="A1427" s="15" t="s">
        <v>534</v>
      </c>
      <c r="B1427" s="15"/>
      <c r="C1427" s="15"/>
      <c r="D1427" s="15"/>
      <c r="E1427" s="15"/>
      <c r="F1427" s="15"/>
      <c r="G1427" s="15"/>
      <c r="H1427" s="15"/>
      <c r="I1427" s="15"/>
      <c r="J1427" s="15"/>
    </row>
    <row r="1428" spans="1:12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</row>
    <row r="1429" spans="1:12" ht="30" x14ac:dyDescent="0.25">
      <c r="A1429" s="2" t="s">
        <v>6</v>
      </c>
      <c r="B1429" s="2" t="s">
        <v>7</v>
      </c>
      <c r="C1429" s="2" t="s">
        <v>8</v>
      </c>
      <c r="D1429" s="2" t="s">
        <v>9</v>
      </c>
      <c r="E1429" s="2" t="s">
        <v>10</v>
      </c>
      <c r="F1429" s="2" t="s">
        <v>11</v>
      </c>
      <c r="G1429" s="2" t="s">
        <v>12</v>
      </c>
      <c r="H1429" s="2" t="s">
        <v>13</v>
      </c>
      <c r="I1429" s="2" t="s">
        <v>14</v>
      </c>
      <c r="J1429" s="2" t="s">
        <v>15</v>
      </c>
      <c r="K1429" s="2" t="s">
        <v>16</v>
      </c>
      <c r="L1429" s="2" t="s">
        <v>17</v>
      </c>
    </row>
    <row r="1430" spans="1:12" x14ac:dyDescent="0.25">
      <c r="A1430" s="3">
        <v>45716.242129629631</v>
      </c>
      <c r="B1430" t="s">
        <v>114</v>
      </c>
      <c r="C1430" s="3">
        <v>45716.382974537039</v>
      </c>
      <c r="D1430" t="s">
        <v>46</v>
      </c>
      <c r="E1430" s="4">
        <v>66.462999999999994</v>
      </c>
      <c r="F1430" s="4">
        <v>44331.14</v>
      </c>
      <c r="G1430" s="4">
        <v>44397.603000000003</v>
      </c>
      <c r="H1430" s="5">
        <f>3990 / 86400</f>
        <v>4.6180555555555558E-2</v>
      </c>
      <c r="I1430" t="s">
        <v>47</v>
      </c>
      <c r="J1430" t="s">
        <v>108</v>
      </c>
      <c r="K1430" s="5">
        <f>12169 / 86400</f>
        <v>0.1408449074074074</v>
      </c>
      <c r="L1430" s="5">
        <f>22332 / 86400</f>
        <v>0.25847222222222221</v>
      </c>
    </row>
    <row r="1431" spans="1:12" x14ac:dyDescent="0.25">
      <c r="A1431" s="3">
        <v>45716.399317129632</v>
      </c>
      <c r="B1431" t="s">
        <v>46</v>
      </c>
      <c r="C1431" s="3">
        <v>45716.407581018517</v>
      </c>
      <c r="D1431" t="s">
        <v>131</v>
      </c>
      <c r="E1431" s="4">
        <v>2.0499999999999998</v>
      </c>
      <c r="F1431" s="4">
        <v>44397.603000000003</v>
      </c>
      <c r="G1431" s="4">
        <v>44399.652999999998</v>
      </c>
      <c r="H1431" s="5">
        <f>329 / 86400</f>
        <v>3.8078703703703703E-3</v>
      </c>
      <c r="I1431" t="s">
        <v>185</v>
      </c>
      <c r="J1431" t="s">
        <v>151</v>
      </c>
      <c r="K1431" s="5">
        <f>714 / 86400</f>
        <v>8.2638888888888883E-3</v>
      </c>
      <c r="L1431" s="5">
        <f>4049 / 86400</f>
        <v>4.6863425925925926E-2</v>
      </c>
    </row>
    <row r="1432" spans="1:12" x14ac:dyDescent="0.25">
      <c r="A1432" s="3">
        <v>45716.454444444447</v>
      </c>
      <c r="B1432" t="s">
        <v>131</v>
      </c>
      <c r="C1432" s="3">
        <v>45716.664166666669</v>
      </c>
      <c r="D1432" t="s">
        <v>136</v>
      </c>
      <c r="E1432" s="4">
        <v>94.887</v>
      </c>
      <c r="F1432" s="4">
        <v>44399.652999999998</v>
      </c>
      <c r="G1432" s="4">
        <v>44494.54</v>
      </c>
      <c r="H1432" s="5">
        <f>5879 / 86400</f>
        <v>6.8043981481481483E-2</v>
      </c>
      <c r="I1432" t="s">
        <v>91</v>
      </c>
      <c r="J1432" t="s">
        <v>85</v>
      </c>
      <c r="K1432" s="5">
        <f>18120 / 86400</f>
        <v>0.20972222222222223</v>
      </c>
      <c r="L1432" s="5">
        <f>286 / 86400</f>
        <v>3.3101851851851851E-3</v>
      </c>
    </row>
    <row r="1433" spans="1:12" x14ac:dyDescent="0.25">
      <c r="A1433" s="3">
        <v>45716.667476851857</v>
      </c>
      <c r="B1433" t="s">
        <v>136</v>
      </c>
      <c r="C1433" s="3">
        <v>45716.668414351851</v>
      </c>
      <c r="D1433" t="s">
        <v>134</v>
      </c>
      <c r="E1433" s="4">
        <v>6.6000000000000003E-2</v>
      </c>
      <c r="F1433" s="4">
        <v>44494.54</v>
      </c>
      <c r="G1433" s="4">
        <v>44494.606</v>
      </c>
      <c r="H1433" s="5">
        <f>1 / 86400</f>
        <v>1.1574074074074073E-5</v>
      </c>
      <c r="I1433" t="s">
        <v>151</v>
      </c>
      <c r="J1433" t="s">
        <v>33</v>
      </c>
      <c r="K1433" s="5">
        <f>81 / 86400</f>
        <v>9.3749999999999997E-4</v>
      </c>
      <c r="L1433" s="5">
        <f>1282 / 86400</f>
        <v>1.4837962962962963E-2</v>
      </c>
    </row>
    <row r="1434" spans="1:12" x14ac:dyDescent="0.25">
      <c r="A1434" s="3">
        <v>45716.683252314819</v>
      </c>
      <c r="B1434" t="s">
        <v>134</v>
      </c>
      <c r="C1434" s="3">
        <v>45716.99998842593</v>
      </c>
      <c r="D1434" t="s">
        <v>115</v>
      </c>
      <c r="E1434" s="4">
        <v>129.34899999999999</v>
      </c>
      <c r="F1434" s="4">
        <v>44494.606</v>
      </c>
      <c r="G1434" s="4">
        <v>44623.955000000002</v>
      </c>
      <c r="H1434" s="5">
        <f>9478 / 86400</f>
        <v>0.10969907407407407</v>
      </c>
      <c r="I1434" t="s">
        <v>61</v>
      </c>
      <c r="J1434" t="s">
        <v>62</v>
      </c>
      <c r="K1434" s="5">
        <f>27366 / 86400</f>
        <v>0.31673611111111111</v>
      </c>
      <c r="L1434" s="5">
        <f>0 / 86400</f>
        <v>0</v>
      </c>
    </row>
    <row r="1435" spans="1:12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</row>
    <row r="1436" spans="1:12" x14ac:dyDescent="0.2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</row>
    <row r="1437" spans="1:12" s="10" customFormat="1" ht="20.100000000000001" customHeight="1" x14ac:dyDescent="0.35">
      <c r="A1437" s="15" t="s">
        <v>535</v>
      </c>
      <c r="B1437" s="15"/>
      <c r="C1437" s="15"/>
      <c r="D1437" s="15"/>
      <c r="E1437" s="15"/>
      <c r="F1437" s="15"/>
      <c r="G1437" s="15"/>
      <c r="H1437" s="15"/>
      <c r="I1437" s="15"/>
      <c r="J1437" s="15"/>
    </row>
    <row r="1438" spans="1:12" x14ac:dyDescent="0.2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</row>
    <row r="1439" spans="1:12" ht="30" x14ac:dyDescent="0.25">
      <c r="A1439" s="2" t="s">
        <v>6</v>
      </c>
      <c r="B1439" s="2" t="s">
        <v>7</v>
      </c>
      <c r="C1439" s="2" t="s">
        <v>8</v>
      </c>
      <c r="D1439" s="2" t="s">
        <v>9</v>
      </c>
      <c r="E1439" s="2" t="s">
        <v>10</v>
      </c>
      <c r="F1439" s="2" t="s">
        <v>11</v>
      </c>
      <c r="G1439" s="2" t="s">
        <v>12</v>
      </c>
      <c r="H1439" s="2" t="s">
        <v>13</v>
      </c>
      <c r="I1439" s="2" t="s">
        <v>14</v>
      </c>
      <c r="J1439" s="2" t="s">
        <v>15</v>
      </c>
      <c r="K1439" s="2" t="s">
        <v>16</v>
      </c>
      <c r="L1439" s="2" t="s">
        <v>17</v>
      </c>
    </row>
    <row r="1440" spans="1:12" x14ac:dyDescent="0.25">
      <c r="A1440" s="3">
        <v>45716.360115740739</v>
      </c>
      <c r="B1440" t="s">
        <v>116</v>
      </c>
      <c r="C1440" s="3">
        <v>45716.369999999995</v>
      </c>
      <c r="D1440" t="s">
        <v>163</v>
      </c>
      <c r="E1440" s="4">
        <v>2.379</v>
      </c>
      <c r="F1440" s="4">
        <v>194107.19500000001</v>
      </c>
      <c r="G1440" s="4">
        <v>194109.57399999999</v>
      </c>
      <c r="H1440" s="5">
        <f>279 / 86400</f>
        <v>3.2291666666666666E-3</v>
      </c>
      <c r="I1440" t="s">
        <v>206</v>
      </c>
      <c r="J1440" t="s">
        <v>151</v>
      </c>
      <c r="K1440" s="5">
        <f>853 / 86400</f>
        <v>9.8726851851851857E-3</v>
      </c>
      <c r="L1440" s="5">
        <f>31596 / 86400</f>
        <v>0.36569444444444443</v>
      </c>
    </row>
    <row r="1441" spans="1:12" x14ac:dyDescent="0.25">
      <c r="A1441" s="3">
        <v>45716.375578703708</v>
      </c>
      <c r="B1441" t="s">
        <v>163</v>
      </c>
      <c r="C1441" s="3">
        <v>45716.387696759259</v>
      </c>
      <c r="D1441" t="s">
        <v>474</v>
      </c>
      <c r="E1441" s="4">
        <v>4.4370000000000003</v>
      </c>
      <c r="F1441" s="4">
        <v>194109.57399999999</v>
      </c>
      <c r="G1441" s="4">
        <v>194114.011</v>
      </c>
      <c r="H1441" s="5">
        <f>279 / 86400</f>
        <v>3.2291666666666666E-3</v>
      </c>
      <c r="I1441" t="s">
        <v>171</v>
      </c>
      <c r="J1441" t="s">
        <v>35</v>
      </c>
      <c r="K1441" s="5">
        <f>1047 / 86400</f>
        <v>1.2118055555555556E-2</v>
      </c>
      <c r="L1441" s="5">
        <f>6952 / 86400</f>
        <v>8.0462962962962958E-2</v>
      </c>
    </row>
    <row r="1442" spans="1:12" x14ac:dyDescent="0.25">
      <c r="A1442" s="3">
        <v>45716.468159722222</v>
      </c>
      <c r="B1442" t="s">
        <v>474</v>
      </c>
      <c r="C1442" s="3">
        <v>45716.478819444441</v>
      </c>
      <c r="D1442" t="s">
        <v>409</v>
      </c>
      <c r="E1442" s="4">
        <v>2.6749999999999998</v>
      </c>
      <c r="F1442" s="4">
        <v>194114.011</v>
      </c>
      <c r="G1442" s="4">
        <v>194116.68599999999</v>
      </c>
      <c r="H1442" s="5">
        <f>220 / 86400</f>
        <v>2.5462962962962965E-3</v>
      </c>
      <c r="I1442" t="s">
        <v>200</v>
      </c>
      <c r="J1442" t="s">
        <v>151</v>
      </c>
      <c r="K1442" s="5">
        <f>921 / 86400</f>
        <v>1.0659722222222221E-2</v>
      </c>
      <c r="L1442" s="5">
        <f>294 / 86400</f>
        <v>3.4027777777777776E-3</v>
      </c>
    </row>
    <row r="1443" spans="1:12" x14ac:dyDescent="0.25">
      <c r="A1443" s="3">
        <v>45716.482222222221</v>
      </c>
      <c r="B1443" t="s">
        <v>409</v>
      </c>
      <c r="C1443" s="3">
        <v>45716.482916666668</v>
      </c>
      <c r="D1443" t="s">
        <v>475</v>
      </c>
      <c r="E1443" s="4">
        <v>8.9999999999999993E-3</v>
      </c>
      <c r="F1443" s="4">
        <v>194116.68599999999</v>
      </c>
      <c r="G1443" s="4">
        <v>194116.69500000001</v>
      </c>
      <c r="H1443" s="5">
        <f>59 / 86400</f>
        <v>6.8287037037037036E-4</v>
      </c>
      <c r="I1443" t="s">
        <v>22</v>
      </c>
      <c r="J1443" t="s">
        <v>59</v>
      </c>
      <c r="K1443" s="5">
        <f>60 / 86400</f>
        <v>6.9444444444444447E-4</v>
      </c>
      <c r="L1443" s="5">
        <f>1059 / 86400</f>
        <v>1.2256944444444445E-2</v>
      </c>
    </row>
    <row r="1444" spans="1:12" x14ac:dyDescent="0.25">
      <c r="A1444" s="3">
        <v>45716.495173611111</v>
      </c>
      <c r="B1444" t="s">
        <v>475</v>
      </c>
      <c r="C1444" s="3">
        <v>45716.49591435185</v>
      </c>
      <c r="D1444" t="s">
        <v>409</v>
      </c>
      <c r="E1444" s="4">
        <v>4.4999999999999998E-2</v>
      </c>
      <c r="F1444" s="4">
        <v>194116.69500000001</v>
      </c>
      <c r="G1444" s="4">
        <v>194116.74</v>
      </c>
      <c r="H1444" s="5">
        <f>20 / 86400</f>
        <v>2.3148148148148149E-4</v>
      </c>
      <c r="I1444" t="s">
        <v>33</v>
      </c>
      <c r="J1444" t="s">
        <v>33</v>
      </c>
      <c r="K1444" s="5">
        <f>63 / 86400</f>
        <v>7.291666666666667E-4</v>
      </c>
      <c r="L1444" s="5">
        <f>242 / 86400</f>
        <v>2.8009259259259259E-3</v>
      </c>
    </row>
    <row r="1445" spans="1:12" x14ac:dyDescent="0.25">
      <c r="A1445" s="3">
        <v>45716.498715277776</v>
      </c>
      <c r="B1445" t="s">
        <v>409</v>
      </c>
      <c r="C1445" s="3">
        <v>45716.503437499996</v>
      </c>
      <c r="D1445" t="s">
        <v>476</v>
      </c>
      <c r="E1445" s="4">
        <v>1.375</v>
      </c>
      <c r="F1445" s="4">
        <v>194116.74</v>
      </c>
      <c r="G1445" s="4">
        <v>194118.11499999999</v>
      </c>
      <c r="H1445" s="5">
        <f>100 / 86400</f>
        <v>1.1574074074074073E-3</v>
      </c>
      <c r="I1445" t="s">
        <v>149</v>
      </c>
      <c r="J1445" t="s">
        <v>28</v>
      </c>
      <c r="K1445" s="5">
        <f>407 / 86400</f>
        <v>4.7106481481481478E-3</v>
      </c>
      <c r="L1445" s="5">
        <f>1117 / 86400</f>
        <v>1.292824074074074E-2</v>
      </c>
    </row>
    <row r="1446" spans="1:12" x14ac:dyDescent="0.25">
      <c r="A1446" s="3">
        <v>45716.516365740739</v>
      </c>
      <c r="B1446" t="s">
        <v>476</v>
      </c>
      <c r="C1446" s="3">
        <v>45716.516539351855</v>
      </c>
      <c r="D1446" t="s">
        <v>476</v>
      </c>
      <c r="E1446" s="4">
        <v>6.0000000000000001E-3</v>
      </c>
      <c r="F1446" s="4">
        <v>194118.11499999999</v>
      </c>
      <c r="G1446" s="4">
        <v>194118.12100000001</v>
      </c>
      <c r="H1446" s="5">
        <f>0 / 86400</f>
        <v>0</v>
      </c>
      <c r="I1446" t="s">
        <v>22</v>
      </c>
      <c r="J1446" t="s">
        <v>59</v>
      </c>
      <c r="K1446" s="5">
        <f>15 / 86400</f>
        <v>1.7361111111111112E-4</v>
      </c>
      <c r="L1446" s="5">
        <f>449 / 86400</f>
        <v>5.1967592592592595E-3</v>
      </c>
    </row>
    <row r="1447" spans="1:12" x14ac:dyDescent="0.25">
      <c r="A1447" s="3">
        <v>45716.521736111114</v>
      </c>
      <c r="B1447" t="s">
        <v>476</v>
      </c>
      <c r="C1447" s="3">
        <v>45716.606446759259</v>
      </c>
      <c r="D1447" t="s">
        <v>131</v>
      </c>
      <c r="E1447" s="4">
        <v>37.497</v>
      </c>
      <c r="F1447" s="4">
        <v>194118.12100000001</v>
      </c>
      <c r="G1447" s="4">
        <v>194155.61799999999</v>
      </c>
      <c r="H1447" s="5">
        <f>2101 / 86400</f>
        <v>2.431712962962963E-2</v>
      </c>
      <c r="I1447" t="s">
        <v>66</v>
      </c>
      <c r="J1447" t="s">
        <v>20</v>
      </c>
      <c r="K1447" s="5">
        <f>7319 / 86400</f>
        <v>8.4710648148148146E-2</v>
      </c>
      <c r="L1447" s="5">
        <f>1653 / 86400</f>
        <v>1.9131944444444444E-2</v>
      </c>
    </row>
    <row r="1448" spans="1:12" x14ac:dyDescent="0.25">
      <c r="A1448" s="3">
        <v>45716.625578703708</v>
      </c>
      <c r="B1448" t="s">
        <v>131</v>
      </c>
      <c r="C1448" s="3">
        <v>45716.629004629634</v>
      </c>
      <c r="D1448" t="s">
        <v>46</v>
      </c>
      <c r="E1448" s="4">
        <v>0.97799999999999998</v>
      </c>
      <c r="F1448" s="4">
        <v>194155.61799999999</v>
      </c>
      <c r="G1448" s="4">
        <v>194156.59599999999</v>
      </c>
      <c r="H1448" s="5">
        <f>0 / 86400</f>
        <v>0</v>
      </c>
      <c r="I1448" t="s">
        <v>108</v>
      </c>
      <c r="J1448" t="s">
        <v>28</v>
      </c>
      <c r="K1448" s="5">
        <f>295 / 86400</f>
        <v>3.414351851851852E-3</v>
      </c>
      <c r="L1448" s="5">
        <f>576 / 86400</f>
        <v>6.6666666666666671E-3</v>
      </c>
    </row>
    <row r="1449" spans="1:12" x14ac:dyDescent="0.25">
      <c r="A1449" s="3">
        <v>45716.635671296295</v>
      </c>
      <c r="B1449" t="s">
        <v>46</v>
      </c>
      <c r="C1449" s="3">
        <v>45716.677025462966</v>
      </c>
      <c r="D1449" t="s">
        <v>177</v>
      </c>
      <c r="E1449" s="4">
        <v>24.716999999999999</v>
      </c>
      <c r="F1449" s="4">
        <v>194156.59599999999</v>
      </c>
      <c r="G1449" s="4">
        <v>194181.31299999999</v>
      </c>
      <c r="H1449" s="5">
        <f>698 / 86400</f>
        <v>8.0787037037037043E-3</v>
      </c>
      <c r="I1449" t="s">
        <v>84</v>
      </c>
      <c r="J1449" t="s">
        <v>32</v>
      </c>
      <c r="K1449" s="5">
        <f>3573 / 86400</f>
        <v>4.1354166666666664E-2</v>
      </c>
      <c r="L1449" s="5">
        <f>691 / 86400</f>
        <v>7.9976851851851858E-3</v>
      </c>
    </row>
    <row r="1450" spans="1:12" x14ac:dyDescent="0.25">
      <c r="A1450" s="3">
        <v>45716.685023148151</v>
      </c>
      <c r="B1450" t="s">
        <v>177</v>
      </c>
      <c r="C1450" s="3">
        <v>45716.685439814813</v>
      </c>
      <c r="D1450" t="s">
        <v>177</v>
      </c>
      <c r="E1450" s="4">
        <v>0</v>
      </c>
      <c r="F1450" s="4">
        <v>194181.31299999999</v>
      </c>
      <c r="G1450" s="4">
        <v>194181.31299999999</v>
      </c>
      <c r="H1450" s="5">
        <f>19 / 86400</f>
        <v>2.199074074074074E-4</v>
      </c>
      <c r="I1450" t="s">
        <v>22</v>
      </c>
      <c r="J1450" t="s">
        <v>22</v>
      </c>
      <c r="K1450" s="5">
        <f>35 / 86400</f>
        <v>4.0509259259259258E-4</v>
      </c>
      <c r="L1450" s="5">
        <f>593 / 86400</f>
        <v>6.8634259259259256E-3</v>
      </c>
    </row>
    <row r="1451" spans="1:12" x14ac:dyDescent="0.25">
      <c r="A1451" s="3">
        <v>45716.692303240736</v>
      </c>
      <c r="B1451" t="s">
        <v>343</v>
      </c>
      <c r="C1451" s="3">
        <v>45716.694814814815</v>
      </c>
      <c r="D1451" t="s">
        <v>343</v>
      </c>
      <c r="E1451" s="4">
        <v>0</v>
      </c>
      <c r="F1451" s="4">
        <v>194181.31299999999</v>
      </c>
      <c r="G1451" s="4">
        <v>194181.31299999999</v>
      </c>
      <c r="H1451" s="5">
        <f>199 / 86400</f>
        <v>2.3032407407407407E-3</v>
      </c>
      <c r="I1451" t="s">
        <v>22</v>
      </c>
      <c r="J1451" t="s">
        <v>22</v>
      </c>
      <c r="K1451" s="5">
        <f>217 / 86400</f>
        <v>2.5115740740740741E-3</v>
      </c>
      <c r="L1451" s="5">
        <f>1 / 86400</f>
        <v>1.1574074074074073E-5</v>
      </c>
    </row>
    <row r="1452" spans="1:12" x14ac:dyDescent="0.25">
      <c r="A1452" s="3">
        <v>45716.694826388892</v>
      </c>
      <c r="B1452" t="s">
        <v>343</v>
      </c>
      <c r="C1452" s="3">
        <v>45716.694861111115</v>
      </c>
      <c r="D1452" t="s">
        <v>343</v>
      </c>
      <c r="E1452" s="4">
        <v>0</v>
      </c>
      <c r="F1452" s="4">
        <v>194181.31299999999</v>
      </c>
      <c r="G1452" s="4">
        <v>194181.31299999999</v>
      </c>
      <c r="H1452" s="5">
        <f>1 / 86400</f>
        <v>1.1574074074074073E-5</v>
      </c>
      <c r="I1452" t="s">
        <v>22</v>
      </c>
      <c r="J1452" t="s">
        <v>22</v>
      </c>
      <c r="K1452" s="5">
        <f>3 / 86400</f>
        <v>3.4722222222222222E-5</v>
      </c>
      <c r="L1452" s="5">
        <f>329 / 86400</f>
        <v>3.8078703703703703E-3</v>
      </c>
    </row>
    <row r="1453" spans="1:12" x14ac:dyDescent="0.25">
      <c r="A1453" s="3">
        <v>45716.69866898148</v>
      </c>
      <c r="B1453" t="s">
        <v>177</v>
      </c>
      <c r="C1453" s="3">
        <v>45716.698854166665</v>
      </c>
      <c r="D1453" t="s">
        <v>177</v>
      </c>
      <c r="E1453" s="4">
        <v>0</v>
      </c>
      <c r="F1453" s="4">
        <v>194181.31299999999</v>
      </c>
      <c r="G1453" s="4">
        <v>194181.31299999999</v>
      </c>
      <c r="H1453" s="5">
        <f>0 / 86400</f>
        <v>0</v>
      </c>
      <c r="I1453" t="s">
        <v>22</v>
      </c>
      <c r="J1453" t="s">
        <v>22</v>
      </c>
      <c r="K1453" s="5">
        <f>16 / 86400</f>
        <v>1.8518518518518518E-4</v>
      </c>
      <c r="L1453" s="5">
        <f>32 / 86400</f>
        <v>3.7037037037037035E-4</v>
      </c>
    </row>
    <row r="1454" spans="1:12" x14ac:dyDescent="0.25">
      <c r="A1454" s="3">
        <v>45716.699224537035</v>
      </c>
      <c r="B1454" t="s">
        <v>177</v>
      </c>
      <c r="C1454" s="3">
        <v>45716.699525462958</v>
      </c>
      <c r="D1454" t="s">
        <v>177</v>
      </c>
      <c r="E1454" s="4">
        <v>0</v>
      </c>
      <c r="F1454" s="4">
        <v>194181.31299999999</v>
      </c>
      <c r="G1454" s="4">
        <v>194181.31299999999</v>
      </c>
      <c r="H1454" s="5">
        <f>19 / 86400</f>
        <v>2.199074074074074E-4</v>
      </c>
      <c r="I1454" t="s">
        <v>22</v>
      </c>
      <c r="J1454" t="s">
        <v>22</v>
      </c>
      <c r="K1454" s="5">
        <f>26 / 86400</f>
        <v>3.0092592592592595E-4</v>
      </c>
      <c r="L1454" s="5">
        <f>23 / 86400</f>
        <v>2.6620370370370372E-4</v>
      </c>
    </row>
    <row r="1455" spans="1:12" x14ac:dyDescent="0.25">
      <c r="A1455" s="3">
        <v>45716.699791666666</v>
      </c>
      <c r="B1455" t="s">
        <v>177</v>
      </c>
      <c r="C1455" s="3">
        <v>45716.699849537035</v>
      </c>
      <c r="D1455" t="s">
        <v>177</v>
      </c>
      <c r="E1455" s="4">
        <v>0</v>
      </c>
      <c r="F1455" s="4">
        <v>194181.31299999999</v>
      </c>
      <c r="G1455" s="4">
        <v>194181.31299999999</v>
      </c>
      <c r="H1455" s="5">
        <f>0 / 86400</f>
        <v>0</v>
      </c>
      <c r="I1455" t="s">
        <v>22</v>
      </c>
      <c r="J1455" t="s">
        <v>22</v>
      </c>
      <c r="K1455" s="5">
        <f>5 / 86400</f>
        <v>5.7870370370370373E-5</v>
      </c>
      <c r="L1455" s="5">
        <f>921 / 86400</f>
        <v>1.0659722222222221E-2</v>
      </c>
    </row>
    <row r="1456" spans="1:12" x14ac:dyDescent="0.25">
      <c r="A1456" s="3">
        <v>45716.710509259261</v>
      </c>
      <c r="B1456" t="s">
        <v>343</v>
      </c>
      <c r="C1456" s="3">
        <v>45716.713217592594</v>
      </c>
      <c r="D1456" t="s">
        <v>343</v>
      </c>
      <c r="E1456" s="4">
        <v>0.16300000000000001</v>
      </c>
      <c r="F1456" s="4">
        <v>194181.31299999999</v>
      </c>
      <c r="G1456" s="4">
        <v>194181.476</v>
      </c>
      <c r="H1456" s="5">
        <f>99 / 86400</f>
        <v>1.1458333333333333E-3</v>
      </c>
      <c r="I1456" t="s">
        <v>151</v>
      </c>
      <c r="J1456" t="s">
        <v>33</v>
      </c>
      <c r="K1456" s="5">
        <f>234 / 86400</f>
        <v>2.7083333333333334E-3</v>
      </c>
      <c r="L1456" s="5">
        <f>1457 / 86400</f>
        <v>1.6863425925925928E-2</v>
      </c>
    </row>
    <row r="1457" spans="1:12" x14ac:dyDescent="0.25">
      <c r="A1457" s="3">
        <v>45716.730081018519</v>
      </c>
      <c r="B1457" t="s">
        <v>343</v>
      </c>
      <c r="C1457" s="3">
        <v>45716.730405092589</v>
      </c>
      <c r="D1457" t="s">
        <v>343</v>
      </c>
      <c r="E1457" s="4">
        <v>1.0999999999999999E-2</v>
      </c>
      <c r="F1457" s="4">
        <v>194181.476</v>
      </c>
      <c r="G1457" s="4">
        <v>194181.48699999999</v>
      </c>
      <c r="H1457" s="5">
        <f>0 / 86400</f>
        <v>0</v>
      </c>
      <c r="I1457" t="s">
        <v>156</v>
      </c>
      <c r="J1457" t="s">
        <v>59</v>
      </c>
      <c r="K1457" s="5">
        <f>27 / 86400</f>
        <v>3.1250000000000001E-4</v>
      </c>
      <c r="L1457" s="5">
        <f>933 / 86400</f>
        <v>1.0798611111111111E-2</v>
      </c>
    </row>
    <row r="1458" spans="1:12" x14ac:dyDescent="0.25">
      <c r="A1458" s="3">
        <v>45716.741203703699</v>
      </c>
      <c r="B1458" t="s">
        <v>343</v>
      </c>
      <c r="C1458" s="3">
        <v>45716.785543981481</v>
      </c>
      <c r="D1458" t="s">
        <v>116</v>
      </c>
      <c r="E1458" s="4">
        <v>10.884</v>
      </c>
      <c r="F1458" s="4">
        <v>194181.48699999999</v>
      </c>
      <c r="G1458" s="4">
        <v>194192.37100000001</v>
      </c>
      <c r="H1458" s="5">
        <f>1659 / 86400</f>
        <v>1.9201388888888889E-2</v>
      </c>
      <c r="I1458" t="s">
        <v>318</v>
      </c>
      <c r="J1458" t="s">
        <v>151</v>
      </c>
      <c r="K1458" s="5">
        <f>3830 / 86400</f>
        <v>4.4328703703703703E-2</v>
      </c>
      <c r="L1458" s="5">
        <f>361 / 86400</f>
        <v>4.178240740740741E-3</v>
      </c>
    </row>
    <row r="1459" spans="1:12" x14ac:dyDescent="0.25">
      <c r="A1459" s="3">
        <v>45716.789722222224</v>
      </c>
      <c r="B1459" t="s">
        <v>116</v>
      </c>
      <c r="C1459" s="3">
        <v>45716.790543981479</v>
      </c>
      <c r="D1459" t="s">
        <v>116</v>
      </c>
      <c r="E1459" s="4">
        <v>2.3E-2</v>
      </c>
      <c r="F1459" s="4">
        <v>194192.37100000001</v>
      </c>
      <c r="G1459" s="4">
        <v>194192.394</v>
      </c>
      <c r="H1459" s="5">
        <f>19 / 86400</f>
        <v>2.199074074074074E-4</v>
      </c>
      <c r="I1459" t="s">
        <v>25</v>
      </c>
      <c r="J1459" t="s">
        <v>59</v>
      </c>
      <c r="K1459" s="5">
        <f>70 / 86400</f>
        <v>8.1018518518518516E-4</v>
      </c>
      <c r="L1459" s="5">
        <f>774 / 86400</f>
        <v>8.9583333333333338E-3</v>
      </c>
    </row>
    <row r="1460" spans="1:12" x14ac:dyDescent="0.25">
      <c r="A1460" s="3">
        <v>45716.799502314811</v>
      </c>
      <c r="B1460" t="s">
        <v>116</v>
      </c>
      <c r="C1460" s="3">
        <v>45716.80195601852</v>
      </c>
      <c r="D1460" t="s">
        <v>116</v>
      </c>
      <c r="E1460" s="4">
        <v>0.14699999999999999</v>
      </c>
      <c r="F1460" s="4">
        <v>194192.394</v>
      </c>
      <c r="G1460" s="4">
        <v>194192.541</v>
      </c>
      <c r="H1460" s="5">
        <f>120 / 86400</f>
        <v>1.3888888888888889E-3</v>
      </c>
      <c r="I1460" t="s">
        <v>214</v>
      </c>
      <c r="J1460" t="s">
        <v>33</v>
      </c>
      <c r="K1460" s="5">
        <f>211 / 86400</f>
        <v>2.4421296296296296E-3</v>
      </c>
      <c r="L1460" s="5">
        <f>17110 / 86400</f>
        <v>0.19803240740740741</v>
      </c>
    </row>
    <row r="1461" spans="1:12" x14ac:dyDescent="0.2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</row>
    <row r="1462" spans="1:12" x14ac:dyDescent="0.2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</row>
    <row r="1463" spans="1:12" s="10" customFormat="1" ht="20.100000000000001" customHeight="1" x14ac:dyDescent="0.35">
      <c r="A1463" s="15" t="s">
        <v>536</v>
      </c>
      <c r="B1463" s="15"/>
      <c r="C1463" s="15"/>
      <c r="D1463" s="15"/>
      <c r="E1463" s="15"/>
      <c r="F1463" s="15"/>
      <c r="G1463" s="15"/>
      <c r="H1463" s="15"/>
      <c r="I1463" s="15"/>
      <c r="J1463" s="15"/>
    </row>
    <row r="1464" spans="1:12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</row>
    <row r="1465" spans="1:12" ht="30" x14ac:dyDescent="0.25">
      <c r="A1465" s="2" t="s">
        <v>6</v>
      </c>
      <c r="B1465" s="2" t="s">
        <v>7</v>
      </c>
      <c r="C1465" s="2" t="s">
        <v>8</v>
      </c>
      <c r="D1465" s="2" t="s">
        <v>9</v>
      </c>
      <c r="E1465" s="2" t="s">
        <v>10</v>
      </c>
      <c r="F1465" s="2" t="s">
        <v>11</v>
      </c>
      <c r="G1465" s="2" t="s">
        <v>12</v>
      </c>
      <c r="H1465" s="2" t="s">
        <v>13</v>
      </c>
      <c r="I1465" s="2" t="s">
        <v>14</v>
      </c>
      <c r="J1465" s="2" t="s">
        <v>15</v>
      </c>
      <c r="K1465" s="2" t="s">
        <v>16</v>
      </c>
      <c r="L1465" s="2" t="s">
        <v>17</v>
      </c>
    </row>
    <row r="1466" spans="1:12" x14ac:dyDescent="0.25">
      <c r="A1466" s="3">
        <v>45716</v>
      </c>
      <c r="B1466" t="s">
        <v>21</v>
      </c>
      <c r="C1466" s="3">
        <v>45716.014768518522</v>
      </c>
      <c r="D1466" t="s">
        <v>98</v>
      </c>
      <c r="E1466" s="4">
        <v>2.9749999999403953</v>
      </c>
      <c r="F1466" s="4">
        <v>526245.08299999998</v>
      </c>
      <c r="G1466" s="4">
        <v>526248.05799999996</v>
      </c>
      <c r="H1466" s="5">
        <f>761 / 86400</f>
        <v>8.8078703703703704E-3</v>
      </c>
      <c r="I1466" t="s">
        <v>171</v>
      </c>
      <c r="J1466" t="s">
        <v>214</v>
      </c>
      <c r="K1466" s="5">
        <f>1276 / 86400</f>
        <v>1.4768518518518519E-2</v>
      </c>
      <c r="L1466" s="5">
        <f>16464 / 86400</f>
        <v>0.19055555555555556</v>
      </c>
    </row>
    <row r="1467" spans="1:12" x14ac:dyDescent="0.25">
      <c r="A1467" s="3">
        <v>45716.205324074079</v>
      </c>
      <c r="B1467" t="s">
        <v>98</v>
      </c>
      <c r="C1467" s="3">
        <v>45716.453900462962</v>
      </c>
      <c r="D1467" t="s">
        <v>136</v>
      </c>
      <c r="E1467" s="4">
        <v>101.456</v>
      </c>
      <c r="F1467" s="4">
        <v>526248.05799999996</v>
      </c>
      <c r="G1467" s="4">
        <v>526349.51399999997</v>
      </c>
      <c r="H1467" s="5">
        <f>7179 / 86400</f>
        <v>8.3090277777777777E-2</v>
      </c>
      <c r="I1467" t="s">
        <v>84</v>
      </c>
      <c r="J1467" t="s">
        <v>62</v>
      </c>
      <c r="K1467" s="5">
        <f>21477 / 86400</f>
        <v>0.24857638888888889</v>
      </c>
      <c r="L1467" s="5">
        <f>703 / 86400</f>
        <v>8.1365740740740738E-3</v>
      </c>
    </row>
    <row r="1468" spans="1:12" x14ac:dyDescent="0.25">
      <c r="A1468" s="3">
        <v>45716.462037037039</v>
      </c>
      <c r="B1468" t="s">
        <v>136</v>
      </c>
      <c r="C1468" s="3">
        <v>45716.46493055555</v>
      </c>
      <c r="D1468" t="s">
        <v>162</v>
      </c>
      <c r="E1468" s="4">
        <v>0.70700000005960462</v>
      </c>
      <c r="F1468" s="4">
        <v>526349.51399999997</v>
      </c>
      <c r="G1468" s="4">
        <v>526350.22100000002</v>
      </c>
      <c r="H1468" s="5">
        <f>20 / 86400</f>
        <v>2.3148148148148149E-4</v>
      </c>
      <c r="I1468" t="s">
        <v>149</v>
      </c>
      <c r="J1468" t="s">
        <v>151</v>
      </c>
      <c r="K1468" s="5">
        <f>249 / 86400</f>
        <v>2.8819444444444444E-3</v>
      </c>
      <c r="L1468" s="5">
        <f>2149 / 86400</f>
        <v>2.4872685185185185E-2</v>
      </c>
    </row>
    <row r="1469" spans="1:12" x14ac:dyDescent="0.25">
      <c r="A1469" s="3">
        <v>45716.489803240736</v>
      </c>
      <c r="B1469" t="s">
        <v>162</v>
      </c>
      <c r="C1469" s="3">
        <v>45716.49417824074</v>
      </c>
      <c r="D1469" t="s">
        <v>161</v>
      </c>
      <c r="E1469" s="4">
        <v>1.0229999999403954</v>
      </c>
      <c r="F1469" s="4">
        <v>526350.22100000002</v>
      </c>
      <c r="G1469" s="4">
        <v>526351.24399999995</v>
      </c>
      <c r="H1469" s="5">
        <f>79 / 86400</f>
        <v>9.1435185185185185E-4</v>
      </c>
      <c r="I1469" t="s">
        <v>149</v>
      </c>
      <c r="J1469" t="s">
        <v>151</v>
      </c>
      <c r="K1469" s="5">
        <f>378 / 86400</f>
        <v>4.3750000000000004E-3</v>
      </c>
      <c r="L1469" s="5">
        <f>1331 / 86400</f>
        <v>1.5405092592592592E-2</v>
      </c>
    </row>
    <row r="1470" spans="1:12" x14ac:dyDescent="0.25">
      <c r="A1470" s="3">
        <v>45716.509583333333</v>
      </c>
      <c r="B1470" t="s">
        <v>161</v>
      </c>
      <c r="C1470" s="3">
        <v>45716.776979166665</v>
      </c>
      <c r="D1470" t="s">
        <v>136</v>
      </c>
      <c r="E1470" s="4">
        <v>101.37600000005961</v>
      </c>
      <c r="F1470" s="4">
        <v>526351.24399999995</v>
      </c>
      <c r="G1470" s="4">
        <v>526452.62</v>
      </c>
      <c r="H1470" s="5">
        <f>8702 / 86400</f>
        <v>0.10071759259259259</v>
      </c>
      <c r="I1470" t="s">
        <v>117</v>
      </c>
      <c r="J1470" t="s">
        <v>31</v>
      </c>
      <c r="K1470" s="5">
        <f>23103 / 86400</f>
        <v>0.26739583333333333</v>
      </c>
      <c r="L1470" s="5">
        <f>1156 / 86400</f>
        <v>1.337962962962963E-2</v>
      </c>
    </row>
    <row r="1471" spans="1:12" x14ac:dyDescent="0.25">
      <c r="A1471" s="3">
        <v>45716.790358796294</v>
      </c>
      <c r="B1471" t="s">
        <v>136</v>
      </c>
      <c r="C1471" s="3">
        <v>45716.792349537034</v>
      </c>
      <c r="D1471" t="s">
        <v>98</v>
      </c>
      <c r="E1471" s="4">
        <v>0.18500000005960465</v>
      </c>
      <c r="F1471" s="4">
        <v>526452.62</v>
      </c>
      <c r="G1471" s="4">
        <v>526452.80500000005</v>
      </c>
      <c r="H1471" s="5">
        <f>39 / 86400</f>
        <v>4.5138888888888887E-4</v>
      </c>
      <c r="I1471" t="s">
        <v>35</v>
      </c>
      <c r="J1471" t="s">
        <v>147</v>
      </c>
      <c r="K1471" s="5">
        <f>172 / 86400</f>
        <v>1.9907407407407408E-3</v>
      </c>
      <c r="L1471" s="5">
        <f>17940 / 86400</f>
        <v>0.2076388888888889</v>
      </c>
    </row>
    <row r="1472" spans="1:12" x14ac:dyDescent="0.2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</row>
    <row r="1473" spans="1:12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</row>
    <row r="1474" spans="1:12" s="10" customFormat="1" ht="20.100000000000001" customHeight="1" x14ac:dyDescent="0.35">
      <c r="A1474" s="15" t="s">
        <v>537</v>
      </c>
      <c r="B1474" s="15"/>
      <c r="C1474" s="15"/>
      <c r="D1474" s="15"/>
      <c r="E1474" s="15"/>
      <c r="F1474" s="15"/>
      <c r="G1474" s="15"/>
      <c r="H1474" s="15"/>
      <c r="I1474" s="15"/>
      <c r="J1474" s="15"/>
    </row>
    <row r="1475" spans="1:12" x14ac:dyDescent="0.2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</row>
    <row r="1476" spans="1:12" ht="30" x14ac:dyDescent="0.25">
      <c r="A1476" s="2" t="s">
        <v>6</v>
      </c>
      <c r="B1476" s="2" t="s">
        <v>7</v>
      </c>
      <c r="C1476" s="2" t="s">
        <v>8</v>
      </c>
      <c r="D1476" s="2" t="s">
        <v>9</v>
      </c>
      <c r="E1476" s="2" t="s">
        <v>10</v>
      </c>
      <c r="F1476" s="2" t="s">
        <v>11</v>
      </c>
      <c r="G1476" s="2" t="s">
        <v>12</v>
      </c>
      <c r="H1476" s="2" t="s">
        <v>13</v>
      </c>
      <c r="I1476" s="2" t="s">
        <v>14</v>
      </c>
      <c r="J1476" s="2" t="s">
        <v>15</v>
      </c>
      <c r="K1476" s="2" t="s">
        <v>16</v>
      </c>
      <c r="L1476" s="2" t="s">
        <v>17</v>
      </c>
    </row>
    <row r="1477" spans="1:12" x14ac:dyDescent="0.25">
      <c r="A1477" s="3">
        <v>45716.137037037042</v>
      </c>
      <c r="B1477" t="s">
        <v>118</v>
      </c>
      <c r="C1477" s="3">
        <v>45716.325381944444</v>
      </c>
      <c r="D1477" t="s">
        <v>464</v>
      </c>
      <c r="E1477" s="4">
        <v>105.158</v>
      </c>
      <c r="F1477" s="4">
        <v>25721.962</v>
      </c>
      <c r="G1477" s="4">
        <v>25827.119999999999</v>
      </c>
      <c r="H1477" s="5">
        <f>3839 / 86400</f>
        <v>4.4432870370370373E-2</v>
      </c>
      <c r="I1477" t="s">
        <v>63</v>
      </c>
      <c r="J1477" t="s">
        <v>153</v>
      </c>
      <c r="K1477" s="5">
        <f>16273 / 86400</f>
        <v>0.18834490740740742</v>
      </c>
      <c r="L1477" s="5">
        <f>14547 / 86400</f>
        <v>0.16836805555555556</v>
      </c>
    </row>
    <row r="1478" spans="1:12" x14ac:dyDescent="0.25">
      <c r="A1478" s="3">
        <v>45716.356712962966</v>
      </c>
      <c r="B1478" t="s">
        <v>464</v>
      </c>
      <c r="C1478" s="3">
        <v>45716.476608796293</v>
      </c>
      <c r="D1478" t="s">
        <v>154</v>
      </c>
      <c r="E1478" s="4">
        <v>50.366999999999997</v>
      </c>
      <c r="F1478" s="4">
        <v>25827.119999999999</v>
      </c>
      <c r="G1478" s="4">
        <v>25877.487000000001</v>
      </c>
      <c r="H1478" s="5">
        <f>3137 / 86400</f>
        <v>3.6307870370370372E-2</v>
      </c>
      <c r="I1478" t="s">
        <v>84</v>
      </c>
      <c r="J1478" t="s">
        <v>20</v>
      </c>
      <c r="K1478" s="5">
        <f>10359 / 86400</f>
        <v>0.11989583333333333</v>
      </c>
      <c r="L1478" s="5">
        <f>1569 / 86400</f>
        <v>1.8159722222222223E-2</v>
      </c>
    </row>
    <row r="1479" spans="1:12" x14ac:dyDescent="0.25">
      <c r="A1479" s="3">
        <v>45716.494768518518</v>
      </c>
      <c r="B1479" t="s">
        <v>154</v>
      </c>
      <c r="C1479" s="3">
        <v>45716.641423611116</v>
      </c>
      <c r="D1479" t="s">
        <v>136</v>
      </c>
      <c r="E1479" s="4">
        <v>51.762</v>
      </c>
      <c r="F1479" s="4">
        <v>25877.487000000001</v>
      </c>
      <c r="G1479" s="4">
        <v>25929.249</v>
      </c>
      <c r="H1479" s="5">
        <f>4619 / 86400</f>
        <v>5.3460648148148146E-2</v>
      </c>
      <c r="I1479" t="s">
        <v>155</v>
      </c>
      <c r="J1479" t="s">
        <v>35</v>
      </c>
      <c r="K1479" s="5">
        <f>12670 / 86400</f>
        <v>0.14664351851851851</v>
      </c>
      <c r="L1479" s="5">
        <f>164 / 86400</f>
        <v>1.8981481481481482E-3</v>
      </c>
    </row>
    <row r="1480" spans="1:12" x14ac:dyDescent="0.25">
      <c r="A1480" s="3">
        <v>45716.643321759257</v>
      </c>
      <c r="B1480" t="s">
        <v>136</v>
      </c>
      <c r="C1480" s="3">
        <v>45716.645138888889</v>
      </c>
      <c r="D1480" t="s">
        <v>464</v>
      </c>
      <c r="E1480" s="4">
        <v>0.3</v>
      </c>
      <c r="F1480" s="4">
        <v>25929.249</v>
      </c>
      <c r="G1480" s="4">
        <v>25929.548999999999</v>
      </c>
      <c r="H1480" s="5">
        <f>0 / 86400</f>
        <v>0</v>
      </c>
      <c r="I1480" t="s">
        <v>32</v>
      </c>
      <c r="J1480" t="s">
        <v>57</v>
      </c>
      <c r="K1480" s="5">
        <f>156 / 86400</f>
        <v>1.8055555555555555E-3</v>
      </c>
      <c r="L1480" s="5">
        <f>357 / 86400</f>
        <v>4.1319444444444442E-3</v>
      </c>
    </row>
    <row r="1481" spans="1:12" x14ac:dyDescent="0.25">
      <c r="A1481" s="3">
        <v>45716.649270833332</v>
      </c>
      <c r="B1481" t="s">
        <v>464</v>
      </c>
      <c r="C1481" s="3">
        <v>45716.650729166664</v>
      </c>
      <c r="D1481" t="s">
        <v>113</v>
      </c>
      <c r="E1481" s="4">
        <v>0.28199999999999997</v>
      </c>
      <c r="F1481" s="4">
        <v>25929.548999999999</v>
      </c>
      <c r="G1481" s="4">
        <v>25929.830999999998</v>
      </c>
      <c r="H1481" s="5">
        <f>20 / 86400</f>
        <v>2.3148148148148149E-4</v>
      </c>
      <c r="I1481" t="s">
        <v>164</v>
      </c>
      <c r="J1481" t="s">
        <v>214</v>
      </c>
      <c r="K1481" s="5">
        <f>126 / 86400</f>
        <v>1.4583333333333334E-3</v>
      </c>
      <c r="L1481" s="5">
        <f>8110 / 86400</f>
        <v>9.3865740740740736E-2</v>
      </c>
    </row>
    <row r="1482" spans="1:12" x14ac:dyDescent="0.25">
      <c r="A1482" s="3">
        <v>45716.744594907403</v>
      </c>
      <c r="B1482" t="s">
        <v>113</v>
      </c>
      <c r="C1482" s="3">
        <v>45716.747650462959</v>
      </c>
      <c r="D1482" t="s">
        <v>118</v>
      </c>
      <c r="E1482" s="4">
        <v>0.34100000000000003</v>
      </c>
      <c r="F1482" s="4">
        <v>25929.830999999998</v>
      </c>
      <c r="G1482" s="4">
        <v>25930.171999999999</v>
      </c>
      <c r="H1482" s="5">
        <f>119 / 86400</f>
        <v>1.3773148148148147E-3</v>
      </c>
      <c r="I1482" t="s">
        <v>31</v>
      </c>
      <c r="J1482" t="s">
        <v>25</v>
      </c>
      <c r="K1482" s="5">
        <f>264 / 86400</f>
        <v>3.0555555555555557E-3</v>
      </c>
      <c r="L1482" s="5">
        <f>21802 / 86400</f>
        <v>0.25233796296296296</v>
      </c>
    </row>
    <row r="1483" spans="1:12" x14ac:dyDescent="0.2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</row>
    <row r="1484" spans="1:12" x14ac:dyDescent="0.2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</row>
    <row r="1485" spans="1:12" s="10" customFormat="1" ht="20.100000000000001" customHeight="1" x14ac:dyDescent="0.35">
      <c r="A1485" s="15" t="s">
        <v>538</v>
      </c>
      <c r="B1485" s="15"/>
      <c r="C1485" s="15"/>
      <c r="D1485" s="15"/>
      <c r="E1485" s="15"/>
      <c r="F1485" s="15"/>
      <c r="G1485" s="15"/>
      <c r="H1485" s="15"/>
      <c r="I1485" s="15"/>
      <c r="J1485" s="15"/>
    </row>
    <row r="1486" spans="1:12" x14ac:dyDescent="0.2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</row>
    <row r="1487" spans="1:12" ht="30" x14ac:dyDescent="0.25">
      <c r="A1487" s="2" t="s">
        <v>6</v>
      </c>
      <c r="B1487" s="2" t="s">
        <v>7</v>
      </c>
      <c r="C1487" s="2" t="s">
        <v>8</v>
      </c>
      <c r="D1487" s="2" t="s">
        <v>9</v>
      </c>
      <c r="E1487" s="2" t="s">
        <v>10</v>
      </c>
      <c r="F1487" s="2" t="s">
        <v>11</v>
      </c>
      <c r="G1487" s="2" t="s">
        <v>12</v>
      </c>
      <c r="H1487" s="2" t="s">
        <v>13</v>
      </c>
      <c r="I1487" s="2" t="s">
        <v>14</v>
      </c>
      <c r="J1487" s="2" t="s">
        <v>15</v>
      </c>
      <c r="K1487" s="2" t="s">
        <v>16</v>
      </c>
      <c r="L1487" s="2" t="s">
        <v>17</v>
      </c>
    </row>
    <row r="1488" spans="1:12" x14ac:dyDescent="0.25">
      <c r="A1488" s="3">
        <v>45716.213530092587</v>
      </c>
      <c r="B1488" t="s">
        <v>38</v>
      </c>
      <c r="C1488" s="3">
        <v>45716.221365740741</v>
      </c>
      <c r="D1488" t="s">
        <v>170</v>
      </c>
      <c r="E1488" s="4">
        <v>0.3830000000074506</v>
      </c>
      <c r="F1488" s="4">
        <v>66864.944000000003</v>
      </c>
      <c r="G1488" s="4">
        <v>66865.327000000005</v>
      </c>
      <c r="H1488" s="5">
        <f>559 / 86400</f>
        <v>6.4699074074074077E-3</v>
      </c>
      <c r="I1488" t="s">
        <v>32</v>
      </c>
      <c r="J1488" t="s">
        <v>156</v>
      </c>
      <c r="K1488" s="5">
        <f>676 / 86400</f>
        <v>7.8240740740740736E-3</v>
      </c>
      <c r="L1488" s="5">
        <f>19007 / 86400</f>
        <v>0.21998842592592593</v>
      </c>
    </row>
    <row r="1489" spans="1:12" x14ac:dyDescent="0.25">
      <c r="A1489" s="3">
        <v>45716.227824074071</v>
      </c>
      <c r="B1489" t="s">
        <v>170</v>
      </c>
      <c r="C1489" s="3">
        <v>45716.227951388893</v>
      </c>
      <c r="D1489" t="s">
        <v>170</v>
      </c>
      <c r="E1489" s="4">
        <v>1.9999999925494195E-3</v>
      </c>
      <c r="F1489" s="4">
        <v>66865.327000000005</v>
      </c>
      <c r="G1489" s="4">
        <v>66865.328999999998</v>
      </c>
      <c r="H1489" s="5">
        <f>0 / 86400</f>
        <v>0</v>
      </c>
      <c r="I1489" t="s">
        <v>59</v>
      </c>
      <c r="J1489" t="s">
        <v>59</v>
      </c>
      <c r="K1489" s="5">
        <f>10 / 86400</f>
        <v>1.1574074074074075E-4</v>
      </c>
      <c r="L1489" s="5">
        <f>217 / 86400</f>
        <v>2.5115740740740741E-3</v>
      </c>
    </row>
    <row r="1490" spans="1:12" x14ac:dyDescent="0.25">
      <c r="A1490" s="3">
        <v>45716.230462962965</v>
      </c>
      <c r="B1490" t="s">
        <v>170</v>
      </c>
      <c r="C1490" s="3">
        <v>45716.43614583333</v>
      </c>
      <c r="D1490" t="s">
        <v>136</v>
      </c>
      <c r="E1490" s="4">
        <v>80.554000000000002</v>
      </c>
      <c r="F1490" s="4">
        <v>66865.328999999998</v>
      </c>
      <c r="G1490" s="4">
        <v>66945.883000000002</v>
      </c>
      <c r="H1490" s="5">
        <f>6358 / 86400</f>
        <v>7.3587962962962966E-2</v>
      </c>
      <c r="I1490" t="s">
        <v>91</v>
      </c>
      <c r="J1490" t="s">
        <v>31</v>
      </c>
      <c r="K1490" s="5">
        <f>17771 / 86400</f>
        <v>0.20568287037037036</v>
      </c>
      <c r="L1490" s="5">
        <f>2350 / 86400</f>
        <v>2.7199074074074073E-2</v>
      </c>
    </row>
    <row r="1491" spans="1:12" x14ac:dyDescent="0.25">
      <c r="A1491" s="3">
        <v>45716.463344907403</v>
      </c>
      <c r="B1491" t="s">
        <v>136</v>
      </c>
      <c r="C1491" s="3">
        <v>45716.467048611114</v>
      </c>
      <c r="D1491" t="s">
        <v>136</v>
      </c>
      <c r="E1491" s="4">
        <v>0.16400000000745057</v>
      </c>
      <c r="F1491" s="4">
        <v>66945.883000000002</v>
      </c>
      <c r="G1491" s="4">
        <v>66946.047000000006</v>
      </c>
      <c r="H1491" s="5">
        <f>219 / 86400</f>
        <v>2.5347222222222221E-3</v>
      </c>
      <c r="I1491" t="s">
        <v>100</v>
      </c>
      <c r="J1491" t="s">
        <v>156</v>
      </c>
      <c r="K1491" s="5">
        <f>320 / 86400</f>
        <v>3.7037037037037038E-3</v>
      </c>
      <c r="L1491" s="5">
        <f>197 / 86400</f>
        <v>2.2800925925925927E-3</v>
      </c>
    </row>
    <row r="1492" spans="1:12" x14ac:dyDescent="0.25">
      <c r="A1492" s="3">
        <v>45716.469328703708</v>
      </c>
      <c r="B1492" t="s">
        <v>136</v>
      </c>
      <c r="C1492" s="3">
        <v>45716.470555555556</v>
      </c>
      <c r="D1492" t="s">
        <v>88</v>
      </c>
      <c r="E1492" s="4">
        <v>0.45999999999254942</v>
      </c>
      <c r="F1492" s="4">
        <v>66946.047000000006</v>
      </c>
      <c r="G1492" s="4">
        <v>66946.506999999998</v>
      </c>
      <c r="H1492" s="5">
        <f>0 / 86400</f>
        <v>0</v>
      </c>
      <c r="I1492" t="s">
        <v>211</v>
      </c>
      <c r="J1492" t="s">
        <v>31</v>
      </c>
      <c r="K1492" s="5">
        <f>105 / 86400</f>
        <v>1.2152777777777778E-3</v>
      </c>
      <c r="L1492" s="5">
        <f>1755 / 86400</f>
        <v>2.0312500000000001E-2</v>
      </c>
    </row>
    <row r="1493" spans="1:12" x14ac:dyDescent="0.25">
      <c r="A1493" s="3">
        <v>45716.490868055553</v>
      </c>
      <c r="B1493" t="s">
        <v>309</v>
      </c>
      <c r="C1493" s="3">
        <v>45716.49217592593</v>
      </c>
      <c r="D1493" t="s">
        <v>88</v>
      </c>
      <c r="E1493" s="4">
        <v>1.700000000745058E-2</v>
      </c>
      <c r="F1493" s="4">
        <v>66946.506999999998</v>
      </c>
      <c r="G1493" s="4">
        <v>66946.524000000005</v>
      </c>
      <c r="H1493" s="5">
        <f>59 / 86400</f>
        <v>6.8287037037037036E-4</v>
      </c>
      <c r="I1493" t="s">
        <v>33</v>
      </c>
      <c r="J1493" t="s">
        <v>59</v>
      </c>
      <c r="K1493" s="5">
        <f>112 / 86400</f>
        <v>1.2962962962962963E-3</v>
      </c>
      <c r="L1493" s="5">
        <f>1211 / 86400</f>
        <v>1.4016203703703704E-2</v>
      </c>
    </row>
    <row r="1494" spans="1:12" x14ac:dyDescent="0.25">
      <c r="A1494" s="3">
        <v>45716.506192129629</v>
      </c>
      <c r="B1494" t="s">
        <v>88</v>
      </c>
      <c r="C1494" s="3">
        <v>45716.744513888887</v>
      </c>
      <c r="D1494" t="s">
        <v>79</v>
      </c>
      <c r="E1494" s="4">
        <v>105.46499999999254</v>
      </c>
      <c r="F1494" s="4">
        <v>66946.524000000005</v>
      </c>
      <c r="G1494" s="4">
        <v>67051.989000000001</v>
      </c>
      <c r="H1494" s="5">
        <f>6118 / 86400</f>
        <v>7.0810185185185184E-2</v>
      </c>
      <c r="I1494" t="s">
        <v>87</v>
      </c>
      <c r="J1494" t="s">
        <v>20</v>
      </c>
      <c r="K1494" s="5">
        <f>20590 / 86400</f>
        <v>0.23831018518518518</v>
      </c>
      <c r="L1494" s="5">
        <f>172 / 86400</f>
        <v>1.9907407407407408E-3</v>
      </c>
    </row>
    <row r="1495" spans="1:12" x14ac:dyDescent="0.25">
      <c r="A1495" s="3">
        <v>45716.746504629627</v>
      </c>
      <c r="B1495" t="s">
        <v>79</v>
      </c>
      <c r="C1495" s="3">
        <v>45716.747442129628</v>
      </c>
      <c r="D1495" t="s">
        <v>413</v>
      </c>
      <c r="E1495" s="4">
        <v>3.9999999992549419E-2</v>
      </c>
      <c r="F1495" s="4">
        <v>67051.989000000001</v>
      </c>
      <c r="G1495" s="4">
        <v>67052.028999999995</v>
      </c>
      <c r="H1495" s="5">
        <f>59 / 86400</f>
        <v>6.8287037037037036E-4</v>
      </c>
      <c r="I1495" t="s">
        <v>147</v>
      </c>
      <c r="J1495" t="s">
        <v>156</v>
      </c>
      <c r="K1495" s="5">
        <f>80 / 86400</f>
        <v>9.2592592592592596E-4</v>
      </c>
      <c r="L1495" s="5">
        <f>3435 / 86400</f>
        <v>3.9756944444444442E-2</v>
      </c>
    </row>
    <row r="1496" spans="1:12" x14ac:dyDescent="0.25">
      <c r="A1496" s="3">
        <v>45716.787199074075</v>
      </c>
      <c r="B1496" t="s">
        <v>413</v>
      </c>
      <c r="C1496" s="3">
        <v>45716.791909722218</v>
      </c>
      <c r="D1496" t="s">
        <v>38</v>
      </c>
      <c r="E1496" s="4">
        <v>1.3440000000149011</v>
      </c>
      <c r="F1496" s="4">
        <v>67052.028999999995</v>
      </c>
      <c r="G1496" s="4">
        <v>67053.373000000007</v>
      </c>
      <c r="H1496" s="5">
        <f>199 / 86400</f>
        <v>2.3032407407407407E-3</v>
      </c>
      <c r="I1496" t="s">
        <v>70</v>
      </c>
      <c r="J1496" t="s">
        <v>28</v>
      </c>
      <c r="K1496" s="5">
        <f>406 / 86400</f>
        <v>4.6990740740740743E-3</v>
      </c>
      <c r="L1496" s="5">
        <f>17978 / 86400</f>
        <v>0.20807870370370371</v>
      </c>
    </row>
    <row r="1497" spans="1:12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</row>
    <row r="1498" spans="1:12" x14ac:dyDescent="0.2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</row>
    <row r="1499" spans="1:12" s="10" customFormat="1" ht="20.100000000000001" customHeight="1" x14ac:dyDescent="0.35">
      <c r="A1499" s="15" t="s">
        <v>539</v>
      </c>
      <c r="B1499" s="15"/>
      <c r="C1499" s="15"/>
      <c r="D1499" s="15"/>
      <c r="E1499" s="15"/>
      <c r="F1499" s="15"/>
      <c r="G1499" s="15"/>
      <c r="H1499" s="15"/>
      <c r="I1499" s="15"/>
      <c r="J1499" s="15"/>
    </row>
    <row r="1500" spans="1:12" x14ac:dyDescent="0.2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</row>
    <row r="1501" spans="1:12" ht="30" x14ac:dyDescent="0.25">
      <c r="A1501" s="2" t="s">
        <v>6</v>
      </c>
      <c r="B1501" s="2" t="s">
        <v>7</v>
      </c>
      <c r="C1501" s="2" t="s">
        <v>8</v>
      </c>
      <c r="D1501" s="2" t="s">
        <v>9</v>
      </c>
      <c r="E1501" s="2" t="s">
        <v>10</v>
      </c>
      <c r="F1501" s="2" t="s">
        <v>11</v>
      </c>
      <c r="G1501" s="2" t="s">
        <v>12</v>
      </c>
      <c r="H1501" s="2" t="s">
        <v>13</v>
      </c>
      <c r="I1501" s="2" t="s">
        <v>14</v>
      </c>
      <c r="J1501" s="2" t="s">
        <v>15</v>
      </c>
      <c r="K1501" s="2" t="s">
        <v>16</v>
      </c>
      <c r="L1501" s="2" t="s">
        <v>17</v>
      </c>
    </row>
    <row r="1502" spans="1:12" x14ac:dyDescent="0.25">
      <c r="A1502" s="3">
        <v>45716.736111111109</v>
      </c>
      <c r="B1502" t="s">
        <v>119</v>
      </c>
      <c r="C1502" s="3">
        <v>45716.824178240742</v>
      </c>
      <c r="D1502" t="s">
        <v>186</v>
      </c>
      <c r="E1502" s="4">
        <v>35.274999999999999</v>
      </c>
      <c r="F1502" s="4">
        <v>11855.905000000001</v>
      </c>
      <c r="G1502" s="4">
        <v>11891.18</v>
      </c>
      <c r="H1502" s="5">
        <f>3062 / 86400</f>
        <v>3.5439814814814813E-2</v>
      </c>
      <c r="I1502" t="s">
        <v>19</v>
      </c>
      <c r="J1502" t="s">
        <v>62</v>
      </c>
      <c r="K1502" s="5">
        <f>7609 / 86400</f>
        <v>8.8067129629629634E-2</v>
      </c>
      <c r="L1502" s="5">
        <f>63877 / 86400</f>
        <v>0.73931712962962959</v>
      </c>
    </row>
    <row r="1503" spans="1:12" x14ac:dyDescent="0.25">
      <c r="A1503" s="3">
        <v>45716.827384259261</v>
      </c>
      <c r="B1503" t="s">
        <v>186</v>
      </c>
      <c r="C1503" s="3">
        <v>45716.863020833334</v>
      </c>
      <c r="D1503" t="s">
        <v>96</v>
      </c>
      <c r="E1503" s="4">
        <v>7.7439999999999998</v>
      </c>
      <c r="F1503" s="4">
        <v>11891.18</v>
      </c>
      <c r="G1503" s="4">
        <v>11898.924000000001</v>
      </c>
      <c r="H1503" s="5">
        <f>1559 / 86400</f>
        <v>1.804398148148148E-2</v>
      </c>
      <c r="I1503" t="s">
        <v>173</v>
      </c>
      <c r="J1503" t="s">
        <v>132</v>
      </c>
      <c r="K1503" s="5">
        <f>3079 / 86400</f>
        <v>3.5636574074074077E-2</v>
      </c>
      <c r="L1503" s="5">
        <f>62 / 86400</f>
        <v>7.1759259259259259E-4</v>
      </c>
    </row>
    <row r="1504" spans="1:12" x14ac:dyDescent="0.25">
      <c r="A1504" s="3">
        <v>45716.863738425927</v>
      </c>
      <c r="B1504" t="s">
        <v>96</v>
      </c>
      <c r="C1504" s="3">
        <v>45716.886886574073</v>
      </c>
      <c r="D1504" t="s">
        <v>24</v>
      </c>
      <c r="E1504" s="4">
        <v>10.534000000000001</v>
      </c>
      <c r="F1504" s="4">
        <v>11898.924000000001</v>
      </c>
      <c r="G1504" s="4">
        <v>11909.458000000001</v>
      </c>
      <c r="H1504" s="5">
        <f>344 / 86400</f>
        <v>3.9814814814814817E-3</v>
      </c>
      <c r="I1504" t="s">
        <v>143</v>
      </c>
      <c r="J1504" t="s">
        <v>85</v>
      </c>
      <c r="K1504" s="5">
        <f>2000 / 86400</f>
        <v>2.3148148148148147E-2</v>
      </c>
      <c r="L1504" s="5">
        <f>215 / 86400</f>
        <v>2.488425925925926E-3</v>
      </c>
    </row>
    <row r="1505" spans="1:12" x14ac:dyDescent="0.25">
      <c r="A1505" s="3">
        <v>45716.889374999999</v>
      </c>
      <c r="B1505" t="s">
        <v>24</v>
      </c>
      <c r="C1505" s="3">
        <v>45716.896666666667</v>
      </c>
      <c r="D1505" t="s">
        <v>90</v>
      </c>
      <c r="E1505" s="4">
        <v>1.0960000000000001</v>
      </c>
      <c r="F1505" s="4">
        <v>11909.458000000001</v>
      </c>
      <c r="G1505" s="4">
        <v>11910.554</v>
      </c>
      <c r="H1505" s="5">
        <f>279 / 86400</f>
        <v>3.2291666666666666E-3</v>
      </c>
      <c r="I1505" t="s">
        <v>142</v>
      </c>
      <c r="J1505" t="s">
        <v>137</v>
      </c>
      <c r="K1505" s="5">
        <f>630 / 86400</f>
        <v>7.2916666666666668E-3</v>
      </c>
      <c r="L1505" s="5">
        <f>8927 / 86400</f>
        <v>0.10332175925925927</v>
      </c>
    </row>
    <row r="1506" spans="1:12" x14ac:dyDescent="0.2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</row>
    <row r="1507" spans="1:12" x14ac:dyDescent="0.2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</row>
    <row r="1508" spans="1:12" s="10" customFormat="1" ht="20.100000000000001" customHeight="1" x14ac:dyDescent="0.35">
      <c r="A1508" s="15" t="s">
        <v>540</v>
      </c>
      <c r="B1508" s="15"/>
      <c r="C1508" s="15"/>
      <c r="D1508" s="15"/>
      <c r="E1508" s="15"/>
      <c r="F1508" s="15"/>
      <c r="G1508" s="15"/>
      <c r="H1508" s="15"/>
      <c r="I1508" s="15"/>
      <c r="J1508" s="15"/>
    </row>
    <row r="1509" spans="1:12" x14ac:dyDescent="0.2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</row>
    <row r="1510" spans="1:12" ht="30" x14ac:dyDescent="0.25">
      <c r="A1510" s="2" t="s">
        <v>6</v>
      </c>
      <c r="B1510" s="2" t="s">
        <v>7</v>
      </c>
      <c r="C1510" s="2" t="s">
        <v>8</v>
      </c>
      <c r="D1510" s="2" t="s">
        <v>9</v>
      </c>
      <c r="E1510" s="2" t="s">
        <v>10</v>
      </c>
      <c r="F1510" s="2" t="s">
        <v>11</v>
      </c>
      <c r="G1510" s="2" t="s">
        <v>12</v>
      </c>
      <c r="H1510" s="2" t="s">
        <v>13</v>
      </c>
      <c r="I1510" s="2" t="s">
        <v>14</v>
      </c>
      <c r="J1510" s="2" t="s">
        <v>15</v>
      </c>
      <c r="K1510" s="2" t="s">
        <v>16</v>
      </c>
      <c r="L1510" s="2" t="s">
        <v>17</v>
      </c>
    </row>
    <row r="1511" spans="1:12" x14ac:dyDescent="0.25">
      <c r="A1511" s="3">
        <v>45716.269155092596</v>
      </c>
      <c r="B1511" t="s">
        <v>73</v>
      </c>
      <c r="C1511" s="3">
        <v>45716.344884259262</v>
      </c>
      <c r="D1511" t="s">
        <v>73</v>
      </c>
      <c r="E1511" s="4">
        <v>0</v>
      </c>
      <c r="F1511" s="4">
        <v>6499.665</v>
      </c>
      <c r="G1511" s="4">
        <v>6499.665</v>
      </c>
      <c r="H1511" s="5">
        <f>6539 / 86400</f>
        <v>7.5682870370370373E-2</v>
      </c>
      <c r="I1511" t="s">
        <v>22</v>
      </c>
      <c r="J1511" t="s">
        <v>22</v>
      </c>
      <c r="K1511" s="5">
        <f>6542 / 86400</f>
        <v>7.5717592592592586E-2</v>
      </c>
      <c r="L1511" s="5">
        <f>23716 / 86400</f>
        <v>0.27449074074074076</v>
      </c>
    </row>
    <row r="1512" spans="1:12" x14ac:dyDescent="0.25">
      <c r="A1512" s="3">
        <v>45716.350219907406</v>
      </c>
      <c r="B1512" t="s">
        <v>131</v>
      </c>
      <c r="C1512" s="3">
        <v>45716.625532407408</v>
      </c>
      <c r="D1512" t="s">
        <v>135</v>
      </c>
      <c r="E1512" s="4">
        <v>100.611</v>
      </c>
      <c r="F1512" s="4">
        <v>6499.665</v>
      </c>
      <c r="G1512" s="4">
        <v>6600.2759999999998</v>
      </c>
      <c r="H1512" s="5">
        <f>8162 / 86400</f>
        <v>9.4467592592592589E-2</v>
      </c>
      <c r="I1512" t="s">
        <v>44</v>
      </c>
      <c r="J1512" t="s">
        <v>35</v>
      </c>
      <c r="K1512" s="5">
        <f>23787 / 86400</f>
        <v>0.27531250000000002</v>
      </c>
      <c r="L1512" s="5">
        <f>307 / 86400</f>
        <v>3.5532407407407409E-3</v>
      </c>
    </row>
    <row r="1513" spans="1:12" x14ac:dyDescent="0.25">
      <c r="A1513" s="3">
        <v>45716.62908564815</v>
      </c>
      <c r="B1513" t="s">
        <v>135</v>
      </c>
      <c r="C1513" s="3">
        <v>45716.631099537037</v>
      </c>
      <c r="D1513" t="s">
        <v>162</v>
      </c>
      <c r="E1513" s="4">
        <v>0.89100000000000001</v>
      </c>
      <c r="F1513" s="4">
        <v>6600.2759999999998</v>
      </c>
      <c r="G1513" s="4">
        <v>6601.1670000000004</v>
      </c>
      <c r="H1513" s="5">
        <f>0 / 86400</f>
        <v>0</v>
      </c>
      <c r="I1513" t="s">
        <v>207</v>
      </c>
      <c r="J1513" t="s">
        <v>85</v>
      </c>
      <c r="K1513" s="5">
        <f>173 / 86400</f>
        <v>2.0023148148148148E-3</v>
      </c>
      <c r="L1513" s="5">
        <f>1765 / 86400</f>
        <v>2.042824074074074E-2</v>
      </c>
    </row>
    <row r="1514" spans="1:12" x14ac:dyDescent="0.25">
      <c r="A1514" s="3">
        <v>45716.65152777778</v>
      </c>
      <c r="B1514" t="s">
        <v>162</v>
      </c>
      <c r="C1514" s="3">
        <v>45716.722986111112</v>
      </c>
      <c r="D1514" t="s">
        <v>394</v>
      </c>
      <c r="E1514" s="4">
        <v>33.988</v>
      </c>
      <c r="F1514" s="4">
        <v>6601.1670000000004</v>
      </c>
      <c r="G1514" s="4">
        <v>6635.1549999999997</v>
      </c>
      <c r="H1514" s="5">
        <f>1579 / 86400</f>
        <v>1.8275462962962962E-2</v>
      </c>
      <c r="I1514" t="s">
        <v>178</v>
      </c>
      <c r="J1514" t="s">
        <v>108</v>
      </c>
      <c r="K1514" s="5">
        <f>6173 / 86400</f>
        <v>7.1446759259259265E-2</v>
      </c>
      <c r="L1514" s="5">
        <f>216 / 86400</f>
        <v>2.5000000000000001E-3</v>
      </c>
    </row>
    <row r="1515" spans="1:12" x14ac:dyDescent="0.25">
      <c r="A1515" s="3">
        <v>45716.725486111114</v>
      </c>
      <c r="B1515" t="s">
        <v>394</v>
      </c>
      <c r="C1515" s="3">
        <v>45716.726099537038</v>
      </c>
      <c r="D1515" t="s">
        <v>393</v>
      </c>
      <c r="E1515" s="4">
        <v>4.2000000000000003E-2</v>
      </c>
      <c r="F1515" s="4">
        <v>6635.1549999999997</v>
      </c>
      <c r="G1515" s="4">
        <v>6635.1970000000001</v>
      </c>
      <c r="H1515" s="5">
        <f>19 / 86400</f>
        <v>2.199074074074074E-4</v>
      </c>
      <c r="I1515" t="s">
        <v>132</v>
      </c>
      <c r="J1515" t="s">
        <v>33</v>
      </c>
      <c r="K1515" s="5">
        <f>53 / 86400</f>
        <v>6.134259259259259E-4</v>
      </c>
      <c r="L1515" s="5">
        <f>403 / 86400</f>
        <v>4.6643518518518518E-3</v>
      </c>
    </row>
    <row r="1516" spans="1:12" x14ac:dyDescent="0.25">
      <c r="A1516" s="3">
        <v>45716.730763888889</v>
      </c>
      <c r="B1516" t="s">
        <v>393</v>
      </c>
      <c r="C1516" s="3">
        <v>45716.736168981486</v>
      </c>
      <c r="D1516" t="s">
        <v>73</v>
      </c>
      <c r="E1516" s="4">
        <v>1.0589999999999999</v>
      </c>
      <c r="F1516" s="4">
        <v>6635.1970000000001</v>
      </c>
      <c r="G1516" s="4">
        <v>6636.2560000000003</v>
      </c>
      <c r="H1516" s="5">
        <f>79 / 86400</f>
        <v>9.1435185185185185E-4</v>
      </c>
      <c r="I1516" t="s">
        <v>35</v>
      </c>
      <c r="J1516" t="s">
        <v>214</v>
      </c>
      <c r="K1516" s="5">
        <f>466 / 86400</f>
        <v>5.3935185185185188E-3</v>
      </c>
      <c r="L1516" s="5">
        <f>248 / 86400</f>
        <v>2.8703703703703703E-3</v>
      </c>
    </row>
    <row r="1517" spans="1:12" x14ac:dyDescent="0.25">
      <c r="A1517" s="3">
        <v>45716.739039351851</v>
      </c>
      <c r="B1517" t="s">
        <v>73</v>
      </c>
      <c r="C1517" s="3">
        <v>45716.739710648151</v>
      </c>
      <c r="D1517" t="s">
        <v>73</v>
      </c>
      <c r="E1517" s="4">
        <v>1.4999999999999999E-2</v>
      </c>
      <c r="F1517" s="4">
        <v>6636.2560000000003</v>
      </c>
      <c r="G1517" s="4">
        <v>6636.2709999999997</v>
      </c>
      <c r="H1517" s="5">
        <f>39 / 86400</f>
        <v>4.5138888888888887E-4</v>
      </c>
      <c r="I1517" t="s">
        <v>22</v>
      </c>
      <c r="J1517" t="s">
        <v>59</v>
      </c>
      <c r="K1517" s="5">
        <f>58 / 86400</f>
        <v>6.7129629629629625E-4</v>
      </c>
      <c r="L1517" s="5">
        <f>22488 / 86400</f>
        <v>0.26027777777777777</v>
      </c>
    </row>
    <row r="1518" spans="1:12" x14ac:dyDescent="0.2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</row>
    <row r="1519" spans="1:12" x14ac:dyDescent="0.2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</row>
    <row r="1520" spans="1:12" s="10" customFormat="1" ht="20.100000000000001" customHeight="1" x14ac:dyDescent="0.35">
      <c r="A1520" s="15" t="s">
        <v>541</v>
      </c>
      <c r="B1520" s="15"/>
      <c r="C1520" s="15"/>
      <c r="D1520" s="15"/>
      <c r="E1520" s="15"/>
      <c r="F1520" s="15"/>
      <c r="G1520" s="15"/>
      <c r="H1520" s="15"/>
      <c r="I1520" s="15"/>
      <c r="J1520" s="15"/>
    </row>
    <row r="1521" spans="1:12" x14ac:dyDescent="0.2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</row>
    <row r="1522" spans="1:12" ht="30" x14ac:dyDescent="0.25">
      <c r="A1522" s="2" t="s">
        <v>6</v>
      </c>
      <c r="B1522" s="2" t="s">
        <v>7</v>
      </c>
      <c r="C1522" s="2" t="s">
        <v>8</v>
      </c>
      <c r="D1522" s="2" t="s">
        <v>9</v>
      </c>
      <c r="E1522" s="2" t="s">
        <v>10</v>
      </c>
      <c r="F1522" s="2" t="s">
        <v>11</v>
      </c>
      <c r="G1522" s="2" t="s">
        <v>12</v>
      </c>
      <c r="H1522" s="2" t="s">
        <v>13</v>
      </c>
      <c r="I1522" s="2" t="s">
        <v>14</v>
      </c>
      <c r="J1522" s="2" t="s">
        <v>15</v>
      </c>
      <c r="K1522" s="2" t="s">
        <v>16</v>
      </c>
      <c r="L1522" s="2" t="s">
        <v>17</v>
      </c>
    </row>
    <row r="1523" spans="1:12" x14ac:dyDescent="0.25">
      <c r="A1523" s="3">
        <v>45716.246793981481</v>
      </c>
      <c r="B1523" t="s">
        <v>26</v>
      </c>
      <c r="C1523" s="3">
        <v>45716.261979166666</v>
      </c>
      <c r="D1523" t="s">
        <v>177</v>
      </c>
      <c r="E1523" s="4">
        <v>1.75</v>
      </c>
      <c r="F1523" s="4">
        <v>410639.755</v>
      </c>
      <c r="G1523" s="4">
        <v>410641.505</v>
      </c>
      <c r="H1523" s="5">
        <f>899 / 86400</f>
        <v>1.0405092592592593E-2</v>
      </c>
      <c r="I1523" t="s">
        <v>183</v>
      </c>
      <c r="J1523" t="s">
        <v>25</v>
      </c>
      <c r="K1523" s="5">
        <f>1312 / 86400</f>
        <v>1.5185185185185185E-2</v>
      </c>
      <c r="L1523" s="5">
        <f>21908 / 86400</f>
        <v>0.2535648148148148</v>
      </c>
    </row>
    <row r="1524" spans="1:12" x14ac:dyDescent="0.25">
      <c r="A1524" s="3">
        <v>45716.268750000003</v>
      </c>
      <c r="B1524" t="s">
        <v>177</v>
      </c>
      <c r="C1524" s="3">
        <v>45716.269247685181</v>
      </c>
      <c r="D1524" t="s">
        <v>343</v>
      </c>
      <c r="E1524" s="4">
        <v>0.05</v>
      </c>
      <c r="F1524" s="4">
        <v>410641.505</v>
      </c>
      <c r="G1524" s="4">
        <v>410641.55499999999</v>
      </c>
      <c r="H1524" s="5">
        <f>20 / 86400</f>
        <v>2.3148148148148149E-4</v>
      </c>
      <c r="I1524" t="s">
        <v>57</v>
      </c>
      <c r="J1524" t="s">
        <v>147</v>
      </c>
      <c r="K1524" s="5">
        <f>43 / 86400</f>
        <v>4.9768518518518521E-4</v>
      </c>
      <c r="L1524" s="5">
        <f>645 / 86400</f>
        <v>7.4652777777777781E-3</v>
      </c>
    </row>
    <row r="1525" spans="1:12" x14ac:dyDescent="0.25">
      <c r="A1525" s="3">
        <v>45716.276712962965</v>
      </c>
      <c r="B1525" t="s">
        <v>286</v>
      </c>
      <c r="C1525" s="3">
        <v>45716.318495370375</v>
      </c>
      <c r="D1525" t="s">
        <v>161</v>
      </c>
      <c r="E1525" s="4">
        <v>23.599</v>
      </c>
      <c r="F1525" s="4">
        <v>410641.55499999999</v>
      </c>
      <c r="G1525" s="4">
        <v>410665.15399999998</v>
      </c>
      <c r="H1525" s="5">
        <f>660 / 86400</f>
        <v>7.6388888888888886E-3</v>
      </c>
      <c r="I1525" t="s">
        <v>70</v>
      </c>
      <c r="J1525" t="s">
        <v>37</v>
      </c>
      <c r="K1525" s="5">
        <f>3610 / 86400</f>
        <v>4.1782407407407407E-2</v>
      </c>
      <c r="L1525" s="5">
        <f>736 / 86400</f>
        <v>8.518518518518519E-3</v>
      </c>
    </row>
    <row r="1526" spans="1:12" x14ac:dyDescent="0.25">
      <c r="A1526" s="3">
        <v>45716.327013888891</v>
      </c>
      <c r="B1526" t="s">
        <v>161</v>
      </c>
      <c r="C1526" s="3">
        <v>45716.456423611111</v>
      </c>
      <c r="D1526" t="s">
        <v>387</v>
      </c>
      <c r="E1526" s="4">
        <v>50.921999999999997</v>
      </c>
      <c r="F1526" s="4">
        <v>410665.15399999998</v>
      </c>
      <c r="G1526" s="4">
        <v>410716.076</v>
      </c>
      <c r="H1526" s="5">
        <f>4004 / 86400</f>
        <v>4.6342592592592595E-2</v>
      </c>
      <c r="I1526" t="s">
        <v>58</v>
      </c>
      <c r="J1526" t="s">
        <v>31</v>
      </c>
      <c r="K1526" s="5">
        <f>11180 / 86400</f>
        <v>0.12939814814814815</v>
      </c>
      <c r="L1526" s="5">
        <f>3149 / 86400</f>
        <v>3.6446759259259262E-2</v>
      </c>
    </row>
    <row r="1527" spans="1:12" x14ac:dyDescent="0.25">
      <c r="A1527" s="3">
        <v>45716.49287037037</v>
      </c>
      <c r="B1527" t="s">
        <v>387</v>
      </c>
      <c r="C1527" s="3">
        <v>45716.504351851851</v>
      </c>
      <c r="D1527" t="s">
        <v>251</v>
      </c>
      <c r="E1527" s="4">
        <v>0.2</v>
      </c>
      <c r="F1527" s="4">
        <v>410716.076</v>
      </c>
      <c r="G1527" s="4">
        <v>410716.27600000001</v>
      </c>
      <c r="H1527" s="5">
        <f>859 / 86400</f>
        <v>9.9421296296296289E-3</v>
      </c>
      <c r="I1527" t="s">
        <v>62</v>
      </c>
      <c r="J1527" t="s">
        <v>59</v>
      </c>
      <c r="K1527" s="5">
        <f>992 / 86400</f>
        <v>1.1481481481481481E-2</v>
      </c>
      <c r="L1527" s="5">
        <f>6 / 86400</f>
        <v>6.9444444444444444E-5</v>
      </c>
    </row>
    <row r="1528" spans="1:12" x14ac:dyDescent="0.25">
      <c r="A1528" s="3">
        <v>45716.504421296297</v>
      </c>
      <c r="B1528" t="s">
        <v>251</v>
      </c>
      <c r="C1528" s="3">
        <v>45716.505277777775</v>
      </c>
      <c r="D1528" t="s">
        <v>253</v>
      </c>
      <c r="E1528" s="4">
        <v>0.184</v>
      </c>
      <c r="F1528" s="4">
        <v>410716.27600000001</v>
      </c>
      <c r="G1528" s="4">
        <v>410716.46</v>
      </c>
      <c r="H1528" s="5">
        <f>0 / 86400</f>
        <v>0</v>
      </c>
      <c r="I1528" t="s">
        <v>72</v>
      </c>
      <c r="J1528" t="s">
        <v>132</v>
      </c>
      <c r="K1528" s="5">
        <f>74 / 86400</f>
        <v>8.564814814814815E-4</v>
      </c>
      <c r="L1528" s="5">
        <f>21 / 86400</f>
        <v>2.4305555555555555E-4</v>
      </c>
    </row>
    <row r="1529" spans="1:12" x14ac:dyDescent="0.25">
      <c r="A1529" s="3">
        <v>45716.505520833336</v>
      </c>
      <c r="B1529" t="s">
        <v>253</v>
      </c>
      <c r="C1529" s="3">
        <v>45716.679456018523</v>
      </c>
      <c r="D1529" t="s">
        <v>199</v>
      </c>
      <c r="E1529" s="4">
        <v>69.141000000000005</v>
      </c>
      <c r="F1529" s="4">
        <v>410716.46</v>
      </c>
      <c r="G1529" s="4">
        <v>410785.60100000002</v>
      </c>
      <c r="H1529" s="5">
        <f>5279 / 86400</f>
        <v>6.1099537037037036E-2</v>
      </c>
      <c r="I1529" t="s">
        <v>63</v>
      </c>
      <c r="J1529" t="s">
        <v>62</v>
      </c>
      <c r="K1529" s="5">
        <f>15028 / 86400</f>
        <v>0.17393518518518519</v>
      </c>
      <c r="L1529" s="5">
        <f>473 / 86400</f>
        <v>5.4745370370370373E-3</v>
      </c>
    </row>
    <row r="1530" spans="1:12" x14ac:dyDescent="0.25">
      <c r="A1530" s="3">
        <v>45716.684930555552</v>
      </c>
      <c r="B1530" t="s">
        <v>199</v>
      </c>
      <c r="C1530" s="3">
        <v>45716.687349537038</v>
      </c>
      <c r="D1530" t="s">
        <v>380</v>
      </c>
      <c r="E1530" s="4">
        <v>0.60099999999999998</v>
      </c>
      <c r="F1530" s="4">
        <v>410785.60100000002</v>
      </c>
      <c r="G1530" s="4">
        <v>410786.20199999999</v>
      </c>
      <c r="H1530" s="5">
        <f>20 / 86400</f>
        <v>2.3148148148148149E-4</v>
      </c>
      <c r="I1530" t="s">
        <v>62</v>
      </c>
      <c r="J1530" t="s">
        <v>151</v>
      </c>
      <c r="K1530" s="5">
        <f>208 / 86400</f>
        <v>2.4074074074074076E-3</v>
      </c>
      <c r="L1530" s="5">
        <f>2 / 86400</f>
        <v>2.3148148148148147E-5</v>
      </c>
    </row>
    <row r="1531" spans="1:12" x14ac:dyDescent="0.25">
      <c r="A1531" s="3">
        <v>45716.687372685185</v>
      </c>
      <c r="B1531" t="s">
        <v>380</v>
      </c>
      <c r="C1531" s="3">
        <v>45716.690625000003</v>
      </c>
      <c r="D1531" t="s">
        <v>26</v>
      </c>
      <c r="E1531" s="4">
        <v>0.27400000000000002</v>
      </c>
      <c r="F1531" s="4">
        <v>410786.20199999999</v>
      </c>
      <c r="G1531" s="4">
        <v>410786.47600000002</v>
      </c>
      <c r="H1531" s="5">
        <f>163 / 86400</f>
        <v>1.8865740740740742E-3</v>
      </c>
      <c r="I1531" t="s">
        <v>85</v>
      </c>
      <c r="J1531" t="s">
        <v>147</v>
      </c>
      <c r="K1531" s="5">
        <f>281 / 86400</f>
        <v>3.2523148148148147E-3</v>
      </c>
      <c r="L1531" s="5">
        <f>5395 / 86400</f>
        <v>6.2442129629629632E-2</v>
      </c>
    </row>
    <row r="1532" spans="1:12" x14ac:dyDescent="0.25">
      <c r="A1532" s="3">
        <v>45716.753067129626</v>
      </c>
      <c r="B1532" t="s">
        <v>26</v>
      </c>
      <c r="C1532" s="3">
        <v>45716.793206018519</v>
      </c>
      <c r="D1532" t="s">
        <v>314</v>
      </c>
      <c r="E1532" s="4">
        <v>21.594000000000001</v>
      </c>
      <c r="F1532" s="4">
        <v>410786.47600000002</v>
      </c>
      <c r="G1532" s="4">
        <v>410808.07</v>
      </c>
      <c r="H1532" s="5">
        <f>700 / 86400</f>
        <v>8.1018518518518514E-3</v>
      </c>
      <c r="I1532" t="s">
        <v>58</v>
      </c>
      <c r="J1532" t="s">
        <v>130</v>
      </c>
      <c r="K1532" s="5">
        <f>3468 / 86400</f>
        <v>4.0138888888888891E-2</v>
      </c>
      <c r="L1532" s="5">
        <f>250 / 86400</f>
        <v>2.8935185185185184E-3</v>
      </c>
    </row>
    <row r="1533" spans="1:12" x14ac:dyDescent="0.25">
      <c r="A1533" s="3">
        <v>45716.796099537038</v>
      </c>
      <c r="B1533" t="s">
        <v>314</v>
      </c>
      <c r="C1533" s="3">
        <v>45716.881840277776</v>
      </c>
      <c r="D1533" t="s">
        <v>455</v>
      </c>
      <c r="E1533" s="4">
        <v>44.616999999999997</v>
      </c>
      <c r="F1533" s="4">
        <v>410808.07</v>
      </c>
      <c r="G1533" s="4">
        <v>410852.68699999998</v>
      </c>
      <c r="H1533" s="5">
        <f>2020 / 86400</f>
        <v>2.3379629629629629E-2</v>
      </c>
      <c r="I1533" t="s">
        <v>54</v>
      </c>
      <c r="J1533" t="s">
        <v>130</v>
      </c>
      <c r="K1533" s="5">
        <f>7407 / 86400</f>
        <v>8.5729166666666662E-2</v>
      </c>
      <c r="L1533" s="5">
        <f>1283 / 86400</f>
        <v>1.4849537037037038E-2</v>
      </c>
    </row>
    <row r="1534" spans="1:12" x14ac:dyDescent="0.25">
      <c r="A1534" s="3">
        <v>45716.896689814814</v>
      </c>
      <c r="B1534" t="s">
        <v>396</v>
      </c>
      <c r="C1534" s="3">
        <v>45716.995995370366</v>
      </c>
      <c r="D1534" t="s">
        <v>120</v>
      </c>
      <c r="E1534" s="4">
        <v>49.317</v>
      </c>
      <c r="F1534" s="4">
        <v>410852.68699999998</v>
      </c>
      <c r="G1534" s="4">
        <v>410902.00400000002</v>
      </c>
      <c r="H1534" s="5">
        <f>2540 / 86400</f>
        <v>2.9398148148148149E-2</v>
      </c>
      <c r="I1534" t="s">
        <v>129</v>
      </c>
      <c r="J1534" t="s">
        <v>190</v>
      </c>
      <c r="K1534" s="5">
        <f>8580 / 86400</f>
        <v>9.930555555555555E-2</v>
      </c>
      <c r="L1534" s="5">
        <f>345 / 86400</f>
        <v>3.9930555555555552E-3</v>
      </c>
    </row>
    <row r="1535" spans="1:12" x14ac:dyDescent="0.2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</row>
    <row r="1536" spans="1:12" x14ac:dyDescent="0.2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</row>
    <row r="1537" spans="1:12" s="10" customFormat="1" ht="20.100000000000001" customHeight="1" x14ac:dyDescent="0.35">
      <c r="A1537" s="15" t="s">
        <v>542</v>
      </c>
      <c r="B1537" s="15"/>
      <c r="C1537" s="15"/>
      <c r="D1537" s="15"/>
      <c r="E1537" s="15"/>
      <c r="F1537" s="15"/>
      <c r="G1537" s="15"/>
      <c r="H1537" s="15"/>
      <c r="I1537" s="15"/>
      <c r="J1537" s="15"/>
    </row>
    <row r="1538" spans="1:12" x14ac:dyDescent="0.2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</row>
    <row r="1539" spans="1:12" ht="30" x14ac:dyDescent="0.25">
      <c r="A1539" s="2" t="s">
        <v>6</v>
      </c>
      <c r="B1539" s="2" t="s">
        <v>7</v>
      </c>
      <c r="C1539" s="2" t="s">
        <v>8</v>
      </c>
      <c r="D1539" s="2" t="s">
        <v>9</v>
      </c>
      <c r="E1539" s="2" t="s">
        <v>10</v>
      </c>
      <c r="F1539" s="2" t="s">
        <v>11</v>
      </c>
      <c r="G1539" s="2" t="s">
        <v>12</v>
      </c>
      <c r="H1539" s="2" t="s">
        <v>13</v>
      </c>
      <c r="I1539" s="2" t="s">
        <v>14</v>
      </c>
      <c r="J1539" s="2" t="s">
        <v>15</v>
      </c>
      <c r="K1539" s="2" t="s">
        <v>16</v>
      </c>
      <c r="L1539" s="2" t="s">
        <v>17</v>
      </c>
    </row>
    <row r="1540" spans="1:12" x14ac:dyDescent="0.25">
      <c r="A1540" s="3">
        <v>45716</v>
      </c>
      <c r="B1540" t="s">
        <v>121</v>
      </c>
      <c r="C1540" s="3">
        <v>45716.046134259261</v>
      </c>
      <c r="D1540" t="s">
        <v>89</v>
      </c>
      <c r="E1540" s="4">
        <v>31.096</v>
      </c>
      <c r="F1540" s="4">
        <v>553596.58299999998</v>
      </c>
      <c r="G1540" s="4">
        <v>553627.679</v>
      </c>
      <c r="H1540" s="5">
        <f>300 / 86400</f>
        <v>3.472222222222222E-3</v>
      </c>
      <c r="I1540" t="s">
        <v>70</v>
      </c>
      <c r="J1540" t="s">
        <v>145</v>
      </c>
      <c r="K1540" s="5">
        <f>3986 / 86400</f>
        <v>4.6134259259259257E-2</v>
      </c>
      <c r="L1540" s="5">
        <f>952 / 86400</f>
        <v>1.1018518518518518E-2</v>
      </c>
    </row>
    <row r="1541" spans="1:12" x14ac:dyDescent="0.25">
      <c r="A1541" s="3">
        <v>45716.057152777779</v>
      </c>
      <c r="B1541" t="s">
        <v>89</v>
      </c>
      <c r="C1541" s="3">
        <v>45716.057928240742</v>
      </c>
      <c r="D1541" t="s">
        <v>89</v>
      </c>
      <c r="E1541" s="4">
        <v>6.7000000000000004E-2</v>
      </c>
      <c r="F1541" s="4">
        <v>553627.679</v>
      </c>
      <c r="G1541" s="4">
        <v>553627.74600000004</v>
      </c>
      <c r="H1541" s="5">
        <f>20 / 86400</f>
        <v>2.3148148148148149E-4</v>
      </c>
      <c r="I1541" t="s">
        <v>57</v>
      </c>
      <c r="J1541" t="s">
        <v>147</v>
      </c>
      <c r="K1541" s="5">
        <f>67 / 86400</f>
        <v>7.7546296296296293E-4</v>
      </c>
      <c r="L1541" s="5">
        <f>1117 / 86400</f>
        <v>1.292824074074074E-2</v>
      </c>
    </row>
    <row r="1542" spans="1:12" x14ac:dyDescent="0.25">
      <c r="A1542" s="3">
        <v>45716.070856481485</v>
      </c>
      <c r="B1542" t="s">
        <v>89</v>
      </c>
      <c r="C1542" s="3">
        <v>45716.074548611112</v>
      </c>
      <c r="D1542" t="s">
        <v>90</v>
      </c>
      <c r="E1542" s="4">
        <v>0.76</v>
      </c>
      <c r="F1542" s="4">
        <v>553627.74600000004</v>
      </c>
      <c r="G1542" s="4">
        <v>553628.50600000005</v>
      </c>
      <c r="H1542" s="5">
        <f>99 / 86400</f>
        <v>1.1458333333333333E-3</v>
      </c>
      <c r="I1542" t="s">
        <v>149</v>
      </c>
      <c r="J1542" t="s">
        <v>132</v>
      </c>
      <c r="K1542" s="5">
        <f>318 / 86400</f>
        <v>3.6805555555555554E-3</v>
      </c>
      <c r="L1542" s="5">
        <f>16456 / 86400</f>
        <v>0.19046296296296297</v>
      </c>
    </row>
    <row r="1543" spans="1:12" x14ac:dyDescent="0.25">
      <c r="A1543" s="3">
        <v>45716.265011574069</v>
      </c>
      <c r="B1543" t="s">
        <v>90</v>
      </c>
      <c r="C1543" s="3">
        <v>45716.426516203705</v>
      </c>
      <c r="D1543" t="s">
        <v>136</v>
      </c>
      <c r="E1543" s="4">
        <v>75.23</v>
      </c>
      <c r="F1543" s="4">
        <v>553628.50600000005</v>
      </c>
      <c r="G1543" s="4">
        <v>553703.73600000003</v>
      </c>
      <c r="H1543" s="5">
        <f>3959 / 86400</f>
        <v>4.5821759259259257E-2</v>
      </c>
      <c r="I1543" t="s">
        <v>39</v>
      </c>
      <c r="J1543" t="s">
        <v>85</v>
      </c>
      <c r="K1543" s="5">
        <f>13954 / 86400</f>
        <v>0.16150462962962964</v>
      </c>
      <c r="L1543" s="5">
        <f>3338 / 86400</f>
        <v>3.8634259259259257E-2</v>
      </c>
    </row>
    <row r="1544" spans="1:12" x14ac:dyDescent="0.25">
      <c r="A1544" s="3">
        <v>45716.465150462958</v>
      </c>
      <c r="B1544" t="s">
        <v>136</v>
      </c>
      <c r="C1544" s="3">
        <v>45716.467268518521</v>
      </c>
      <c r="D1544" t="s">
        <v>405</v>
      </c>
      <c r="E1544" s="4">
        <v>0.23300000000000001</v>
      </c>
      <c r="F1544" s="4">
        <v>553703.73600000003</v>
      </c>
      <c r="G1544" s="4">
        <v>553703.96900000004</v>
      </c>
      <c r="H1544" s="5">
        <f>60 / 86400</f>
        <v>6.9444444444444447E-4</v>
      </c>
      <c r="I1544" t="s">
        <v>151</v>
      </c>
      <c r="J1544" t="s">
        <v>25</v>
      </c>
      <c r="K1544" s="5">
        <f>182 / 86400</f>
        <v>2.1064814814814813E-3</v>
      </c>
      <c r="L1544" s="5">
        <f>559 / 86400</f>
        <v>6.4699074074074077E-3</v>
      </c>
    </row>
    <row r="1545" spans="1:12" x14ac:dyDescent="0.25">
      <c r="A1545" s="3">
        <v>45716.473738425921</v>
      </c>
      <c r="B1545" t="s">
        <v>463</v>
      </c>
      <c r="C1545" s="3">
        <v>45716.692673611113</v>
      </c>
      <c r="D1545" t="s">
        <v>463</v>
      </c>
      <c r="E1545" s="4">
        <v>92.531000000000006</v>
      </c>
      <c r="F1545" s="4">
        <v>553703.96900000004</v>
      </c>
      <c r="G1545" s="4">
        <v>553796.5</v>
      </c>
      <c r="H1545" s="5">
        <f>5680 / 86400</f>
        <v>6.5740740740740738E-2</v>
      </c>
      <c r="I1545" t="s">
        <v>75</v>
      </c>
      <c r="J1545" t="s">
        <v>20</v>
      </c>
      <c r="K1545" s="5">
        <f>18915 / 86400</f>
        <v>0.21892361111111111</v>
      </c>
      <c r="L1545" s="5">
        <f>1533 / 86400</f>
        <v>1.7743055555555557E-2</v>
      </c>
    </row>
    <row r="1546" spans="1:12" x14ac:dyDescent="0.25">
      <c r="A1546" s="3">
        <v>45716.710416666669</v>
      </c>
      <c r="B1546" t="s">
        <v>463</v>
      </c>
      <c r="C1546" s="3">
        <v>45716.99998842593</v>
      </c>
      <c r="D1546" t="s">
        <v>69</v>
      </c>
      <c r="E1546" s="4">
        <v>99.700999999999993</v>
      </c>
      <c r="F1546" s="4">
        <v>553796.5</v>
      </c>
      <c r="G1546" s="4">
        <v>553896.201</v>
      </c>
      <c r="H1546" s="5">
        <f>10080 / 86400</f>
        <v>0.11666666666666667</v>
      </c>
      <c r="I1546" t="s">
        <v>75</v>
      </c>
      <c r="J1546" t="s">
        <v>72</v>
      </c>
      <c r="K1546" s="5">
        <f>25019 / 86400</f>
        <v>0.28957175925925926</v>
      </c>
      <c r="L1546" s="5">
        <f>0 / 86400</f>
        <v>0</v>
      </c>
    </row>
    <row r="1547" spans="1:12" x14ac:dyDescent="0.2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</row>
    <row r="1548" spans="1:12" x14ac:dyDescent="0.2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</row>
    <row r="1549" spans="1:12" s="10" customFormat="1" ht="20.100000000000001" customHeight="1" x14ac:dyDescent="0.35">
      <c r="A1549" s="15" t="s">
        <v>543</v>
      </c>
      <c r="B1549" s="15"/>
      <c r="C1549" s="15"/>
      <c r="D1549" s="15"/>
      <c r="E1549" s="15"/>
      <c r="F1549" s="15"/>
      <c r="G1549" s="15"/>
      <c r="H1549" s="15"/>
      <c r="I1549" s="15"/>
      <c r="J1549" s="15"/>
    </row>
    <row r="1550" spans="1:12" x14ac:dyDescent="0.2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</row>
    <row r="1551" spans="1:12" ht="30" x14ac:dyDescent="0.25">
      <c r="A1551" s="2" t="s">
        <v>6</v>
      </c>
      <c r="B1551" s="2" t="s">
        <v>7</v>
      </c>
      <c r="C1551" s="2" t="s">
        <v>8</v>
      </c>
      <c r="D1551" s="2" t="s">
        <v>9</v>
      </c>
      <c r="E1551" s="2" t="s">
        <v>10</v>
      </c>
      <c r="F1551" s="2" t="s">
        <v>11</v>
      </c>
      <c r="G1551" s="2" t="s">
        <v>12</v>
      </c>
      <c r="H1551" s="2" t="s">
        <v>13</v>
      </c>
      <c r="I1551" s="2" t="s">
        <v>14</v>
      </c>
      <c r="J1551" s="2" t="s">
        <v>15</v>
      </c>
      <c r="K1551" s="2" t="s">
        <v>16</v>
      </c>
      <c r="L1551" s="2" t="s">
        <v>17</v>
      </c>
    </row>
    <row r="1552" spans="1:12" x14ac:dyDescent="0.25">
      <c r="A1552" s="3">
        <v>45716.237569444449</v>
      </c>
      <c r="B1552" t="s">
        <v>122</v>
      </c>
      <c r="C1552" s="3">
        <v>45716.471828703703</v>
      </c>
      <c r="D1552" t="s">
        <v>46</v>
      </c>
      <c r="E1552" s="4">
        <v>433.37</v>
      </c>
      <c r="F1552" s="4">
        <v>7205</v>
      </c>
      <c r="G1552" s="4">
        <v>7638.37</v>
      </c>
      <c r="H1552" s="5">
        <f>7521 / 86400</f>
        <v>8.7048611111111104E-2</v>
      </c>
      <c r="I1552" t="s">
        <v>52</v>
      </c>
      <c r="J1552" t="s">
        <v>75</v>
      </c>
      <c r="K1552" s="5">
        <f>20240 / 86400</f>
        <v>0.23425925925925925</v>
      </c>
      <c r="L1552" s="5">
        <f>23670 / 86400</f>
        <v>0.27395833333333336</v>
      </c>
    </row>
    <row r="1553" spans="1:12" x14ac:dyDescent="0.25">
      <c r="A1553" s="3">
        <v>45716.508217592593</v>
      </c>
      <c r="B1553" t="s">
        <v>46</v>
      </c>
      <c r="C1553" s="3">
        <v>45716.512928240743</v>
      </c>
      <c r="D1553" t="s">
        <v>161</v>
      </c>
      <c r="E1553" s="4">
        <v>6.1849999999999996</v>
      </c>
      <c r="F1553" s="4">
        <v>7638.37</v>
      </c>
      <c r="G1553" s="4">
        <v>7644.5550000000003</v>
      </c>
      <c r="H1553" s="5">
        <f>79 / 86400</f>
        <v>9.1435185185185185E-4</v>
      </c>
      <c r="I1553" t="s">
        <v>206</v>
      </c>
      <c r="J1553" t="s">
        <v>173</v>
      </c>
      <c r="K1553" s="5">
        <f>407 / 86400</f>
        <v>4.7106481481481478E-3</v>
      </c>
      <c r="L1553" s="5">
        <f>627 / 86400</f>
        <v>7.2569444444444443E-3</v>
      </c>
    </row>
    <row r="1554" spans="1:12" x14ac:dyDescent="0.25">
      <c r="A1554" s="3">
        <v>45716.520185185189</v>
      </c>
      <c r="B1554" t="s">
        <v>161</v>
      </c>
      <c r="C1554" s="3">
        <v>45716.746631944443</v>
      </c>
      <c r="D1554" t="s">
        <v>124</v>
      </c>
      <c r="E1554" s="4">
        <v>456.22500000000002</v>
      </c>
      <c r="F1554" s="4">
        <v>7644.5550000000003</v>
      </c>
      <c r="G1554" s="4">
        <v>8100.78</v>
      </c>
      <c r="H1554" s="5">
        <f>6519 / 86400</f>
        <v>7.5451388888888887E-2</v>
      </c>
      <c r="I1554" t="s">
        <v>52</v>
      </c>
      <c r="J1554" t="s">
        <v>30</v>
      </c>
      <c r="K1554" s="5">
        <f>19565 / 86400</f>
        <v>0.22644675925925925</v>
      </c>
      <c r="L1554" s="5">
        <f>498 / 86400</f>
        <v>5.7638888888888887E-3</v>
      </c>
    </row>
    <row r="1555" spans="1:12" x14ac:dyDescent="0.25">
      <c r="A1555" s="3">
        <v>45716.752395833333</v>
      </c>
      <c r="B1555" t="s">
        <v>124</v>
      </c>
      <c r="C1555" s="3">
        <v>45716.919131944444</v>
      </c>
      <c r="D1555" t="s">
        <v>120</v>
      </c>
      <c r="E1555" s="4">
        <v>391.19499999999999</v>
      </c>
      <c r="F1555" s="4">
        <v>8100.78</v>
      </c>
      <c r="G1555" s="4">
        <v>8491.9750000000004</v>
      </c>
      <c r="H1555" s="5">
        <f>3679 / 86400</f>
        <v>4.2581018518518518E-2</v>
      </c>
      <c r="I1555" t="s">
        <v>63</v>
      </c>
      <c r="J1555" t="s">
        <v>117</v>
      </c>
      <c r="K1555" s="5">
        <f>14406 / 86400</f>
        <v>0.16673611111111111</v>
      </c>
      <c r="L1555" s="5">
        <f>19 / 86400</f>
        <v>2.199074074074074E-4</v>
      </c>
    </row>
    <row r="1556" spans="1:12" x14ac:dyDescent="0.25">
      <c r="A1556" s="3">
        <v>45716.919351851851</v>
      </c>
      <c r="B1556" t="s">
        <v>359</v>
      </c>
      <c r="C1556" s="3">
        <v>45716.919479166667</v>
      </c>
      <c r="D1556" t="s">
        <v>359</v>
      </c>
      <c r="E1556" s="4">
        <v>0.04</v>
      </c>
      <c r="F1556" s="4">
        <v>8491.9750000000004</v>
      </c>
      <c r="G1556" s="4">
        <v>8492.0149999999994</v>
      </c>
      <c r="H1556" s="5">
        <f>0 / 86400</f>
        <v>0</v>
      </c>
      <c r="I1556" t="s">
        <v>22</v>
      </c>
      <c r="J1556" t="s">
        <v>72</v>
      </c>
      <c r="K1556" s="5">
        <f>10 / 86400</f>
        <v>1.1574074074074075E-4</v>
      </c>
      <c r="L1556" s="5">
        <f>90 / 86400</f>
        <v>1.0416666666666667E-3</v>
      </c>
    </row>
    <row r="1557" spans="1:12" x14ac:dyDescent="0.25">
      <c r="A1557" s="3">
        <v>45716.92052083333</v>
      </c>
      <c r="B1557" t="s">
        <v>359</v>
      </c>
      <c r="C1557" s="3">
        <v>45716.99998842593</v>
      </c>
      <c r="D1557" t="s">
        <v>123</v>
      </c>
      <c r="E1557" s="4">
        <v>213.21</v>
      </c>
      <c r="F1557" s="4">
        <v>8492.0149999999994</v>
      </c>
      <c r="G1557" s="4">
        <v>8705.2250000000004</v>
      </c>
      <c r="H1557" s="5">
        <f>2078 / 86400</f>
        <v>2.4050925925925927E-2</v>
      </c>
      <c r="I1557" t="s">
        <v>83</v>
      </c>
      <c r="J1557" t="s">
        <v>477</v>
      </c>
      <c r="K1557" s="5">
        <f>6866 / 86400</f>
        <v>7.946759259259259E-2</v>
      </c>
      <c r="L1557" s="5">
        <f>0 / 86400</f>
        <v>0</v>
      </c>
    </row>
    <row r="1558" spans="1:12" x14ac:dyDescent="0.2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</row>
    <row r="1559" spans="1:12" x14ac:dyDescent="0.2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</row>
    <row r="1560" spans="1:12" s="10" customFormat="1" ht="20.100000000000001" customHeight="1" x14ac:dyDescent="0.35">
      <c r="A1560" s="15" t="s">
        <v>544</v>
      </c>
      <c r="B1560" s="15"/>
      <c r="C1560" s="15"/>
      <c r="D1560" s="15"/>
      <c r="E1560" s="15"/>
      <c r="F1560" s="15"/>
      <c r="G1560" s="15"/>
      <c r="H1560" s="15"/>
      <c r="I1560" s="15"/>
      <c r="J1560" s="15"/>
    </row>
    <row r="1561" spans="1:12" x14ac:dyDescent="0.2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</row>
    <row r="1562" spans="1:12" ht="30" x14ac:dyDescent="0.25">
      <c r="A1562" s="2" t="s">
        <v>6</v>
      </c>
      <c r="B1562" s="2" t="s">
        <v>7</v>
      </c>
      <c r="C1562" s="2" t="s">
        <v>8</v>
      </c>
      <c r="D1562" s="2" t="s">
        <v>9</v>
      </c>
      <c r="E1562" s="2" t="s">
        <v>10</v>
      </c>
      <c r="F1562" s="2" t="s">
        <v>11</v>
      </c>
      <c r="G1562" s="2" t="s">
        <v>12</v>
      </c>
      <c r="H1562" s="2" t="s">
        <v>13</v>
      </c>
      <c r="I1562" s="2" t="s">
        <v>14</v>
      </c>
      <c r="J1562" s="2" t="s">
        <v>15</v>
      </c>
      <c r="K1562" s="2" t="s">
        <v>16</v>
      </c>
      <c r="L1562" s="2" t="s">
        <v>17</v>
      </c>
    </row>
    <row r="1563" spans="1:12" x14ac:dyDescent="0.25">
      <c r="A1563" s="3">
        <v>45716</v>
      </c>
      <c r="B1563" t="s">
        <v>123</v>
      </c>
      <c r="C1563" s="3">
        <v>45716.04482638889</v>
      </c>
      <c r="D1563" t="s">
        <v>405</v>
      </c>
      <c r="E1563" s="4">
        <v>31.579000000000001</v>
      </c>
      <c r="F1563" s="4">
        <v>63627.389000000003</v>
      </c>
      <c r="G1563" s="4">
        <v>63658.968000000001</v>
      </c>
      <c r="H1563" s="5">
        <f>720 / 86400</f>
        <v>8.3333333333333332E-3</v>
      </c>
      <c r="I1563" t="s">
        <v>175</v>
      </c>
      <c r="J1563" t="s">
        <v>142</v>
      </c>
      <c r="K1563" s="5">
        <f>3873 / 86400</f>
        <v>4.4826388888888888E-2</v>
      </c>
      <c r="L1563" s="5">
        <f>809 / 86400</f>
        <v>9.3634259259259261E-3</v>
      </c>
    </row>
    <row r="1564" spans="1:12" x14ac:dyDescent="0.25">
      <c r="A1564" s="3">
        <v>45716.054189814815</v>
      </c>
      <c r="B1564" t="s">
        <v>405</v>
      </c>
      <c r="C1564" s="3">
        <v>45716.055150462962</v>
      </c>
      <c r="D1564" t="s">
        <v>382</v>
      </c>
      <c r="E1564" s="4">
        <v>0.28100000000000003</v>
      </c>
      <c r="F1564" s="4">
        <v>63658.968000000001</v>
      </c>
      <c r="G1564" s="4">
        <v>63659.249000000003</v>
      </c>
      <c r="H1564" s="5">
        <f>0 / 86400</f>
        <v>0</v>
      </c>
      <c r="I1564" t="s">
        <v>153</v>
      </c>
      <c r="J1564" t="s">
        <v>28</v>
      </c>
      <c r="K1564" s="5">
        <f>83 / 86400</f>
        <v>9.6064814814814819E-4</v>
      </c>
      <c r="L1564" s="5">
        <f>15 / 86400</f>
        <v>1.7361111111111112E-4</v>
      </c>
    </row>
    <row r="1565" spans="1:12" x14ac:dyDescent="0.25">
      <c r="A1565" s="3">
        <v>45716.05532407407</v>
      </c>
      <c r="B1565" t="s">
        <v>382</v>
      </c>
      <c r="C1565" s="3">
        <v>45716.056817129633</v>
      </c>
      <c r="D1565" t="s">
        <v>382</v>
      </c>
      <c r="E1565" s="4">
        <v>0.04</v>
      </c>
      <c r="F1565" s="4">
        <v>63659.249000000003</v>
      </c>
      <c r="G1565" s="4">
        <v>63659.288999999997</v>
      </c>
      <c r="H1565" s="5">
        <f>59 / 86400</f>
        <v>6.8287037037037036E-4</v>
      </c>
      <c r="I1565" t="s">
        <v>25</v>
      </c>
      <c r="J1565" t="s">
        <v>59</v>
      </c>
      <c r="K1565" s="5">
        <f>129 / 86400</f>
        <v>1.4930555555555556E-3</v>
      </c>
      <c r="L1565" s="5">
        <f>11322 / 86400</f>
        <v>0.13104166666666667</v>
      </c>
    </row>
    <row r="1566" spans="1:12" x14ac:dyDescent="0.25">
      <c r="A1566" s="3">
        <v>45716.1878587963</v>
      </c>
      <c r="B1566" t="s">
        <v>382</v>
      </c>
      <c r="C1566" s="3">
        <v>45716.302222222221</v>
      </c>
      <c r="D1566" t="s">
        <v>250</v>
      </c>
      <c r="E1566" s="4">
        <v>51.707999999999998</v>
      </c>
      <c r="F1566" s="4">
        <v>63659.288999999997</v>
      </c>
      <c r="G1566" s="4">
        <v>63710.997000000003</v>
      </c>
      <c r="H1566" s="5">
        <f>2899 / 86400</f>
        <v>3.3553240740740738E-2</v>
      </c>
      <c r="I1566" t="s">
        <v>49</v>
      </c>
      <c r="J1566" t="s">
        <v>85</v>
      </c>
      <c r="K1566" s="5">
        <f>9880 / 86400</f>
        <v>0.11435185185185186</v>
      </c>
      <c r="L1566" s="5">
        <f>64 / 86400</f>
        <v>7.407407407407407E-4</v>
      </c>
    </row>
    <row r="1567" spans="1:12" x14ac:dyDescent="0.25">
      <c r="A1567" s="3">
        <v>45716.30296296296</v>
      </c>
      <c r="B1567" t="s">
        <v>250</v>
      </c>
      <c r="C1567" s="3">
        <v>45716.378969907411</v>
      </c>
      <c r="D1567" t="s">
        <v>96</v>
      </c>
      <c r="E1567" s="4">
        <v>24.297000000000001</v>
      </c>
      <c r="F1567" s="4">
        <v>63710.997000000003</v>
      </c>
      <c r="G1567" s="4">
        <v>63735.294000000002</v>
      </c>
      <c r="H1567" s="5">
        <f>2540 / 86400</f>
        <v>2.9398148148148149E-2</v>
      </c>
      <c r="I1567" t="s">
        <v>178</v>
      </c>
      <c r="J1567" t="s">
        <v>64</v>
      </c>
      <c r="K1567" s="5">
        <f>6567 / 86400</f>
        <v>7.6006944444444446E-2</v>
      </c>
      <c r="L1567" s="5">
        <f>49 / 86400</f>
        <v>5.6712962962962967E-4</v>
      </c>
    </row>
    <row r="1568" spans="1:12" x14ac:dyDescent="0.25">
      <c r="A1568" s="3">
        <v>45716.379537037035</v>
      </c>
      <c r="B1568" t="s">
        <v>96</v>
      </c>
      <c r="C1568" s="3">
        <v>45716.42050925926</v>
      </c>
      <c r="D1568" t="s">
        <v>366</v>
      </c>
      <c r="E1568" s="4">
        <v>14.144</v>
      </c>
      <c r="F1568" s="4">
        <v>63735.294000000002</v>
      </c>
      <c r="G1568" s="4">
        <v>63749.438000000002</v>
      </c>
      <c r="H1568" s="5">
        <f>1340 / 86400</f>
        <v>1.5509259259259259E-2</v>
      </c>
      <c r="I1568" t="s">
        <v>289</v>
      </c>
      <c r="J1568" t="s">
        <v>72</v>
      </c>
      <c r="K1568" s="5">
        <f>3539 / 86400</f>
        <v>4.0960648148148149E-2</v>
      </c>
      <c r="L1568" s="5">
        <f>44 / 86400</f>
        <v>5.0925925925925921E-4</v>
      </c>
    </row>
    <row r="1569" spans="1:12" x14ac:dyDescent="0.25">
      <c r="A1569" s="3">
        <v>45716.421018518522</v>
      </c>
      <c r="B1569" t="s">
        <v>366</v>
      </c>
      <c r="C1569" s="3">
        <v>45716.47252314815</v>
      </c>
      <c r="D1569" t="s">
        <v>478</v>
      </c>
      <c r="E1569" s="4">
        <v>11.808</v>
      </c>
      <c r="F1569" s="4">
        <v>63749.438000000002</v>
      </c>
      <c r="G1569" s="4">
        <v>63761.245999999999</v>
      </c>
      <c r="H1569" s="5">
        <f>1820 / 86400</f>
        <v>2.1064814814814814E-2</v>
      </c>
      <c r="I1569" t="s">
        <v>159</v>
      </c>
      <c r="J1569" t="s">
        <v>151</v>
      </c>
      <c r="K1569" s="5">
        <f>4449 / 86400</f>
        <v>5.1493055555555556E-2</v>
      </c>
      <c r="L1569" s="5">
        <f>71 / 86400</f>
        <v>8.2175925925925927E-4</v>
      </c>
    </row>
    <row r="1570" spans="1:12" x14ac:dyDescent="0.25">
      <c r="A1570" s="3">
        <v>45716.473344907412</v>
      </c>
      <c r="B1570" t="s">
        <v>249</v>
      </c>
      <c r="C1570" s="3">
        <v>45716.548263888893</v>
      </c>
      <c r="D1570" t="s">
        <v>216</v>
      </c>
      <c r="E1570" s="4">
        <v>18.759</v>
      </c>
      <c r="F1570" s="4">
        <v>63761.245999999999</v>
      </c>
      <c r="G1570" s="4">
        <v>63780.004999999997</v>
      </c>
      <c r="H1570" s="5">
        <f>3037 / 86400</f>
        <v>3.515046296296296E-2</v>
      </c>
      <c r="I1570" t="s">
        <v>219</v>
      </c>
      <c r="J1570" t="s">
        <v>151</v>
      </c>
      <c r="K1570" s="5">
        <f>6473 / 86400</f>
        <v>7.4918981481481475E-2</v>
      </c>
      <c r="L1570" s="5">
        <f>51 / 86400</f>
        <v>5.9027777777777778E-4</v>
      </c>
    </row>
    <row r="1571" spans="1:12" x14ac:dyDescent="0.25">
      <c r="A1571" s="3">
        <v>45716.548854166671</v>
      </c>
      <c r="B1571" t="s">
        <v>216</v>
      </c>
      <c r="C1571" s="3">
        <v>45716.55668981481</v>
      </c>
      <c r="D1571" t="s">
        <v>186</v>
      </c>
      <c r="E1571" s="4">
        <v>2.3279999999999998</v>
      </c>
      <c r="F1571" s="4">
        <v>63780.004999999997</v>
      </c>
      <c r="G1571" s="4">
        <v>63782.332999999999</v>
      </c>
      <c r="H1571" s="5">
        <f>200 / 86400</f>
        <v>2.3148148148148147E-3</v>
      </c>
      <c r="I1571" t="s">
        <v>205</v>
      </c>
      <c r="J1571" t="s">
        <v>28</v>
      </c>
      <c r="K1571" s="5">
        <f>676 / 86400</f>
        <v>7.8240740740740736E-3</v>
      </c>
      <c r="L1571" s="5">
        <f>82 / 86400</f>
        <v>9.4907407407407408E-4</v>
      </c>
    </row>
    <row r="1572" spans="1:12" x14ac:dyDescent="0.25">
      <c r="A1572" s="3">
        <v>45716.557638888888</v>
      </c>
      <c r="B1572" t="s">
        <v>186</v>
      </c>
      <c r="C1572" s="3">
        <v>45716.627222222218</v>
      </c>
      <c r="D1572" t="s">
        <v>135</v>
      </c>
      <c r="E1572" s="4">
        <v>31.378</v>
      </c>
      <c r="F1572" s="4">
        <v>63782.332999999999</v>
      </c>
      <c r="G1572" s="4">
        <v>63813.711000000003</v>
      </c>
      <c r="H1572" s="5">
        <f>1700 / 86400</f>
        <v>1.9675925925925927E-2</v>
      </c>
      <c r="I1572" t="s">
        <v>70</v>
      </c>
      <c r="J1572" t="s">
        <v>85</v>
      </c>
      <c r="K1572" s="5">
        <f>6011 / 86400</f>
        <v>6.9571759259259264E-2</v>
      </c>
      <c r="L1572" s="5">
        <f>513 / 86400</f>
        <v>5.9375000000000001E-3</v>
      </c>
    </row>
    <row r="1573" spans="1:12" x14ac:dyDescent="0.25">
      <c r="A1573" s="3">
        <v>45716.633159722223</v>
      </c>
      <c r="B1573" t="s">
        <v>135</v>
      </c>
      <c r="C1573" s="3">
        <v>45716.634652777779</v>
      </c>
      <c r="D1573" t="s">
        <v>136</v>
      </c>
      <c r="E1573" s="4">
        <v>0.217</v>
      </c>
      <c r="F1573" s="4">
        <v>63813.711000000003</v>
      </c>
      <c r="G1573" s="4">
        <v>63813.928</v>
      </c>
      <c r="H1573" s="5">
        <f>20 / 86400</f>
        <v>2.3148148148148149E-4</v>
      </c>
      <c r="I1573" t="s">
        <v>20</v>
      </c>
      <c r="J1573" t="s">
        <v>137</v>
      </c>
      <c r="K1573" s="5">
        <f>128 / 86400</f>
        <v>1.4814814814814814E-3</v>
      </c>
      <c r="L1573" s="5">
        <f>543 / 86400</f>
        <v>6.2847222222222219E-3</v>
      </c>
    </row>
    <row r="1574" spans="1:12" x14ac:dyDescent="0.25">
      <c r="A1574" s="3">
        <v>45716.6409375</v>
      </c>
      <c r="B1574" t="s">
        <v>136</v>
      </c>
      <c r="C1574" s="3">
        <v>45716.641284722224</v>
      </c>
      <c r="D1574" t="s">
        <v>134</v>
      </c>
      <c r="E1574" s="4">
        <v>1.0999999999999999E-2</v>
      </c>
      <c r="F1574" s="4">
        <v>63813.928</v>
      </c>
      <c r="G1574" s="4">
        <v>63813.938999999998</v>
      </c>
      <c r="H1574" s="5">
        <f>0 / 86400</f>
        <v>0</v>
      </c>
      <c r="I1574" t="s">
        <v>33</v>
      </c>
      <c r="J1574" t="s">
        <v>59</v>
      </c>
      <c r="K1574" s="5">
        <f>29 / 86400</f>
        <v>3.3564814814814812E-4</v>
      </c>
      <c r="L1574" s="5">
        <f>284 / 86400</f>
        <v>3.2870370370370371E-3</v>
      </c>
    </row>
    <row r="1575" spans="1:12" x14ac:dyDescent="0.25">
      <c r="A1575" s="3">
        <v>45716.644571759258</v>
      </c>
      <c r="B1575" t="s">
        <v>134</v>
      </c>
      <c r="C1575" s="3">
        <v>45716.645821759259</v>
      </c>
      <c r="D1575" t="s">
        <v>382</v>
      </c>
      <c r="E1575" s="4">
        <v>0.17799999999999999</v>
      </c>
      <c r="F1575" s="4">
        <v>63813.94</v>
      </c>
      <c r="G1575" s="4">
        <v>63814.118000000002</v>
      </c>
      <c r="H1575" s="5">
        <f>19 / 86400</f>
        <v>2.199074074074074E-4</v>
      </c>
      <c r="I1575" t="s">
        <v>100</v>
      </c>
      <c r="J1575" t="s">
        <v>137</v>
      </c>
      <c r="K1575" s="5">
        <f>107 / 86400</f>
        <v>1.238425925925926E-3</v>
      </c>
      <c r="L1575" s="5">
        <f>131 / 86400</f>
        <v>1.5162037037037036E-3</v>
      </c>
    </row>
    <row r="1576" spans="1:12" x14ac:dyDescent="0.25">
      <c r="A1576" s="3">
        <v>45716.647337962961</v>
      </c>
      <c r="B1576" t="s">
        <v>382</v>
      </c>
      <c r="C1576" s="3">
        <v>45716.6487037037</v>
      </c>
      <c r="D1576" t="s">
        <v>382</v>
      </c>
      <c r="E1576" s="4">
        <v>3.7999999999999999E-2</v>
      </c>
      <c r="F1576" s="4">
        <v>63814.118000000002</v>
      </c>
      <c r="G1576" s="4">
        <v>63814.156000000003</v>
      </c>
      <c r="H1576" s="5">
        <f>40 / 86400</f>
        <v>4.6296296296296298E-4</v>
      </c>
      <c r="I1576" t="s">
        <v>25</v>
      </c>
      <c r="J1576" t="s">
        <v>59</v>
      </c>
      <c r="K1576" s="5">
        <f>117 / 86400</f>
        <v>1.3541666666666667E-3</v>
      </c>
      <c r="L1576" s="5">
        <f>4354 / 86400</f>
        <v>5.0393518518518518E-2</v>
      </c>
    </row>
    <row r="1577" spans="1:12" x14ac:dyDescent="0.25">
      <c r="A1577" s="3">
        <v>45716.699097222227</v>
      </c>
      <c r="B1577" t="s">
        <v>382</v>
      </c>
      <c r="C1577" s="3">
        <v>45716.759328703702</v>
      </c>
      <c r="D1577" t="s">
        <v>479</v>
      </c>
      <c r="E1577" s="4">
        <v>30.172000000000001</v>
      </c>
      <c r="F1577" s="4">
        <v>63814.156000000003</v>
      </c>
      <c r="G1577" s="4">
        <v>63844.328000000001</v>
      </c>
      <c r="H1577" s="5">
        <f>1439 / 86400</f>
        <v>1.6655092592592593E-2</v>
      </c>
      <c r="I1577" t="s">
        <v>78</v>
      </c>
      <c r="J1577" t="s">
        <v>190</v>
      </c>
      <c r="K1577" s="5">
        <f>5204 / 86400</f>
        <v>6.0231481481481483E-2</v>
      </c>
      <c r="L1577" s="5">
        <f>37 / 86400</f>
        <v>4.2824074074074075E-4</v>
      </c>
    </row>
    <row r="1578" spans="1:12" x14ac:dyDescent="0.25">
      <c r="A1578" s="3">
        <v>45716.759756944448</v>
      </c>
      <c r="B1578" t="s">
        <v>479</v>
      </c>
      <c r="C1578" s="3">
        <v>45716.902141203704</v>
      </c>
      <c r="D1578" t="s">
        <v>120</v>
      </c>
      <c r="E1578" s="4">
        <v>50.143999999999998</v>
      </c>
      <c r="F1578" s="4">
        <v>63844.328000000001</v>
      </c>
      <c r="G1578" s="4">
        <v>63894.472000000002</v>
      </c>
      <c r="H1578" s="5">
        <f>4525 / 86400</f>
        <v>5.2372685185185182E-2</v>
      </c>
      <c r="I1578" t="s">
        <v>44</v>
      </c>
      <c r="J1578" t="s">
        <v>35</v>
      </c>
      <c r="K1578" s="5">
        <f>12302 / 86400</f>
        <v>0.14238425925925927</v>
      </c>
      <c r="L1578" s="5">
        <f>27 / 86400</f>
        <v>3.1250000000000001E-4</v>
      </c>
    </row>
    <row r="1579" spans="1:12" x14ac:dyDescent="0.25">
      <c r="A1579" s="3">
        <v>45716.902453703704</v>
      </c>
      <c r="B1579" t="s">
        <v>120</v>
      </c>
      <c r="C1579" s="3">
        <v>45716.902754629627</v>
      </c>
      <c r="D1579" t="s">
        <v>120</v>
      </c>
      <c r="E1579" s="4">
        <v>3.0000000000000001E-3</v>
      </c>
      <c r="F1579" s="4">
        <v>63894.472000000002</v>
      </c>
      <c r="G1579" s="4">
        <v>63894.474999999999</v>
      </c>
      <c r="H1579" s="5">
        <f>19 / 86400</f>
        <v>2.199074074074074E-4</v>
      </c>
      <c r="I1579" t="s">
        <v>22</v>
      </c>
      <c r="J1579" t="s">
        <v>22</v>
      </c>
      <c r="K1579" s="5">
        <f>26 / 86400</f>
        <v>3.0092592592592595E-4</v>
      </c>
      <c r="L1579" s="5">
        <f>14 / 86400</f>
        <v>1.6203703703703703E-4</v>
      </c>
    </row>
    <row r="1580" spans="1:12" x14ac:dyDescent="0.25">
      <c r="A1580" s="3">
        <v>45716.902916666666</v>
      </c>
      <c r="B1580" t="s">
        <v>120</v>
      </c>
      <c r="C1580" s="3">
        <v>45716.907858796301</v>
      </c>
      <c r="D1580" t="s">
        <v>120</v>
      </c>
      <c r="E1580" s="4">
        <v>1.7000000000000001E-2</v>
      </c>
      <c r="F1580" s="4">
        <v>63894.474999999999</v>
      </c>
      <c r="G1580" s="4">
        <v>63894.491999999998</v>
      </c>
      <c r="H1580" s="5">
        <f>419 / 86400</f>
        <v>4.8495370370370368E-3</v>
      </c>
      <c r="I1580" t="s">
        <v>22</v>
      </c>
      <c r="J1580" t="s">
        <v>22</v>
      </c>
      <c r="K1580" s="5">
        <f>427 / 86400</f>
        <v>4.9421296296296297E-3</v>
      </c>
      <c r="L1580" s="5">
        <f>21 / 86400</f>
        <v>2.4305555555555555E-4</v>
      </c>
    </row>
    <row r="1581" spans="1:12" x14ac:dyDescent="0.25">
      <c r="A1581" s="3">
        <v>45716.908101851848</v>
      </c>
      <c r="B1581" t="s">
        <v>359</v>
      </c>
      <c r="C1581" s="3">
        <v>45716.982615740737</v>
      </c>
      <c r="D1581" t="s">
        <v>480</v>
      </c>
      <c r="E1581" s="4">
        <v>43.280999999999999</v>
      </c>
      <c r="F1581" s="4">
        <v>63894.491999999998</v>
      </c>
      <c r="G1581" s="4">
        <v>63937.773000000001</v>
      </c>
      <c r="H1581" s="5">
        <f>1500 / 86400</f>
        <v>1.7361111111111112E-2</v>
      </c>
      <c r="I1581" t="s">
        <v>52</v>
      </c>
      <c r="J1581" t="s">
        <v>37</v>
      </c>
      <c r="K1581" s="5">
        <f>6437 / 86400</f>
        <v>7.4502314814814813E-2</v>
      </c>
      <c r="L1581" s="5">
        <f>299 / 86400</f>
        <v>3.460648148148148E-3</v>
      </c>
    </row>
    <row r="1582" spans="1:12" x14ac:dyDescent="0.25">
      <c r="A1582" s="3">
        <v>45716.986076388886</v>
      </c>
      <c r="B1582" t="s">
        <v>480</v>
      </c>
      <c r="C1582" s="3">
        <v>45716.989710648151</v>
      </c>
      <c r="D1582" t="s">
        <v>106</v>
      </c>
      <c r="E1582" s="4">
        <v>1.577</v>
      </c>
      <c r="F1582" s="4">
        <v>63937.773000000001</v>
      </c>
      <c r="G1582" s="4">
        <v>63939.35</v>
      </c>
      <c r="H1582" s="5">
        <f>120 / 86400</f>
        <v>1.3888888888888889E-3</v>
      </c>
      <c r="I1582" t="s">
        <v>168</v>
      </c>
      <c r="J1582" t="s">
        <v>20</v>
      </c>
      <c r="K1582" s="5">
        <f>314 / 86400</f>
        <v>3.6342592592592594E-3</v>
      </c>
      <c r="L1582" s="5">
        <f>18 / 86400</f>
        <v>2.0833333333333335E-4</v>
      </c>
    </row>
    <row r="1583" spans="1:12" x14ac:dyDescent="0.25">
      <c r="A1583" s="3">
        <v>45716.989918981482</v>
      </c>
      <c r="B1583" t="s">
        <v>106</v>
      </c>
      <c r="C1583" s="3">
        <v>45716.997210648144</v>
      </c>
      <c r="D1583" t="s">
        <v>106</v>
      </c>
      <c r="E1583" s="4">
        <v>0.13100000000000001</v>
      </c>
      <c r="F1583" s="4">
        <v>63939.35</v>
      </c>
      <c r="G1583" s="4">
        <v>63939.481</v>
      </c>
      <c r="H1583" s="5">
        <f>500 / 86400</f>
        <v>5.7870370370370367E-3</v>
      </c>
      <c r="I1583" t="s">
        <v>57</v>
      </c>
      <c r="J1583" t="s">
        <v>59</v>
      </c>
      <c r="K1583" s="5">
        <f>630 / 86400</f>
        <v>7.2916666666666668E-3</v>
      </c>
      <c r="L1583" s="5">
        <f>39 / 86400</f>
        <v>4.5138888888888887E-4</v>
      </c>
    </row>
    <row r="1584" spans="1:12" x14ac:dyDescent="0.25">
      <c r="A1584" s="3">
        <v>45716.997662037036</v>
      </c>
      <c r="B1584" t="s">
        <v>106</v>
      </c>
      <c r="C1584" s="3">
        <v>45716.99998842593</v>
      </c>
      <c r="D1584" t="s">
        <v>106</v>
      </c>
      <c r="E1584" s="4">
        <v>0</v>
      </c>
      <c r="F1584" s="4">
        <v>63939.481</v>
      </c>
      <c r="G1584" s="4">
        <v>63939.481</v>
      </c>
      <c r="H1584" s="5">
        <f>199 / 86400</f>
        <v>2.3032407407407407E-3</v>
      </c>
      <c r="I1584" t="s">
        <v>22</v>
      </c>
      <c r="J1584" t="s">
        <v>22</v>
      </c>
      <c r="K1584" s="5">
        <f>201 / 86400</f>
        <v>2.3263888888888887E-3</v>
      </c>
      <c r="L1584" s="5">
        <f>0 / 86400</f>
        <v>0</v>
      </c>
    </row>
    <row r="1585" spans="1:12" x14ac:dyDescent="0.2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</row>
    <row r="1586" spans="1:12" x14ac:dyDescent="0.2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</row>
    <row r="1587" spans="1:12" s="10" customFormat="1" ht="20.100000000000001" customHeight="1" x14ac:dyDescent="0.35">
      <c r="A1587" s="15" t="s">
        <v>545</v>
      </c>
      <c r="B1587" s="15"/>
      <c r="C1587" s="15"/>
      <c r="D1587" s="15"/>
      <c r="E1587" s="15"/>
      <c r="F1587" s="15"/>
      <c r="G1587" s="15"/>
      <c r="H1587" s="15"/>
      <c r="I1587" s="15"/>
      <c r="J1587" s="15"/>
    </row>
    <row r="1588" spans="1:12" x14ac:dyDescent="0.2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</row>
    <row r="1589" spans="1:12" ht="30" x14ac:dyDescent="0.25">
      <c r="A1589" s="2" t="s">
        <v>6</v>
      </c>
      <c r="B1589" s="2" t="s">
        <v>7</v>
      </c>
      <c r="C1589" s="2" t="s">
        <v>8</v>
      </c>
      <c r="D1589" s="2" t="s">
        <v>9</v>
      </c>
      <c r="E1589" s="2" t="s">
        <v>10</v>
      </c>
      <c r="F1589" s="2" t="s">
        <v>11</v>
      </c>
      <c r="G1589" s="2" t="s">
        <v>12</v>
      </c>
      <c r="H1589" s="2" t="s">
        <v>13</v>
      </c>
      <c r="I1589" s="2" t="s">
        <v>14</v>
      </c>
      <c r="J1589" s="2" t="s">
        <v>15</v>
      </c>
      <c r="K1589" s="2" t="s">
        <v>16</v>
      </c>
      <c r="L1589" s="2" t="s">
        <v>17</v>
      </c>
    </row>
    <row r="1590" spans="1:12" x14ac:dyDescent="0.25">
      <c r="A1590" s="3">
        <v>45716.004282407404</v>
      </c>
      <c r="B1590" t="s">
        <v>105</v>
      </c>
      <c r="C1590" s="3">
        <v>45716.009224537032</v>
      </c>
      <c r="D1590" t="s">
        <v>46</v>
      </c>
      <c r="E1590" s="4">
        <v>1.601</v>
      </c>
      <c r="F1590" s="4">
        <v>67392.494999999995</v>
      </c>
      <c r="G1590" s="4">
        <v>67394.096000000005</v>
      </c>
      <c r="H1590" s="5">
        <f>99 / 86400</f>
        <v>1.1458333333333333E-3</v>
      </c>
      <c r="I1590" t="s">
        <v>182</v>
      </c>
      <c r="J1590" t="s">
        <v>64</v>
      </c>
      <c r="K1590" s="5">
        <f>427 / 86400</f>
        <v>4.9421296296296297E-3</v>
      </c>
      <c r="L1590" s="5">
        <f>372 / 86400</f>
        <v>4.3055555555555555E-3</v>
      </c>
    </row>
    <row r="1591" spans="1:12" x14ac:dyDescent="0.25">
      <c r="A1591" s="3">
        <v>45716.009247685186</v>
      </c>
      <c r="B1591" t="s">
        <v>46</v>
      </c>
      <c r="C1591" s="3">
        <v>45716.009259259255</v>
      </c>
      <c r="D1591" t="s">
        <v>46</v>
      </c>
      <c r="E1591" s="4">
        <v>0</v>
      </c>
      <c r="F1591" s="4">
        <v>67394.096000000005</v>
      </c>
      <c r="G1591" s="4">
        <v>67394.096000000005</v>
      </c>
      <c r="H1591" s="5">
        <f>0 / 86400</f>
        <v>0</v>
      </c>
      <c r="I1591" t="s">
        <v>22</v>
      </c>
      <c r="J1591" t="s">
        <v>22</v>
      </c>
      <c r="K1591" s="5">
        <f>1 / 86400</f>
        <v>1.1574074074074073E-5</v>
      </c>
      <c r="L1591" s="5">
        <f>15558 / 86400</f>
        <v>0.18006944444444445</v>
      </c>
    </row>
    <row r="1592" spans="1:12" x14ac:dyDescent="0.25">
      <c r="A1592" s="3">
        <v>45716.189328703702</v>
      </c>
      <c r="B1592" t="s">
        <v>46</v>
      </c>
      <c r="C1592" s="3">
        <v>45716.397743055553</v>
      </c>
      <c r="D1592" t="s">
        <v>46</v>
      </c>
      <c r="E1592" s="4">
        <v>101.724</v>
      </c>
      <c r="F1592" s="4">
        <v>67394.096000000005</v>
      </c>
      <c r="G1592" s="4">
        <v>67495.820000000007</v>
      </c>
      <c r="H1592" s="5">
        <f>5520 / 86400</f>
        <v>6.3888888888888884E-2</v>
      </c>
      <c r="I1592" t="s">
        <v>83</v>
      </c>
      <c r="J1592" t="s">
        <v>108</v>
      </c>
      <c r="K1592" s="5">
        <f>18007 / 86400</f>
        <v>0.20841435185185186</v>
      </c>
      <c r="L1592" s="5">
        <f>399 / 86400</f>
        <v>4.6180555555555558E-3</v>
      </c>
    </row>
    <row r="1593" spans="1:12" x14ac:dyDescent="0.25">
      <c r="A1593" s="3">
        <v>45716.402361111112</v>
      </c>
      <c r="B1593" t="s">
        <v>46</v>
      </c>
      <c r="C1593" s="3">
        <v>45716.403287037036</v>
      </c>
      <c r="D1593" t="s">
        <v>471</v>
      </c>
      <c r="E1593" s="4">
        <v>7.1999999999999995E-2</v>
      </c>
      <c r="F1593" s="4">
        <v>67495.820000000007</v>
      </c>
      <c r="G1593" s="4">
        <v>67495.892000000007</v>
      </c>
      <c r="H1593" s="5">
        <f>19 / 86400</f>
        <v>2.199074074074074E-4</v>
      </c>
      <c r="I1593" t="s">
        <v>28</v>
      </c>
      <c r="J1593" t="s">
        <v>33</v>
      </c>
      <c r="K1593" s="5">
        <f>80 / 86400</f>
        <v>9.2592592592592596E-4</v>
      </c>
      <c r="L1593" s="5">
        <f>108 / 86400</f>
        <v>1.25E-3</v>
      </c>
    </row>
    <row r="1594" spans="1:12" x14ac:dyDescent="0.25">
      <c r="A1594" s="3">
        <v>45716.404537037037</v>
      </c>
      <c r="B1594" t="s">
        <v>471</v>
      </c>
      <c r="C1594" s="3">
        <v>45716.404791666668</v>
      </c>
      <c r="D1594" t="s">
        <v>471</v>
      </c>
      <c r="E1594" s="4">
        <v>1.2E-2</v>
      </c>
      <c r="F1594" s="4">
        <v>67495.892000000007</v>
      </c>
      <c r="G1594" s="4">
        <v>67495.903999999995</v>
      </c>
      <c r="H1594" s="5">
        <f>0 / 86400</f>
        <v>0</v>
      </c>
      <c r="I1594" t="s">
        <v>33</v>
      </c>
      <c r="J1594" t="s">
        <v>156</v>
      </c>
      <c r="K1594" s="5">
        <f>22 / 86400</f>
        <v>2.5462962962962961E-4</v>
      </c>
      <c r="L1594" s="5">
        <f>679 / 86400</f>
        <v>7.858796296296296E-3</v>
      </c>
    </row>
    <row r="1595" spans="1:12" x14ac:dyDescent="0.25">
      <c r="A1595" s="3">
        <v>45716.412650462968</v>
      </c>
      <c r="B1595" t="s">
        <v>471</v>
      </c>
      <c r="C1595" s="3">
        <v>45716.417326388888</v>
      </c>
      <c r="D1595" t="s">
        <v>161</v>
      </c>
      <c r="E1595" s="4">
        <v>1.075</v>
      </c>
      <c r="F1595" s="4">
        <v>67495.903999999995</v>
      </c>
      <c r="G1595" s="4">
        <v>67496.979000000007</v>
      </c>
      <c r="H1595" s="5">
        <f>160 / 86400</f>
        <v>1.8518518518518519E-3</v>
      </c>
      <c r="I1595" t="s">
        <v>164</v>
      </c>
      <c r="J1595" t="s">
        <v>151</v>
      </c>
      <c r="K1595" s="5">
        <f>404 / 86400</f>
        <v>4.6759259259259263E-3</v>
      </c>
      <c r="L1595" s="5">
        <f>137 / 86400</f>
        <v>1.5856481481481481E-3</v>
      </c>
    </row>
    <row r="1596" spans="1:12" x14ac:dyDescent="0.25">
      <c r="A1596" s="3">
        <v>45716.418912037036</v>
      </c>
      <c r="B1596" t="s">
        <v>161</v>
      </c>
      <c r="C1596" s="3">
        <v>45716.600497685184</v>
      </c>
      <c r="D1596" t="s">
        <v>46</v>
      </c>
      <c r="E1596" s="4">
        <v>83.179000000000002</v>
      </c>
      <c r="F1596" s="4">
        <v>67496.979000000007</v>
      </c>
      <c r="G1596" s="4">
        <v>67580.157999999996</v>
      </c>
      <c r="H1596" s="5">
        <f>4941 / 86400</f>
        <v>5.7187500000000002E-2</v>
      </c>
      <c r="I1596" t="s">
        <v>481</v>
      </c>
      <c r="J1596" t="s">
        <v>85</v>
      </c>
      <c r="K1596" s="5">
        <f>15688 / 86400</f>
        <v>0.18157407407407408</v>
      </c>
      <c r="L1596" s="5">
        <f>1464 / 86400</f>
        <v>1.6944444444444446E-2</v>
      </c>
    </row>
    <row r="1597" spans="1:12" x14ac:dyDescent="0.25">
      <c r="A1597" s="3">
        <v>45716.617442129631</v>
      </c>
      <c r="B1597" t="s">
        <v>46</v>
      </c>
      <c r="C1597" s="3">
        <v>45716.99998842593</v>
      </c>
      <c r="D1597" t="s">
        <v>124</v>
      </c>
      <c r="E1597" s="4">
        <v>161.74</v>
      </c>
      <c r="F1597" s="4">
        <v>67580.157999999996</v>
      </c>
      <c r="G1597" s="4">
        <v>67741.898000000001</v>
      </c>
      <c r="H1597" s="5">
        <f>11084 / 86400</f>
        <v>0.12828703703703703</v>
      </c>
      <c r="I1597" t="s">
        <v>54</v>
      </c>
      <c r="J1597" t="s">
        <v>20</v>
      </c>
      <c r="K1597" s="5">
        <f>33052 / 86400</f>
        <v>0.38254629629629627</v>
      </c>
      <c r="L1597" s="5">
        <f>0 / 86400</f>
        <v>0</v>
      </c>
    </row>
    <row r="1598" spans="1:12" x14ac:dyDescent="0.2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</row>
    <row r="1599" spans="1:12" x14ac:dyDescent="0.2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</row>
    <row r="1600" spans="1:12" s="10" customFormat="1" ht="20.100000000000001" customHeight="1" x14ac:dyDescent="0.35">
      <c r="A1600" s="15" t="s">
        <v>546</v>
      </c>
      <c r="B1600" s="15"/>
      <c r="C1600" s="15"/>
      <c r="D1600" s="15"/>
      <c r="E1600" s="15"/>
      <c r="F1600" s="15"/>
      <c r="G1600" s="15"/>
      <c r="H1600" s="15"/>
      <c r="I1600" s="15"/>
      <c r="J1600" s="15"/>
    </row>
    <row r="1601" spans="1:12" x14ac:dyDescent="0.2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</row>
    <row r="1602" spans="1:12" ht="30" x14ac:dyDescent="0.25">
      <c r="A1602" s="2" t="s">
        <v>6</v>
      </c>
      <c r="B1602" s="2" t="s">
        <v>7</v>
      </c>
      <c r="C1602" s="2" t="s">
        <v>8</v>
      </c>
      <c r="D1602" s="2" t="s">
        <v>9</v>
      </c>
      <c r="E1602" s="2" t="s">
        <v>10</v>
      </c>
      <c r="F1602" s="2" t="s">
        <v>11</v>
      </c>
      <c r="G1602" s="2" t="s">
        <v>12</v>
      </c>
      <c r="H1602" s="2" t="s">
        <v>13</v>
      </c>
      <c r="I1602" s="2" t="s">
        <v>14</v>
      </c>
      <c r="J1602" s="2" t="s">
        <v>15</v>
      </c>
      <c r="K1602" s="2" t="s">
        <v>16</v>
      </c>
      <c r="L1602" s="2" t="s">
        <v>17</v>
      </c>
    </row>
    <row r="1603" spans="1:12" x14ac:dyDescent="0.25">
      <c r="A1603" s="3">
        <v>45716.297997685186</v>
      </c>
      <c r="B1603" t="s">
        <v>46</v>
      </c>
      <c r="C1603" s="3">
        <v>45716.845312500001</v>
      </c>
      <c r="D1603" t="s">
        <v>46</v>
      </c>
      <c r="E1603" s="4">
        <v>92.415000000000006</v>
      </c>
      <c r="F1603" s="4">
        <v>294521.12300000002</v>
      </c>
      <c r="G1603" s="4">
        <v>294613.538</v>
      </c>
      <c r="H1603" s="5">
        <f>33619 / 86400</f>
        <v>0.3891087962962963</v>
      </c>
      <c r="I1603" t="s">
        <v>49</v>
      </c>
      <c r="J1603" t="s">
        <v>57</v>
      </c>
      <c r="K1603" s="5">
        <f>47288 / 86400</f>
        <v>0.54731481481481481</v>
      </c>
      <c r="L1603" s="5">
        <f>39111 / 86400</f>
        <v>0.4526736111111111</v>
      </c>
    </row>
    <row r="1604" spans="1:12" x14ac:dyDescent="0.2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</row>
    <row r="1605" spans="1:12" x14ac:dyDescent="0.25">
      <c r="A1605" s="12" t="s">
        <v>126</v>
      </c>
      <c r="B1605" s="12"/>
      <c r="C1605" s="12"/>
      <c r="D1605" s="12"/>
      <c r="E1605" s="12"/>
      <c r="F1605" s="12"/>
      <c r="G1605" s="12"/>
      <c r="H1605" s="12"/>
      <c r="I1605" s="12"/>
      <c r="J1605" s="12"/>
    </row>
  </sheetData>
  <mergeCells count="270">
    <mergeCell ref="A1605:J1605"/>
    <mergeCell ref="A1585:J1585"/>
    <mergeCell ref="A1586:J1586"/>
    <mergeCell ref="A1587:J1587"/>
    <mergeCell ref="A1588:J1588"/>
    <mergeCell ref="A1598:J1598"/>
    <mergeCell ref="A1599:J1599"/>
    <mergeCell ref="A1600:J1600"/>
    <mergeCell ref="A1601:J1601"/>
    <mergeCell ref="A1604:J1604"/>
    <mergeCell ref="A1538:J1538"/>
    <mergeCell ref="A1547:J1547"/>
    <mergeCell ref="A1548:J1548"/>
    <mergeCell ref="A1549:J1549"/>
    <mergeCell ref="A1550:J1550"/>
    <mergeCell ref="A1558:J1558"/>
    <mergeCell ref="A1559:J1559"/>
    <mergeCell ref="A1560:J1560"/>
    <mergeCell ref="A1561:J1561"/>
    <mergeCell ref="A1508:J1508"/>
    <mergeCell ref="A1509:J1509"/>
    <mergeCell ref="A1518:J1518"/>
    <mergeCell ref="A1519:J1519"/>
    <mergeCell ref="A1520:J1520"/>
    <mergeCell ref="A1521:J1521"/>
    <mergeCell ref="A1535:J1535"/>
    <mergeCell ref="A1536:J1536"/>
    <mergeCell ref="A1537:J1537"/>
    <mergeCell ref="A1484:J1484"/>
    <mergeCell ref="A1485:J1485"/>
    <mergeCell ref="A1486:J1486"/>
    <mergeCell ref="A1497:J1497"/>
    <mergeCell ref="A1498:J1498"/>
    <mergeCell ref="A1499:J1499"/>
    <mergeCell ref="A1500:J1500"/>
    <mergeCell ref="A1506:J1506"/>
    <mergeCell ref="A1507:J1507"/>
    <mergeCell ref="A1461:J1461"/>
    <mergeCell ref="A1462:J1462"/>
    <mergeCell ref="A1463:J1463"/>
    <mergeCell ref="A1464:J1464"/>
    <mergeCell ref="A1472:J1472"/>
    <mergeCell ref="A1473:J1473"/>
    <mergeCell ref="A1474:J1474"/>
    <mergeCell ref="A1475:J1475"/>
    <mergeCell ref="A1483:J1483"/>
    <mergeCell ref="A1410:J1410"/>
    <mergeCell ref="A1425:J1425"/>
    <mergeCell ref="A1426:J1426"/>
    <mergeCell ref="A1427:J1427"/>
    <mergeCell ref="A1428:J1428"/>
    <mergeCell ref="A1435:J1435"/>
    <mergeCell ref="A1436:J1436"/>
    <mergeCell ref="A1437:J1437"/>
    <mergeCell ref="A1438:J1438"/>
    <mergeCell ref="A1381:J1381"/>
    <mergeCell ref="A1382:J1382"/>
    <mergeCell ref="A1388:J1388"/>
    <mergeCell ref="A1389:J1389"/>
    <mergeCell ref="A1390:J1390"/>
    <mergeCell ref="A1391:J1391"/>
    <mergeCell ref="A1407:J1407"/>
    <mergeCell ref="A1408:J1408"/>
    <mergeCell ref="A1409:J1409"/>
    <mergeCell ref="A1351:J1351"/>
    <mergeCell ref="A1352:J1352"/>
    <mergeCell ref="A1353:J1353"/>
    <mergeCell ref="A1361:J1361"/>
    <mergeCell ref="A1362:J1362"/>
    <mergeCell ref="A1363:J1363"/>
    <mergeCell ref="A1364:J1364"/>
    <mergeCell ref="A1379:J1379"/>
    <mergeCell ref="A1380:J1380"/>
    <mergeCell ref="A1318:J1318"/>
    <mergeCell ref="A1319:J1319"/>
    <mergeCell ref="A1320:J1320"/>
    <mergeCell ref="A1321:J1321"/>
    <mergeCell ref="A1332:J1332"/>
    <mergeCell ref="A1333:J1333"/>
    <mergeCell ref="A1334:J1334"/>
    <mergeCell ref="A1335:J1335"/>
    <mergeCell ref="A1350:J1350"/>
    <mergeCell ref="A1281:J1281"/>
    <mergeCell ref="A1294:J1294"/>
    <mergeCell ref="A1295:J1295"/>
    <mergeCell ref="A1296:J1296"/>
    <mergeCell ref="A1297:J1297"/>
    <mergeCell ref="A1307:J1307"/>
    <mergeCell ref="A1308:J1308"/>
    <mergeCell ref="A1309:J1309"/>
    <mergeCell ref="A1310:J1310"/>
    <mergeCell ref="A1248:J1248"/>
    <mergeCell ref="A1249:J1249"/>
    <mergeCell ref="A1260:J1260"/>
    <mergeCell ref="A1261:J1261"/>
    <mergeCell ref="A1262:J1262"/>
    <mergeCell ref="A1263:J1263"/>
    <mergeCell ref="A1278:J1278"/>
    <mergeCell ref="A1279:J1279"/>
    <mergeCell ref="A1280:J1280"/>
    <mergeCell ref="A1224:J1224"/>
    <mergeCell ref="A1225:J1225"/>
    <mergeCell ref="A1226:J1226"/>
    <mergeCell ref="A1238:J1238"/>
    <mergeCell ref="A1239:J1239"/>
    <mergeCell ref="A1240:J1240"/>
    <mergeCell ref="A1241:J1241"/>
    <mergeCell ref="A1246:J1246"/>
    <mergeCell ref="A1247:J1247"/>
    <mergeCell ref="A1194:J1194"/>
    <mergeCell ref="A1195:J1195"/>
    <mergeCell ref="A1196:J1196"/>
    <mergeCell ref="A1197:J1197"/>
    <mergeCell ref="A1207:J1207"/>
    <mergeCell ref="A1208:J1208"/>
    <mergeCell ref="A1209:J1209"/>
    <mergeCell ref="A1210:J1210"/>
    <mergeCell ref="A1223:J1223"/>
    <mergeCell ref="A1166:J1166"/>
    <mergeCell ref="A1169:J1169"/>
    <mergeCell ref="A1170:J1170"/>
    <mergeCell ref="A1171:J1171"/>
    <mergeCell ref="A1172:J1172"/>
    <mergeCell ref="A1181:J1181"/>
    <mergeCell ref="A1182:J1182"/>
    <mergeCell ref="A1183:J1183"/>
    <mergeCell ref="A1184:J1184"/>
    <mergeCell ref="A945:J945"/>
    <mergeCell ref="A946:J946"/>
    <mergeCell ref="A961:J961"/>
    <mergeCell ref="A962:J962"/>
    <mergeCell ref="A963:J963"/>
    <mergeCell ref="A964:J964"/>
    <mergeCell ref="A1163:J1163"/>
    <mergeCell ref="A1164:J1164"/>
    <mergeCell ref="A1165:J1165"/>
    <mergeCell ref="A907:J907"/>
    <mergeCell ref="A908:J908"/>
    <mergeCell ref="A909:J909"/>
    <mergeCell ref="A932:J932"/>
    <mergeCell ref="A933:J933"/>
    <mergeCell ref="A934:J934"/>
    <mergeCell ref="A935:J935"/>
    <mergeCell ref="A943:J943"/>
    <mergeCell ref="A944:J944"/>
    <mergeCell ref="A878:J878"/>
    <mergeCell ref="A879:J879"/>
    <mergeCell ref="A880:J880"/>
    <mergeCell ref="A881:J881"/>
    <mergeCell ref="A890:J890"/>
    <mergeCell ref="A891:J891"/>
    <mergeCell ref="A892:J892"/>
    <mergeCell ref="A893:J893"/>
    <mergeCell ref="A906:J906"/>
    <mergeCell ref="A834:J834"/>
    <mergeCell ref="A847:J847"/>
    <mergeCell ref="A848:J848"/>
    <mergeCell ref="A849:J849"/>
    <mergeCell ref="A850:J850"/>
    <mergeCell ref="A862:J862"/>
    <mergeCell ref="A863:J863"/>
    <mergeCell ref="A864:J864"/>
    <mergeCell ref="A865:J865"/>
    <mergeCell ref="A811:J811"/>
    <mergeCell ref="A812:J812"/>
    <mergeCell ref="A819:J819"/>
    <mergeCell ref="A820:J820"/>
    <mergeCell ref="A821:J821"/>
    <mergeCell ref="A822:J822"/>
    <mergeCell ref="A831:J831"/>
    <mergeCell ref="A832:J832"/>
    <mergeCell ref="A833:J833"/>
    <mergeCell ref="A788:J788"/>
    <mergeCell ref="A789:J789"/>
    <mergeCell ref="A790:J790"/>
    <mergeCell ref="A797:J797"/>
    <mergeCell ref="A798:J798"/>
    <mergeCell ref="A799:J799"/>
    <mergeCell ref="A800:J800"/>
    <mergeCell ref="A809:J809"/>
    <mergeCell ref="A810:J810"/>
    <mergeCell ref="A747:J747"/>
    <mergeCell ref="A748:J748"/>
    <mergeCell ref="A749:J749"/>
    <mergeCell ref="A750:J750"/>
    <mergeCell ref="A776:J776"/>
    <mergeCell ref="A777:J777"/>
    <mergeCell ref="A778:J778"/>
    <mergeCell ref="A779:J779"/>
    <mergeCell ref="A787:J787"/>
    <mergeCell ref="A707:J707"/>
    <mergeCell ref="A719:J719"/>
    <mergeCell ref="A720:J720"/>
    <mergeCell ref="A721:J721"/>
    <mergeCell ref="A722:J722"/>
    <mergeCell ref="A741:J741"/>
    <mergeCell ref="A742:J742"/>
    <mergeCell ref="A743:J743"/>
    <mergeCell ref="A744:J744"/>
    <mergeCell ref="A669:J669"/>
    <mergeCell ref="A670:J670"/>
    <mergeCell ref="A687:J687"/>
    <mergeCell ref="A688:J688"/>
    <mergeCell ref="A689:J689"/>
    <mergeCell ref="A690:J690"/>
    <mergeCell ref="A704:J704"/>
    <mergeCell ref="A705:J705"/>
    <mergeCell ref="A706:J706"/>
    <mergeCell ref="A644:J644"/>
    <mergeCell ref="A645:J645"/>
    <mergeCell ref="A646:J646"/>
    <mergeCell ref="A654:J654"/>
    <mergeCell ref="A655:J655"/>
    <mergeCell ref="A656:J656"/>
    <mergeCell ref="A657:J657"/>
    <mergeCell ref="A667:J667"/>
    <mergeCell ref="A668:J668"/>
    <mergeCell ref="A612:J612"/>
    <mergeCell ref="A613:J613"/>
    <mergeCell ref="A614:J614"/>
    <mergeCell ref="A615:J615"/>
    <mergeCell ref="A630:J630"/>
    <mergeCell ref="A631:J631"/>
    <mergeCell ref="A632:J632"/>
    <mergeCell ref="A633:J633"/>
    <mergeCell ref="A643:J643"/>
    <mergeCell ref="A164:J164"/>
    <mergeCell ref="A174:J174"/>
    <mergeCell ref="A175:J175"/>
    <mergeCell ref="A176:J176"/>
    <mergeCell ref="A177:J177"/>
    <mergeCell ref="A601:J601"/>
    <mergeCell ref="A602:J602"/>
    <mergeCell ref="A603:J603"/>
    <mergeCell ref="A604:J604"/>
    <mergeCell ref="A129:J129"/>
    <mergeCell ref="A130:J130"/>
    <mergeCell ref="A143:J143"/>
    <mergeCell ref="A144:J144"/>
    <mergeCell ref="A145:J145"/>
    <mergeCell ref="A146:J146"/>
    <mergeCell ref="A161:J161"/>
    <mergeCell ref="A162:J162"/>
    <mergeCell ref="A163:J163"/>
    <mergeCell ref="A106:J106"/>
    <mergeCell ref="A107:J107"/>
    <mergeCell ref="A108:J108"/>
    <mergeCell ref="A113:J113"/>
    <mergeCell ref="A114:J114"/>
    <mergeCell ref="A115:J115"/>
    <mergeCell ref="A116:J116"/>
    <mergeCell ref="A127:J127"/>
    <mergeCell ref="A128:J128"/>
    <mergeCell ref="A76:J76"/>
    <mergeCell ref="A77:J77"/>
    <mergeCell ref="A78:J78"/>
    <mergeCell ref="A79:J79"/>
    <mergeCell ref="A91:J91"/>
    <mergeCell ref="A92:J92"/>
    <mergeCell ref="A93:J93"/>
    <mergeCell ref="A94:J94"/>
    <mergeCell ref="A105:J105"/>
    <mergeCell ref="A1:J1"/>
    <mergeCell ref="A2:J2"/>
    <mergeCell ref="A3:J3"/>
    <mergeCell ref="A4:J4"/>
    <mergeCell ref="A5:J5"/>
    <mergeCell ref="A6:J6"/>
    <mergeCell ref="A74:J74"/>
    <mergeCell ref="A75:J7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2025-09-22T19:53:22Z</dcterms:created>
  <dcterms:modified xsi:type="dcterms:W3CDTF">2025-09-23T05:44:46Z</dcterms:modified>
</cp:coreProperties>
</file>